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ue-170485/Shared Documents/"/>
    </mc:Choice>
  </mc:AlternateContent>
  <bookViews>
    <workbookView xWindow="576" yWindow="-216" windowWidth="20376" windowHeight="12300" tabRatio="838" activeTab="7"/>
  </bookViews>
  <sheets>
    <sheet name="PROP0SED RATES-2018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TCJA" sheetId="79" r:id="rId6"/>
    <sheet name="2015 GRC Embedded Tax" sheetId="80" r:id="rId7"/>
    <sheet name="Recap Summary" sheetId="69" r:id="rId8"/>
    <sheet name="LEAD SHEETS-DO NOT ENTER" sheetId="76" r:id="rId9"/>
    <sheet name="ADJ SUMMARY" sheetId="3" r:id="rId10"/>
    <sheet name="DEBT CALC" sheetId="75" r:id="rId11"/>
    <sheet name="ROO INPUT" sheetId="5" r:id="rId12"/>
    <sheet name="not used - PROP0SED RATES-2019" sheetId="77" r:id="rId13"/>
  </sheets>
  <externalReferences>
    <externalReference r:id="rId14"/>
    <externalReference r:id="rId15"/>
    <externalReference r:id="rId16"/>
    <externalReference r:id="rId17"/>
  </externalReferences>
  <definedNames>
    <definedName name="ID_Elec" localSheetId="2">[1]DebtCalc!#REF!</definedName>
    <definedName name="ID_Elec" localSheetId="10">'DEBT CALC'!$A$79:$F$156</definedName>
    <definedName name="ID_Elec" localSheetId="8">#REF!</definedName>
    <definedName name="ID_Elec" localSheetId="12">[2]DebtCalc!#REF!</definedName>
    <definedName name="ID_Elec" localSheetId="0">[2]DebtCalc!#REF!</definedName>
    <definedName name="ID_Elec" localSheetId="7">#REF!</definedName>
    <definedName name="ID_Elec" localSheetId="1">[2]DebtCalc!#REF!</definedName>
    <definedName name="ID_Gas" localSheetId="10">'DEBT CALC'!#REF!</definedName>
    <definedName name="ID_Gas" localSheetId="8">#REF!</definedName>
    <definedName name="ID_Gas">'[3]DEBT CALC'!#REF!</definedName>
    <definedName name="_xlnm.Print_Area" localSheetId="6">'2015 GRC Embedded Tax'!$A$1:$G$38</definedName>
    <definedName name="_xlnm.Print_Area" localSheetId="4">'ADJ DETAIL INPUT'!$A$2:$AX$92</definedName>
    <definedName name="_xlnm.Print_Area" localSheetId="9">'ADJ SUMMARY'!$A$1:$H$47</definedName>
    <definedName name="_xlnm.Print_Area" localSheetId="2">CF!$A$1:$F$27</definedName>
    <definedName name="_xlnm.Print_Area" localSheetId="10">'DEBT CALC'!$A$1:$I$57</definedName>
    <definedName name="_xlnm.Print_Area" localSheetId="8">'LEAD SHEETS-DO NOT ENTER'!$A$2:$AJ$82</definedName>
    <definedName name="_xlnm.Print_Area" localSheetId="12">'not used - PROP0SED RATES-2019'!$A$2:$K$83</definedName>
    <definedName name="_xlnm.Print_Area" localSheetId="0">'PROP0SED RATES-2018'!$A$2:$J$83</definedName>
    <definedName name="_xlnm.Print_Area" localSheetId="7">'Recap Summary'!$A$1:$P$115</definedName>
    <definedName name="_xlnm.Print_Area" localSheetId="11">'ROO INPUT'!$A$3:$G$82</definedName>
    <definedName name="_xlnm.Print_Area" localSheetId="1">'RR SUMMARY'!$A$9:$H$40,'RR SUMMARY'!$I$9:$N$29</definedName>
    <definedName name="_xlnm.Print_Area" localSheetId="5">TCJA!$A$1:$L$46</definedName>
    <definedName name="Print_for_CBReport" localSheetId="7">'Recap Summary'!$A$11:$I$101</definedName>
    <definedName name="Print_for_Checking" localSheetId="10">'[4]ADJ SUMMARY'!$A$1:'[4]ADJ SUMMARY'!#REF!</definedName>
    <definedName name="Print_for_Checking" localSheetId="7">'Recap Summary'!$A$11:$I$101</definedName>
    <definedName name="Print_for_Checking">'[3]ADJ SUMMARY'!#REF!:'[3]ADJ SUMMARY'!#REF!</definedName>
    <definedName name="_xlnm.Print_Titles" localSheetId="4">'ADJ DETAIL INPUT'!$A:$D,'ADJ DETAIL INPUT'!$2:$11</definedName>
    <definedName name="_xlnm.Print_Titles" localSheetId="8">'LEAD SHEETS-DO NOT ENTER'!$A:$D,'LEAD SHEETS-DO NOT ENTER'!$2:$11</definedName>
    <definedName name="Summary" localSheetId="10">#REF!</definedName>
    <definedName name="Summary" localSheetId="8">#REF!</definedName>
    <definedName name="Summary">#REF!</definedName>
    <definedName name="WA_Elec" localSheetId="2">[1]DebtCalc!#REF!</definedName>
    <definedName name="WA_Elec" localSheetId="10">'DEBT CALC'!$A$1:$F$78</definedName>
    <definedName name="WA_Elec" localSheetId="8">#REF!</definedName>
    <definedName name="WA_Elec" localSheetId="12">[2]DebtCalc!#REF!</definedName>
    <definedName name="WA_Elec" localSheetId="0">[2]DebtCalc!#REF!</definedName>
    <definedName name="WA_Elec" localSheetId="7">#REF!</definedName>
    <definedName name="WA_Elec" localSheetId="1">[2]DebtCalc!#REF!</definedName>
    <definedName name="WA_Gas" localSheetId="10">'DEBT CALC'!#REF!</definedName>
    <definedName name="WA_Gas" localSheetId="8">#REF!</definedName>
    <definedName name="WA_Gas">'[3]DEBT CALC'!#REF!</definedName>
    <definedName name="Z_5BE913A1_B14F_11D2_B0DC_0000832CDFF0_.wvu.Cols" localSheetId="4" hidden="1">'ADJ DETAIL INPUT'!$W:$AM</definedName>
    <definedName name="Z_5BE913A1_B14F_11D2_B0DC_0000832CDFF0_.wvu.Cols" localSheetId="8" hidden="1">'LEAD SHEETS-DO NOT ENTER'!$Y:$AA</definedName>
    <definedName name="Z_5BE913A1_B14F_11D2_B0DC_0000832CDFF0_.wvu.PrintArea" localSheetId="4" hidden="1">'ADJ DETAIL INPUT'!$E$12:$AM$83</definedName>
    <definedName name="Z_5BE913A1_B14F_11D2_B0DC_0000832CDFF0_.wvu.PrintArea" localSheetId="9" hidden="1">'ADJ SUMMARY'!$A$1:$G$46</definedName>
    <definedName name="Z_5BE913A1_B14F_11D2_B0DC_0000832CDFF0_.wvu.PrintArea" localSheetId="8" hidden="1">'LEAD SHEETS-DO NOT ENTER'!$E$12:$AA$83</definedName>
    <definedName name="Z_5BE913A1_B14F_11D2_B0DC_0000832CDFF0_.wvu.PrintArea" localSheetId="7" hidden="1">'Recap Summary'!$A$11:$I$101</definedName>
    <definedName name="Z_5BE913A1_B14F_11D2_B0DC_0000832CDFF0_.wvu.PrintArea" localSheetId="11" hidden="1">'ROO INPUT'!$A$3:$G$82</definedName>
    <definedName name="Z_5BE913A1_B14F_11D2_B0DC_0000832CDFF0_.wvu.PrintTitles" localSheetId="4" hidden="1">'ADJ DETAIL INPUT'!$A:$D,'ADJ DETAIL INPUT'!$2:$11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9" hidden="1">'ADJ SUMMARY'!$26:$26,'ADJ SUMMARY'!$29:$46,'ADJ SUMMARY'!#REF!</definedName>
    <definedName name="Z_5BE913A1_B14F_11D2_B0DC_0000832CDFF0_.wvu.Rows" localSheetId="7" hidden="1">'Recap Summary'!#REF!,'Recap Summary'!$36:$61,'Recap Summary'!$94:$95</definedName>
    <definedName name="Z_A15D1964_B049_11D2_8670_0000832CEEE8_.wvu.Cols" localSheetId="4" hidden="1">'ADJ DETAIL INPUT'!$W:$AM</definedName>
    <definedName name="Z_A15D1964_B049_11D2_8670_0000832CEEE8_.wvu.Cols" localSheetId="8" hidden="1">'LEAD SHEETS-DO NOT ENTER'!$Y:$AA</definedName>
    <definedName name="Z_A15D1964_B049_11D2_8670_0000832CEEE8_.wvu.PrintArea" localSheetId="4" hidden="1">'ADJ DETAIL INPUT'!$E$12:$AM$83</definedName>
    <definedName name="Z_A15D1964_B049_11D2_8670_0000832CEEE8_.wvu.PrintArea" localSheetId="9" hidden="1">'ADJ SUMMARY'!$A$1:$G$46</definedName>
    <definedName name="Z_A15D1964_B049_11D2_8670_0000832CEEE8_.wvu.PrintArea" localSheetId="8" hidden="1">'LEAD SHEETS-DO NOT ENTER'!$E$12:$AA$83</definedName>
    <definedName name="Z_A15D1964_B049_11D2_8670_0000832CEEE8_.wvu.PrintArea" localSheetId="7" hidden="1">'Recap Summary'!$A$11:$I$101</definedName>
    <definedName name="Z_A15D1964_B049_11D2_8670_0000832CEEE8_.wvu.PrintArea" localSheetId="11" hidden="1">'ROO INPUT'!$A$3:$G$82</definedName>
    <definedName name="Z_A15D1964_B049_11D2_8670_0000832CEEE8_.wvu.PrintTitles" localSheetId="4" hidden="1">'ADJ DETAIL INPUT'!$A:$D,'ADJ DETAIL INPUT'!$2:$11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9" hidden="1">'ADJ SUMMARY'!$26:$26,'ADJ SUMMARY'!$29:$46,'ADJ SUMMARY'!#REF!</definedName>
    <definedName name="Z_A15D1964_B049_11D2_8670_0000832CEEE8_.wvu.Rows" localSheetId="7" hidden="1">'Recap Summary'!#REF!,'Recap Summary'!$36:$61,'Recap Summary'!$94:$95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A3" i="80" l="1"/>
  <c r="A2" i="80"/>
  <c r="A1" i="80"/>
  <c r="K46" i="79" l="1"/>
  <c r="L44" i="79" l="1"/>
  <c r="C37" i="80"/>
  <c r="G27" i="80"/>
  <c r="G32" i="80" s="1"/>
  <c r="C17" i="80"/>
  <c r="C15" i="80"/>
  <c r="C19" i="80" s="1"/>
  <c r="C26" i="80" s="1"/>
  <c r="C27" i="80" s="1"/>
  <c r="C16" i="80" l="1"/>
  <c r="C20" i="80" s="1"/>
  <c r="C21" i="80"/>
  <c r="C23" i="80"/>
  <c r="C24" i="80" s="1"/>
  <c r="C29" i="80" s="1"/>
  <c r="C31" i="80" s="1"/>
  <c r="C33" i="80" s="1"/>
  <c r="C38" i="80" s="1"/>
  <c r="AV54" i="1" s="1"/>
  <c r="L27" i="79" l="1"/>
  <c r="L25" i="79"/>
  <c r="L20" i="79"/>
  <c r="L29" i="79" l="1"/>
  <c r="AW55" i="1" l="1"/>
  <c r="AV55" i="1"/>
  <c r="AU55" i="1"/>
  <c r="AR55" i="1"/>
  <c r="H79" i="54" l="1"/>
  <c r="H78" i="54"/>
  <c r="H77" i="54"/>
  <c r="H76" i="54"/>
  <c r="H75" i="54"/>
  <c r="H74" i="54"/>
  <c r="H71" i="54"/>
  <c r="H70" i="54"/>
  <c r="H69" i="54"/>
  <c r="H65" i="54"/>
  <c r="H64" i="54"/>
  <c r="H63" i="54"/>
  <c r="H57" i="54"/>
  <c r="H56" i="54"/>
  <c r="H54" i="54"/>
  <c r="H47" i="54"/>
  <c r="H46" i="54"/>
  <c r="H45" i="54"/>
  <c r="H44" i="54"/>
  <c r="H41" i="54"/>
  <c r="H40" i="54"/>
  <c r="H39" i="54"/>
  <c r="H36" i="54"/>
  <c r="H35" i="54"/>
  <c r="H34" i="54"/>
  <c r="H30" i="54"/>
  <c r="H29" i="54"/>
  <c r="H28" i="54"/>
  <c r="H24" i="54"/>
  <c r="H23" i="54"/>
  <c r="H22" i="54"/>
  <c r="H16" i="54"/>
  <c r="H17" i="54"/>
  <c r="H15" i="54"/>
  <c r="AS40" i="1"/>
  <c r="AS41" i="1"/>
  <c r="AS39" i="1"/>
  <c r="AS35" i="1"/>
  <c r="AS36" i="1"/>
  <c r="AS34" i="1"/>
  <c r="AS29" i="1"/>
  <c r="AS30" i="1"/>
  <c r="AS28" i="1"/>
  <c r="AS23" i="1"/>
  <c r="AS24" i="1"/>
  <c r="AS22" i="1"/>
  <c r="AS16" i="1"/>
  <c r="AS17" i="1"/>
  <c r="AS15" i="1"/>
  <c r="AS77" i="1"/>
  <c r="AS78" i="1"/>
  <c r="AS79" i="1"/>
  <c r="AS76" i="1"/>
  <c r="AS74" i="1"/>
  <c r="AS70" i="1"/>
  <c r="AS71" i="1"/>
  <c r="AS69" i="1"/>
  <c r="AS64" i="1"/>
  <c r="AS65" i="1"/>
  <c r="AS63" i="1"/>
  <c r="AS56" i="1"/>
  <c r="AS57" i="1"/>
  <c r="AS54" i="1"/>
  <c r="AS45" i="1"/>
  <c r="AS46" i="1"/>
  <c r="AS47" i="1"/>
  <c r="AS44" i="1"/>
  <c r="H29" i="55"/>
  <c r="F21" i="56"/>
  <c r="F23" i="56" s="1"/>
  <c r="F25" i="56" l="1"/>
  <c r="F27" i="56" s="1"/>
  <c r="G46" i="79" l="1"/>
  <c r="F46" i="79"/>
  <c r="G29" i="79"/>
  <c r="F29" i="79"/>
  <c r="K17" i="79"/>
  <c r="K20" i="79" s="1"/>
  <c r="K29" i="79" s="1"/>
  <c r="A4" i="79"/>
  <c r="A3" i="79"/>
  <c r="A2" i="79"/>
  <c r="A1" i="79"/>
  <c r="AY56" i="1" l="1"/>
  <c r="AN91" i="1" l="1"/>
  <c r="E86" i="1" l="1"/>
  <c r="E87" i="1"/>
  <c r="AX79" i="1"/>
  <c r="AX78" i="1"/>
  <c r="AX77" i="1"/>
  <c r="AX76" i="1"/>
  <c r="AX74" i="1"/>
  <c r="AW72" i="1"/>
  <c r="AV72" i="1"/>
  <c r="AU72" i="1"/>
  <c r="AR72" i="1"/>
  <c r="AQ72" i="1"/>
  <c r="AX71" i="1"/>
  <c r="AX70" i="1"/>
  <c r="AX69" i="1"/>
  <c r="AW66" i="1"/>
  <c r="AV66" i="1"/>
  <c r="AV73" i="1" s="1"/>
  <c r="AV75" i="1" s="1"/>
  <c r="AV82" i="1" s="1"/>
  <c r="AU66" i="1"/>
  <c r="AR66" i="1"/>
  <c r="AQ66" i="1"/>
  <c r="AX65" i="1"/>
  <c r="AX64" i="1"/>
  <c r="AX63" i="1"/>
  <c r="AX57" i="1"/>
  <c r="AX56" i="1"/>
  <c r="AW56" i="1"/>
  <c r="AR56" i="1"/>
  <c r="AW48" i="1"/>
  <c r="AV48" i="1"/>
  <c r="AU48" i="1"/>
  <c r="AR48" i="1"/>
  <c r="AQ48" i="1"/>
  <c r="AX47" i="1"/>
  <c r="AX46" i="1"/>
  <c r="AX45" i="1"/>
  <c r="AX48" i="1" s="1"/>
  <c r="AX44" i="1"/>
  <c r="AX41" i="1"/>
  <c r="AX40" i="1"/>
  <c r="AX39" i="1"/>
  <c r="AW37" i="1"/>
  <c r="AV37" i="1"/>
  <c r="AU37" i="1"/>
  <c r="AR37" i="1"/>
  <c r="AQ37" i="1"/>
  <c r="AX36" i="1"/>
  <c r="AX35" i="1"/>
  <c r="AX34" i="1"/>
  <c r="AW31" i="1"/>
  <c r="AV31" i="1"/>
  <c r="AU31" i="1"/>
  <c r="AR31" i="1"/>
  <c r="AQ31" i="1"/>
  <c r="AX30" i="1"/>
  <c r="AX29" i="1"/>
  <c r="AX28" i="1"/>
  <c r="AW25" i="1"/>
  <c r="AW49" i="1" s="1"/>
  <c r="AV25" i="1"/>
  <c r="AU25" i="1"/>
  <c r="AR25" i="1"/>
  <c r="AQ25" i="1"/>
  <c r="AX24" i="1"/>
  <c r="AX23" i="1"/>
  <c r="AX22" i="1"/>
  <c r="AX25" i="1" s="1"/>
  <c r="AW18" i="1"/>
  <c r="AV18" i="1"/>
  <c r="AU18" i="1"/>
  <c r="AR18" i="1"/>
  <c r="AQ18" i="1"/>
  <c r="AX17" i="1"/>
  <c r="AX16" i="1"/>
  <c r="AX15" i="1"/>
  <c r="AX18" i="1" s="1"/>
  <c r="AW51" i="1" l="1"/>
  <c r="AV49" i="1"/>
  <c r="AV51" i="1" s="1"/>
  <c r="AR73" i="1"/>
  <c r="AR75" i="1" s="1"/>
  <c r="AR82" i="1" s="1"/>
  <c r="AS55" i="1" s="1"/>
  <c r="H55" i="54" s="1"/>
  <c r="AX72" i="1"/>
  <c r="AR49" i="1"/>
  <c r="AR51" i="1" s="1"/>
  <c r="AQ73" i="1"/>
  <c r="AQ75" i="1" s="1"/>
  <c r="AQ82" i="1" s="1"/>
  <c r="AW73" i="1"/>
  <c r="AW75" i="1" s="1"/>
  <c r="AW82" i="1" s="1"/>
  <c r="AW59" i="1" s="1"/>
  <c r="AU49" i="1"/>
  <c r="AU51" i="1" s="1"/>
  <c r="AX37" i="1"/>
  <c r="AX66" i="1"/>
  <c r="AX31" i="1"/>
  <c r="AQ49" i="1"/>
  <c r="AQ51" i="1" s="1"/>
  <c r="AU73" i="1"/>
  <c r="AU75" i="1" s="1"/>
  <c r="AU82" i="1" s="1"/>
  <c r="AX49" i="1"/>
  <c r="AX51" i="1" s="1"/>
  <c r="N24" i="55"/>
  <c r="AX73" i="1" l="1"/>
  <c r="AX75" i="1" s="1"/>
  <c r="AX82" i="1" s="1"/>
  <c r="AR59" i="1"/>
  <c r="AR89" i="1" s="1"/>
  <c r="AR91" i="1" s="1"/>
  <c r="AR84" i="1" s="1"/>
  <c r="AR54" i="1"/>
  <c r="AW89" i="1"/>
  <c r="AX55" i="1"/>
  <c r="AV59" i="1"/>
  <c r="AV89" i="1" s="1"/>
  <c r="AU54" i="1"/>
  <c r="AX54" i="1" s="1"/>
  <c r="N20" i="55"/>
  <c r="N22" i="55" s="1"/>
  <c r="N19" i="55"/>
  <c r="AW91" i="1" l="1"/>
  <c r="AW84" i="1" s="1"/>
  <c r="AV91" i="1"/>
  <c r="AX59" i="1"/>
  <c r="AU59" i="1"/>
  <c r="AU89" i="1" s="1"/>
  <c r="J50" i="69"/>
  <c r="L50" i="69"/>
  <c r="P50" i="69"/>
  <c r="AV84" i="1" l="1"/>
  <c r="L42" i="79" s="1"/>
  <c r="L46" i="79" s="1"/>
  <c r="AU91" i="1"/>
  <c r="AN90" i="1"/>
  <c r="AN84" i="1" l="1"/>
  <c r="AN92" i="1"/>
  <c r="AX91" i="1"/>
  <c r="AU84" i="1"/>
  <c r="AX84" i="1" s="1"/>
  <c r="N17" i="69"/>
  <c r="N35" i="69" s="1"/>
  <c r="H48" i="69"/>
  <c r="G49" i="69"/>
  <c r="G48" i="69"/>
  <c r="G47" i="69"/>
  <c r="G46" i="69"/>
  <c r="G45" i="69"/>
  <c r="G44" i="69"/>
  <c r="G43" i="69"/>
  <c r="G42" i="69"/>
  <c r="G41" i="69"/>
  <c r="G40" i="69"/>
  <c r="G39" i="69"/>
  <c r="G38" i="69"/>
  <c r="G37" i="69"/>
  <c r="B49" i="69"/>
  <c r="B48" i="69"/>
  <c r="B47" i="69"/>
  <c r="B46" i="69"/>
  <c r="B45" i="69"/>
  <c r="B44" i="69"/>
  <c r="B43" i="69"/>
  <c r="B42" i="69"/>
  <c r="B41" i="69"/>
  <c r="B40" i="69"/>
  <c r="B39" i="69"/>
  <c r="B38" i="69"/>
  <c r="B37" i="69"/>
  <c r="A37" i="69"/>
  <c r="G32" i="69"/>
  <c r="G20" i="69" l="1"/>
  <c r="G21" i="69"/>
  <c r="G22" i="69"/>
  <c r="G23" i="69"/>
  <c r="G24" i="69"/>
  <c r="G25" i="69"/>
  <c r="G26" i="69"/>
  <c r="G27" i="69"/>
  <c r="G28" i="69"/>
  <c r="G29" i="69"/>
  <c r="G30" i="69"/>
  <c r="G33" i="69"/>
  <c r="G31" i="69"/>
  <c r="G19" i="69"/>
  <c r="G12" i="69"/>
  <c r="G13" i="69"/>
  <c r="G14" i="69"/>
  <c r="G11" i="69"/>
  <c r="G17" i="69" l="1"/>
  <c r="G35" i="69" l="1"/>
  <c r="G51" i="69" s="1"/>
  <c r="X18" i="1"/>
  <c r="X25" i="1"/>
  <c r="X31" i="1"/>
  <c r="X37" i="1"/>
  <c r="X48" i="1"/>
  <c r="X71" i="1"/>
  <c r="X72" i="1" s="1"/>
  <c r="X65" i="1"/>
  <c r="X66" i="1" s="1"/>
  <c r="X73" i="1" s="1"/>
  <c r="X75" i="1" s="1"/>
  <c r="X82" i="1" s="1"/>
  <c r="X49" i="1" l="1"/>
  <c r="X51" i="1" s="1"/>
  <c r="I34" i="69"/>
  <c r="P112" i="69"/>
  <c r="L112" i="69"/>
  <c r="AO72" i="1"/>
  <c r="AO66" i="1"/>
  <c r="AO48" i="1"/>
  <c r="AO37" i="1"/>
  <c r="AO31" i="1"/>
  <c r="AO25" i="1"/>
  <c r="AO18" i="1"/>
  <c r="AO73" i="1" l="1"/>
  <c r="AO75" i="1" s="1"/>
  <c r="AO82" i="1" s="1"/>
  <c r="AO49" i="1"/>
  <c r="AO51" i="1" s="1"/>
  <c r="AO54" i="1" l="1"/>
  <c r="AE72" i="1" l="1"/>
  <c r="AE66" i="1"/>
  <c r="AE48" i="1"/>
  <c r="AE37" i="1"/>
  <c r="AE31" i="1"/>
  <c r="AE25" i="1"/>
  <c r="AE18" i="1"/>
  <c r="AC72" i="1"/>
  <c r="AC66" i="1"/>
  <c r="AC48" i="1"/>
  <c r="AC37" i="1"/>
  <c r="AC31" i="1"/>
  <c r="AC25" i="1"/>
  <c r="AC18" i="1"/>
  <c r="AA72" i="1"/>
  <c r="AA66" i="1"/>
  <c r="AA48" i="1"/>
  <c r="AA37" i="1"/>
  <c r="AA31" i="1"/>
  <c r="AA25" i="1"/>
  <c r="AA18" i="1"/>
  <c r="AA11" i="1"/>
  <c r="A38" i="69" s="1"/>
  <c r="AE49" i="1" l="1"/>
  <c r="AE51" i="1" s="1"/>
  <c r="AE54" i="1" s="1"/>
  <c r="AE73" i="1"/>
  <c r="AE75" i="1" s="1"/>
  <c r="AE82" i="1" s="1"/>
  <c r="I42" i="69" s="1"/>
  <c r="AA73" i="1"/>
  <c r="AA75" i="1" s="1"/>
  <c r="AA82" i="1" s="1"/>
  <c r="I38" i="69" s="1"/>
  <c r="AC73" i="1"/>
  <c r="AC75" i="1" s="1"/>
  <c r="AC82" i="1" s="1"/>
  <c r="I40" i="69" s="1"/>
  <c r="AC49" i="1"/>
  <c r="AC51" i="1" s="1"/>
  <c r="AC54" i="1" s="1"/>
  <c r="AA49" i="1"/>
  <c r="AA51" i="1" s="1"/>
  <c r="AA54" i="1" s="1"/>
  <c r="C41" i="3" l="1"/>
  <c r="B41" i="75" s="1"/>
  <c r="B41" i="3"/>
  <c r="AK72" i="1"/>
  <c r="AK66" i="1"/>
  <c r="AK48" i="1"/>
  <c r="AK37" i="1"/>
  <c r="AK31" i="1"/>
  <c r="AK25" i="1"/>
  <c r="AK18" i="1"/>
  <c r="AK73" i="1" l="1"/>
  <c r="AK75" i="1" s="1"/>
  <c r="AK82" i="1" s="1"/>
  <c r="I48" i="69" s="1"/>
  <c r="AK49" i="1"/>
  <c r="AK51" i="1" s="1"/>
  <c r="AK54" i="1" s="1"/>
  <c r="E41" i="3" l="1"/>
  <c r="F41" i="75" s="1"/>
  <c r="G41" i="75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2" i="1"/>
  <c r="V66" i="1"/>
  <c r="V48" i="1"/>
  <c r="V37" i="1"/>
  <c r="V31" i="1"/>
  <c r="V25" i="1"/>
  <c r="V18" i="1"/>
  <c r="V73" i="1" l="1"/>
  <c r="V75" i="1" s="1"/>
  <c r="V82" i="1" s="1"/>
  <c r="V49" i="1"/>
  <c r="V51" i="1" s="1"/>
  <c r="V66" i="76"/>
  <c r="V25" i="76"/>
  <c r="V72" i="76"/>
  <c r="V31" i="76"/>
  <c r="V37" i="76"/>
  <c r="V48" i="76"/>
  <c r="V18" i="76"/>
  <c r="V54" i="1" l="1"/>
  <c r="V54" i="76" s="1"/>
  <c r="E25" i="3"/>
  <c r="F28" i="75" s="1"/>
  <c r="G28" i="75" s="1"/>
  <c r="V73" i="76"/>
  <c r="V75" i="76" s="1"/>
  <c r="V82" i="76" s="1"/>
  <c r="V49" i="76"/>
  <c r="V51" i="76" s="1"/>
  <c r="A3" i="76" l="1"/>
  <c r="F36" i="5" l="1"/>
  <c r="F46" i="5"/>
  <c r="F78" i="5"/>
  <c r="F296" i="5"/>
  <c r="F297" i="5"/>
  <c r="AB8" i="76" l="1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T79" i="76"/>
  <c r="T78" i="76"/>
  <c r="T77" i="76"/>
  <c r="T76" i="76"/>
  <c r="T74" i="76"/>
  <c r="T71" i="76"/>
  <c r="T70" i="76"/>
  <c r="T69" i="76"/>
  <c r="T65" i="76"/>
  <c r="T64" i="76"/>
  <c r="T63" i="76"/>
  <c r="T57" i="76"/>
  <c r="T56" i="76"/>
  <c r="T47" i="76"/>
  <c r="T46" i="76"/>
  <c r="T45" i="76"/>
  <c r="T44" i="76"/>
  <c r="T41" i="76"/>
  <c r="T40" i="76"/>
  <c r="T39" i="76"/>
  <c r="T36" i="76"/>
  <c r="T35" i="76"/>
  <c r="T34" i="76"/>
  <c r="T30" i="76"/>
  <c r="T29" i="76"/>
  <c r="T28" i="76"/>
  <c r="T24" i="76"/>
  <c r="T23" i="76"/>
  <c r="T22" i="76"/>
  <c r="T17" i="76"/>
  <c r="T16" i="76"/>
  <c r="T15" i="76"/>
  <c r="T12" i="76"/>
  <c r="T10" i="76"/>
  <c r="T9" i="76"/>
  <c r="T8" i="76"/>
  <c r="T25" i="76" l="1"/>
  <c r="U18" i="76"/>
  <c r="T66" i="76"/>
  <c r="T18" i="76"/>
  <c r="AB66" i="76"/>
  <c r="T37" i="76"/>
  <c r="AB72" i="76"/>
  <c r="AB31" i="76"/>
  <c r="T31" i="76"/>
  <c r="U37" i="76"/>
  <c r="AB37" i="76"/>
  <c r="T48" i="76"/>
  <c r="U31" i="76"/>
  <c r="AB18" i="76"/>
  <c r="U25" i="76"/>
  <c r="AB48" i="76"/>
  <c r="AB25" i="76"/>
  <c r="T72" i="76"/>
  <c r="U48" i="76"/>
  <c r="U66" i="76"/>
  <c r="U72" i="76"/>
  <c r="AJ8" i="76"/>
  <c r="AJ9" i="76"/>
  <c r="AJ10" i="76"/>
  <c r="AJ12" i="76"/>
  <c r="AJ15" i="76"/>
  <c r="AJ16" i="76"/>
  <c r="AJ17" i="76"/>
  <c r="AJ22" i="76"/>
  <c r="AJ23" i="76"/>
  <c r="AJ24" i="76"/>
  <c r="AJ28" i="76"/>
  <c r="AJ29" i="76"/>
  <c r="AJ30" i="76"/>
  <c r="AJ34" i="76"/>
  <c r="AJ35" i="76"/>
  <c r="AJ36" i="76"/>
  <c r="AJ39" i="76"/>
  <c r="AJ40" i="76"/>
  <c r="AJ41" i="76"/>
  <c r="AJ44" i="76"/>
  <c r="AJ45" i="76"/>
  <c r="AJ46" i="76"/>
  <c r="AJ47" i="76"/>
  <c r="AJ56" i="76"/>
  <c r="AJ57" i="76"/>
  <c r="AJ63" i="76"/>
  <c r="AJ64" i="76"/>
  <c r="AJ65" i="76"/>
  <c r="AJ69" i="76"/>
  <c r="AJ70" i="76"/>
  <c r="AJ71" i="76"/>
  <c r="AJ74" i="76"/>
  <c r="AJ76" i="76"/>
  <c r="AJ77" i="76"/>
  <c r="AJ78" i="76"/>
  <c r="AJ79" i="76"/>
  <c r="AI8" i="76"/>
  <c r="AI9" i="76"/>
  <c r="AI10" i="76"/>
  <c r="AI12" i="76"/>
  <c r="AI15" i="76"/>
  <c r="AI16" i="76"/>
  <c r="AI17" i="76"/>
  <c r="AI22" i="76"/>
  <c r="AI23" i="76"/>
  <c r="AI24" i="76"/>
  <c r="AI28" i="76"/>
  <c r="AI29" i="76"/>
  <c r="AI30" i="76"/>
  <c r="AI34" i="76"/>
  <c r="AI35" i="76"/>
  <c r="AI36" i="76"/>
  <c r="AI39" i="76"/>
  <c r="AI40" i="76"/>
  <c r="AI41" i="76"/>
  <c r="AI44" i="76"/>
  <c r="AI45" i="76"/>
  <c r="AI46" i="76"/>
  <c r="AI47" i="76"/>
  <c r="AI56" i="76"/>
  <c r="AI57" i="76"/>
  <c r="AI63" i="76"/>
  <c r="AI64" i="76"/>
  <c r="AI65" i="76"/>
  <c r="AI69" i="76"/>
  <c r="AI70" i="76"/>
  <c r="AI71" i="76"/>
  <c r="AI74" i="76"/>
  <c r="AI76" i="76"/>
  <c r="AI77" i="76"/>
  <c r="AI78" i="76"/>
  <c r="AI79" i="76"/>
  <c r="AD8" i="76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C43" i="3"/>
  <c r="B43" i="75" s="1"/>
  <c r="B43" i="3"/>
  <c r="C42" i="3"/>
  <c r="B42" i="75" s="1"/>
  <c r="B42" i="3"/>
  <c r="AL72" i="1"/>
  <c r="AL66" i="1"/>
  <c r="AL48" i="1"/>
  <c r="AL37" i="1"/>
  <c r="AL31" i="1"/>
  <c r="AL25" i="1"/>
  <c r="AL18" i="1"/>
  <c r="T49" i="76" l="1"/>
  <c r="T51" i="76" s="1"/>
  <c r="U73" i="76"/>
  <c r="U75" i="76" s="1"/>
  <c r="U82" i="76" s="1"/>
  <c r="T73" i="76"/>
  <c r="T75" i="76" s="1"/>
  <c r="T82" i="76" s="1"/>
  <c r="AB73" i="76"/>
  <c r="AB75" i="76" s="1"/>
  <c r="AB82" i="76" s="1"/>
  <c r="AB49" i="76"/>
  <c r="AB51" i="76" s="1"/>
  <c r="U49" i="76"/>
  <c r="U51" i="76" s="1"/>
  <c r="AL73" i="1"/>
  <c r="AL75" i="1" s="1"/>
  <c r="AL82" i="1" s="1"/>
  <c r="I49" i="69" s="1"/>
  <c r="AJ37" i="76"/>
  <c r="AJ25" i="76"/>
  <c r="AJ31" i="76"/>
  <c r="AJ48" i="76"/>
  <c r="AJ18" i="76"/>
  <c r="AD72" i="76"/>
  <c r="AJ66" i="76"/>
  <c r="AJ72" i="76"/>
  <c r="AI66" i="76"/>
  <c r="AD66" i="76"/>
  <c r="AD25" i="76"/>
  <c r="AI31" i="76"/>
  <c r="AD31" i="76"/>
  <c r="AI37" i="76"/>
  <c r="AD37" i="76"/>
  <c r="AI48" i="76"/>
  <c r="AI18" i="76"/>
  <c r="AD48" i="76"/>
  <c r="AD18" i="76"/>
  <c r="AI72" i="76"/>
  <c r="AI25" i="76"/>
  <c r="AL49" i="1"/>
  <c r="AL51" i="1" s="1"/>
  <c r="AL54" i="1" s="1"/>
  <c r="AI54" i="76" s="1"/>
  <c r="AB11" i="1"/>
  <c r="A39" i="69" s="1"/>
  <c r="AC11" i="1" l="1"/>
  <c r="E42" i="3"/>
  <c r="F42" i="75" s="1"/>
  <c r="G42" i="75" s="1"/>
  <c r="AD49" i="76"/>
  <c r="AD51" i="76" s="1"/>
  <c r="AJ49" i="76"/>
  <c r="AJ51" i="76" s="1"/>
  <c r="AI73" i="76"/>
  <c r="AI75" i="76" s="1"/>
  <c r="AI82" i="76" s="1"/>
  <c r="AD73" i="76"/>
  <c r="AD75" i="76" s="1"/>
  <c r="AD82" i="76" s="1"/>
  <c r="AJ73" i="76"/>
  <c r="AJ75" i="76" s="1"/>
  <c r="AJ82" i="76" s="1"/>
  <c r="AI49" i="76"/>
  <c r="AI51" i="76" s="1"/>
  <c r="AJ54" i="76"/>
  <c r="AD11" i="1" l="1"/>
  <c r="A41" i="69" s="1"/>
  <c r="A40" i="69"/>
  <c r="L48" i="69"/>
  <c r="E43" i="3"/>
  <c r="F43" i="75" s="1"/>
  <c r="G43" i="75" s="1"/>
  <c r="AB11" i="76" l="1"/>
  <c r="AE11" i="1"/>
  <c r="AF11" i="1" l="1"/>
  <c r="A42" i="69"/>
  <c r="J72" i="77"/>
  <c r="J66" i="77"/>
  <c r="J73" i="77" s="1"/>
  <c r="J75" i="77" s="1"/>
  <c r="J81" i="77" s="1"/>
  <c r="J55" i="77"/>
  <c r="J31" i="77"/>
  <c r="J25" i="77"/>
  <c r="AG11" i="1" l="1"/>
  <c r="A43" i="69"/>
  <c r="AD11" i="76"/>
  <c r="AK84" i="77"/>
  <c r="I72" i="77"/>
  <c r="I66" i="77"/>
  <c r="I55" i="77"/>
  <c r="I31" i="77"/>
  <c r="I25" i="77"/>
  <c r="A5" i="77"/>
  <c r="A4" i="77"/>
  <c r="A3" i="77"/>
  <c r="A2" i="77"/>
  <c r="AH11" i="1" l="1"/>
  <c r="A44" i="69"/>
  <c r="I73" i="77"/>
  <c r="I75" i="77" s="1"/>
  <c r="I81" i="77" s="1"/>
  <c r="AI11" i="1" l="1"/>
  <c r="A45" i="69"/>
  <c r="R39" i="1"/>
  <c r="R44" i="1"/>
  <c r="AJ11" i="1" l="1"/>
  <c r="A46" i="69"/>
  <c r="AK11" i="1" l="1"/>
  <c r="A47" i="69"/>
  <c r="L22" i="55"/>
  <c r="AD25" i="1"/>
  <c r="AB48" i="1"/>
  <c r="AD37" i="1"/>
  <c r="A48" i="69" l="1"/>
  <c r="AL11" i="1"/>
  <c r="A41" i="3"/>
  <c r="A41" i="75" s="1"/>
  <c r="X55" i="1"/>
  <c r="X59" i="1" s="1"/>
  <c r="E48" i="75"/>
  <c r="AA55" i="1"/>
  <c r="AA59" i="1" s="1"/>
  <c r="H38" i="69" s="1"/>
  <c r="AC55" i="1"/>
  <c r="AC59" i="1" s="1"/>
  <c r="H40" i="69" s="1"/>
  <c r="AE55" i="1"/>
  <c r="AE59" i="1" s="1"/>
  <c r="H42" i="69" s="1"/>
  <c r="AK55" i="1"/>
  <c r="V55" i="1"/>
  <c r="AL55" i="1"/>
  <c r="H34" i="69" l="1"/>
  <c r="A49" i="69"/>
  <c r="AI11" i="76"/>
  <c r="A42" i="3"/>
  <c r="A42" i="75" s="1"/>
  <c r="AO11" i="1"/>
  <c r="B31" i="69"/>
  <c r="AF8" i="76"/>
  <c r="X8" i="76"/>
  <c r="AG8" i="76"/>
  <c r="AH8" i="76"/>
  <c r="AF9" i="76"/>
  <c r="X9" i="76"/>
  <c r="AG9" i="76"/>
  <c r="AH9" i="76"/>
  <c r="AF10" i="76"/>
  <c r="X10" i="76"/>
  <c r="AG10" i="76"/>
  <c r="AH10" i="76"/>
  <c r="AF12" i="76"/>
  <c r="X12" i="76"/>
  <c r="AG12" i="76"/>
  <c r="AH12" i="76"/>
  <c r="AF15" i="76"/>
  <c r="X15" i="76"/>
  <c r="AG15" i="76"/>
  <c r="AH15" i="76"/>
  <c r="AF16" i="76"/>
  <c r="X16" i="76"/>
  <c r="AG16" i="76"/>
  <c r="AH16" i="76"/>
  <c r="AF17" i="76"/>
  <c r="X17" i="76"/>
  <c r="AG17" i="76"/>
  <c r="AH17" i="76"/>
  <c r="AF22" i="76"/>
  <c r="X22" i="76"/>
  <c r="AG22" i="76"/>
  <c r="AH22" i="76"/>
  <c r="AF23" i="76"/>
  <c r="X23" i="76"/>
  <c r="AG23" i="76"/>
  <c r="AH23" i="76"/>
  <c r="AF24" i="76"/>
  <c r="X24" i="76"/>
  <c r="AG24" i="76"/>
  <c r="AH24" i="76"/>
  <c r="AF28" i="76"/>
  <c r="X28" i="76"/>
  <c r="AG28" i="76"/>
  <c r="AH28" i="76"/>
  <c r="AF29" i="76"/>
  <c r="X29" i="76"/>
  <c r="AG29" i="76"/>
  <c r="AH29" i="76"/>
  <c r="AF30" i="76"/>
  <c r="X30" i="76"/>
  <c r="AG30" i="76"/>
  <c r="AH30" i="76"/>
  <c r="AF34" i="76"/>
  <c r="X34" i="76"/>
  <c r="AG34" i="76"/>
  <c r="AH34" i="76"/>
  <c r="AF35" i="76"/>
  <c r="X35" i="76"/>
  <c r="AG35" i="76"/>
  <c r="AH35" i="76"/>
  <c r="AF36" i="76"/>
  <c r="X36" i="76"/>
  <c r="AG36" i="76"/>
  <c r="AH36" i="76"/>
  <c r="AF39" i="76"/>
  <c r="X39" i="76"/>
  <c r="AG39" i="76"/>
  <c r="AH39" i="76"/>
  <c r="AF40" i="76"/>
  <c r="X40" i="76"/>
  <c r="AG40" i="76"/>
  <c r="AH40" i="76"/>
  <c r="AF41" i="76"/>
  <c r="X41" i="76"/>
  <c r="AG41" i="76"/>
  <c r="AH41" i="76"/>
  <c r="AF44" i="76"/>
  <c r="X44" i="76"/>
  <c r="AG44" i="76"/>
  <c r="AH44" i="76"/>
  <c r="AF45" i="76"/>
  <c r="X45" i="76"/>
  <c r="AG45" i="76"/>
  <c r="AH45" i="76"/>
  <c r="AF46" i="76"/>
  <c r="X46" i="76"/>
  <c r="AG46" i="76"/>
  <c r="AH46" i="76"/>
  <c r="AF47" i="76"/>
  <c r="X47" i="76"/>
  <c r="AG47" i="76"/>
  <c r="AH47" i="76"/>
  <c r="AF56" i="76"/>
  <c r="X56" i="76"/>
  <c r="AG56" i="76"/>
  <c r="AH56" i="76"/>
  <c r="AF57" i="76"/>
  <c r="X57" i="76"/>
  <c r="AG57" i="76"/>
  <c r="AH57" i="76"/>
  <c r="AF63" i="76"/>
  <c r="X63" i="76"/>
  <c r="AG63" i="76"/>
  <c r="AH63" i="76"/>
  <c r="AF64" i="76"/>
  <c r="X64" i="76"/>
  <c r="AG64" i="76"/>
  <c r="AH64" i="76"/>
  <c r="AF65" i="76"/>
  <c r="X65" i="76"/>
  <c r="AG65" i="76"/>
  <c r="AH65" i="76"/>
  <c r="AF69" i="76"/>
  <c r="X69" i="76"/>
  <c r="AG69" i="76"/>
  <c r="AH69" i="76"/>
  <c r="AF70" i="76"/>
  <c r="X70" i="76"/>
  <c r="AG70" i="76"/>
  <c r="AH70" i="76"/>
  <c r="AF71" i="76"/>
  <c r="X71" i="76"/>
  <c r="AG71" i="76"/>
  <c r="AH71" i="76"/>
  <c r="AF74" i="76"/>
  <c r="X74" i="76"/>
  <c r="AG74" i="76"/>
  <c r="AH74" i="76"/>
  <c r="AF76" i="76"/>
  <c r="X76" i="76"/>
  <c r="AG76" i="76"/>
  <c r="AH76" i="76"/>
  <c r="AF77" i="76"/>
  <c r="X77" i="76"/>
  <c r="AG77" i="76"/>
  <c r="AH77" i="76"/>
  <c r="AF78" i="76"/>
  <c r="X78" i="76"/>
  <c r="AG78" i="76"/>
  <c r="AH78" i="76"/>
  <c r="AF79" i="76"/>
  <c r="X79" i="76"/>
  <c r="AG79" i="76"/>
  <c r="AH79" i="76"/>
  <c r="C36" i="3"/>
  <c r="B36" i="75" s="1"/>
  <c r="B36" i="3"/>
  <c r="AF72" i="1"/>
  <c r="AF66" i="1"/>
  <c r="AF48" i="1"/>
  <c r="AF37" i="1"/>
  <c r="AF31" i="1"/>
  <c r="AF25" i="1"/>
  <c r="AF18" i="1"/>
  <c r="J34" i="69" l="1"/>
  <c r="P34" i="69" s="1"/>
  <c r="AJ11" i="76"/>
  <c r="A43" i="3"/>
  <c r="A43" i="75" s="1"/>
  <c r="AF73" i="1"/>
  <c r="AF75" i="1" s="1"/>
  <c r="AF82" i="1" s="1"/>
  <c r="AF49" i="1"/>
  <c r="AF51" i="1" s="1"/>
  <c r="AF54" i="1" s="1"/>
  <c r="AD54" i="76" s="1"/>
  <c r="AF31" i="76"/>
  <c r="AH25" i="76"/>
  <c r="AF48" i="76"/>
  <c r="AH37" i="76"/>
  <c r="AF18" i="76"/>
  <c r="AH31" i="76"/>
  <c r="AG72" i="76"/>
  <c r="AH18" i="76"/>
  <c r="AH48" i="76"/>
  <c r="AF37" i="76"/>
  <c r="AF25" i="76"/>
  <c r="AG66" i="76"/>
  <c r="AG48" i="76"/>
  <c r="AG31" i="76"/>
  <c r="AG18" i="76"/>
  <c r="X48" i="76"/>
  <c r="X31" i="76"/>
  <c r="X18" i="76"/>
  <c r="AH66" i="76"/>
  <c r="AF66" i="76"/>
  <c r="AH72" i="76"/>
  <c r="AF72" i="76"/>
  <c r="X66" i="76"/>
  <c r="AG37" i="76"/>
  <c r="X37" i="76"/>
  <c r="AG25" i="76"/>
  <c r="X25" i="76"/>
  <c r="X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3" i="5"/>
  <c r="F17" i="5" s="1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54" i="5" s="1"/>
  <c r="F210" i="5"/>
  <c r="F56" i="5" s="1"/>
  <c r="F211" i="5"/>
  <c r="F57" i="5" s="1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AF55" i="1" l="1"/>
  <c r="I43" i="69"/>
  <c r="F29" i="5"/>
  <c r="F23" i="5"/>
  <c r="F18" i="5"/>
  <c r="F45" i="5"/>
  <c r="F24" i="5"/>
  <c r="F48" i="5"/>
  <c r="E36" i="3"/>
  <c r="F36" i="75" s="1"/>
  <c r="G36" i="75" s="1"/>
  <c r="AG49" i="76"/>
  <c r="AG51" i="76" s="1"/>
  <c r="X49" i="76"/>
  <c r="X51" i="76" s="1"/>
  <c r="AG73" i="76"/>
  <c r="AG75" i="76" s="1"/>
  <c r="AG82" i="76" s="1"/>
  <c r="AF49" i="76"/>
  <c r="AF51" i="76" s="1"/>
  <c r="AH73" i="76"/>
  <c r="AH75" i="76" s="1"/>
  <c r="AH82" i="76" s="1"/>
  <c r="X73" i="76"/>
  <c r="X75" i="76" s="1"/>
  <c r="X82" i="76" s="1"/>
  <c r="AH49" i="76"/>
  <c r="AH51" i="76" s="1"/>
  <c r="AF73" i="76"/>
  <c r="AF75" i="76" s="1"/>
  <c r="AF82" i="76" s="1"/>
  <c r="F31" i="5"/>
  <c r="F37" i="5"/>
  <c r="F25" i="5" l="1"/>
  <c r="F49" i="5" s="1"/>
  <c r="F51" i="5" s="1"/>
  <c r="F59" i="5" s="1"/>
  <c r="Z8" i="76" l="1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Z25" i="76" l="1"/>
  <c r="Z18" i="76"/>
  <c r="Z48" i="76"/>
  <c r="Z66" i="76"/>
  <c r="Z37" i="76"/>
  <c r="Z31" i="76"/>
  <c r="Z72" i="76"/>
  <c r="AB37" i="1"/>
  <c r="Z73" i="76" l="1"/>
  <c r="Z75" i="76" s="1"/>
  <c r="Z82" i="76" s="1"/>
  <c r="Z49" i="76"/>
  <c r="Z51" i="76" s="1"/>
  <c r="AA34" i="76" l="1"/>
  <c r="AA39" i="76"/>
  <c r="AA40" i="76"/>
  <c r="AA44" i="76"/>
  <c r="AA41" i="76"/>
  <c r="Q35" i="76" l="1"/>
  <c r="AG44" i="1"/>
  <c r="AG39" i="1"/>
  <c r="AG36" i="1"/>
  <c r="S44" i="1"/>
  <c r="S39" i="1"/>
  <c r="S36" i="1"/>
  <c r="R36" i="1"/>
  <c r="M18" i="1"/>
  <c r="M25" i="1"/>
  <c r="M31" i="1"/>
  <c r="M37" i="1"/>
  <c r="M48" i="1"/>
  <c r="M66" i="1"/>
  <c r="M72" i="1"/>
  <c r="M49" i="1" l="1"/>
  <c r="M51" i="1" s="1"/>
  <c r="M54" i="1" s="1"/>
  <c r="M73" i="1"/>
  <c r="M75" i="1" s="1"/>
  <c r="M82" i="1" s="1"/>
  <c r="M55" i="1" s="1"/>
  <c r="B29" i="69"/>
  <c r="C38" i="3"/>
  <c r="B38" i="75" s="1"/>
  <c r="C30" i="3"/>
  <c r="B30" i="75" s="1"/>
  <c r="B38" i="3"/>
  <c r="B30" i="3"/>
  <c r="C37" i="3"/>
  <c r="B37" i="75" s="1"/>
  <c r="B37" i="3"/>
  <c r="C22" i="3"/>
  <c r="B25" i="75" s="1"/>
  <c r="B22" i="3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Z72" i="1"/>
  <c r="Z66" i="1"/>
  <c r="Z48" i="1"/>
  <c r="Z37" i="1"/>
  <c r="Z31" i="1"/>
  <c r="Z25" i="1"/>
  <c r="Z18" i="1"/>
  <c r="Z73" i="1" l="1"/>
  <c r="Z75" i="1" s="1"/>
  <c r="Z82" i="1" s="1"/>
  <c r="I37" i="69" s="1"/>
  <c r="Z49" i="1"/>
  <c r="Z51" i="1" s="1"/>
  <c r="S18" i="76"/>
  <c r="S48" i="76"/>
  <c r="S37" i="76"/>
  <c r="S66" i="76"/>
  <c r="S72" i="76"/>
  <c r="S25" i="76"/>
  <c r="S31" i="76"/>
  <c r="S72" i="1"/>
  <c r="S66" i="1"/>
  <c r="S48" i="1"/>
  <c r="S37" i="1"/>
  <c r="S31" i="1"/>
  <c r="S25" i="1"/>
  <c r="S18" i="1"/>
  <c r="Z55" i="1" l="1"/>
  <c r="E30" i="3"/>
  <c r="F30" i="75" s="1"/>
  <c r="G30" i="75" s="1"/>
  <c r="S73" i="1"/>
  <c r="S75" i="1" s="1"/>
  <c r="S82" i="1" s="1"/>
  <c r="S55" i="1" s="1"/>
  <c r="S73" i="76"/>
  <c r="S75" i="76" s="1"/>
  <c r="S82" i="76" s="1"/>
  <c r="S49" i="76"/>
  <c r="S51" i="76" s="1"/>
  <c r="Z54" i="1"/>
  <c r="X54" i="76" s="1"/>
  <c r="S49" i="1"/>
  <c r="S51" i="1" s="1"/>
  <c r="E22" i="3" l="1"/>
  <c r="F25" i="75" s="1"/>
  <c r="G25" i="75" s="1"/>
  <c r="I29" i="69"/>
  <c r="M29" i="69" s="1"/>
  <c r="S54" i="1"/>
  <c r="S54" i="76" s="1"/>
  <c r="A3" i="54"/>
  <c r="AE10" i="76" l="1"/>
  <c r="AE8" i="76"/>
  <c r="AE9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AG72" i="1"/>
  <c r="AG66" i="1"/>
  <c r="AG48" i="1"/>
  <c r="AG37" i="1"/>
  <c r="AG31" i="1"/>
  <c r="AG25" i="1"/>
  <c r="AG18" i="1"/>
  <c r="AG73" i="1" l="1"/>
  <c r="AG75" i="1" s="1"/>
  <c r="AG82" i="1" s="1"/>
  <c r="I44" i="69" s="1"/>
  <c r="AE25" i="76"/>
  <c r="AE18" i="76"/>
  <c r="AE31" i="76"/>
  <c r="AE72" i="76"/>
  <c r="AE37" i="76"/>
  <c r="AE66" i="76"/>
  <c r="AE48" i="76"/>
  <c r="AG49" i="1"/>
  <c r="AG51" i="1" s="1"/>
  <c r="E37" i="3" l="1"/>
  <c r="F37" i="75" s="1"/>
  <c r="G37" i="75" s="1"/>
  <c r="AG55" i="1"/>
  <c r="AG54" i="1"/>
  <c r="AE54" i="76" s="1"/>
  <c r="AE73" i="76"/>
  <c r="AE75" i="76" s="1"/>
  <c r="AE82" i="76" s="1"/>
  <c r="AE49" i="76"/>
  <c r="AE51" i="76" s="1"/>
  <c r="C35" i="3"/>
  <c r="B35" i="75" s="1"/>
  <c r="B35" i="3"/>
  <c r="G8" i="76" l="1"/>
  <c r="H8" i="76"/>
  <c r="I8" i="76"/>
  <c r="J8" i="76"/>
  <c r="K8" i="76"/>
  <c r="L8" i="76"/>
  <c r="M8" i="76"/>
  <c r="N8" i="76"/>
  <c r="O8" i="76"/>
  <c r="P8" i="76"/>
  <c r="Q8" i="76"/>
  <c r="R8" i="76"/>
  <c r="W8" i="76"/>
  <c r="Y8" i="76"/>
  <c r="AA8" i="76"/>
  <c r="AC8" i="76"/>
  <c r="G9" i="76"/>
  <c r="H9" i="76"/>
  <c r="I9" i="76"/>
  <c r="J9" i="76"/>
  <c r="K9" i="76"/>
  <c r="L9" i="76"/>
  <c r="M9" i="76"/>
  <c r="N9" i="76"/>
  <c r="O9" i="76"/>
  <c r="P9" i="76"/>
  <c r="Q9" i="76"/>
  <c r="R9" i="76"/>
  <c r="W9" i="76"/>
  <c r="Y9" i="76"/>
  <c r="AA9" i="76"/>
  <c r="AC9" i="76"/>
  <c r="G10" i="76"/>
  <c r="I10" i="76"/>
  <c r="J10" i="76"/>
  <c r="M10" i="76"/>
  <c r="N10" i="76"/>
  <c r="O10" i="76"/>
  <c r="P10" i="76"/>
  <c r="R10" i="76"/>
  <c r="W10" i="76"/>
  <c r="Y10" i="76"/>
  <c r="AA10" i="76"/>
  <c r="AC10" i="76"/>
  <c r="I11" i="76"/>
  <c r="Y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W12" i="76"/>
  <c r="Y12" i="76"/>
  <c r="AA12" i="76"/>
  <c r="AC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W15" i="76"/>
  <c r="Y15" i="76"/>
  <c r="AA15" i="76"/>
  <c r="AC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W16" i="76"/>
  <c r="Y16" i="76"/>
  <c r="AA16" i="76"/>
  <c r="AC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W17" i="76"/>
  <c r="Y17" i="76"/>
  <c r="AA17" i="76"/>
  <c r="AC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W22" i="76"/>
  <c r="Y22" i="76"/>
  <c r="AA22" i="76"/>
  <c r="AC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W23" i="76"/>
  <c r="AA23" i="76"/>
  <c r="AC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W24" i="76"/>
  <c r="Y24" i="76"/>
  <c r="AA24" i="76"/>
  <c r="AC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W28" i="76"/>
  <c r="AA28" i="76"/>
  <c r="AC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W29" i="76"/>
  <c r="Y29" i="76"/>
  <c r="AA29" i="76"/>
  <c r="AC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W30" i="76"/>
  <c r="Y30" i="76"/>
  <c r="AA30" i="76"/>
  <c r="AC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W34" i="76"/>
  <c r="AC34" i="76"/>
  <c r="G35" i="76"/>
  <c r="H35" i="76"/>
  <c r="I35" i="76"/>
  <c r="J35" i="76"/>
  <c r="K35" i="76"/>
  <c r="L35" i="76"/>
  <c r="M35" i="76"/>
  <c r="N35" i="76"/>
  <c r="O35" i="76"/>
  <c r="P35" i="76"/>
  <c r="R35" i="76"/>
  <c r="W35" i="76"/>
  <c r="Y35" i="76"/>
  <c r="AA35" i="76"/>
  <c r="AC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W36" i="76"/>
  <c r="Y36" i="76"/>
  <c r="AA36" i="76"/>
  <c r="AC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W39" i="76"/>
  <c r="AC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W40" i="76"/>
  <c r="AC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W41" i="76"/>
  <c r="AC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W44" i="76"/>
  <c r="AC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W45" i="76"/>
  <c r="Y45" i="76"/>
  <c r="AA45" i="76"/>
  <c r="AC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W46" i="76"/>
  <c r="Y46" i="76"/>
  <c r="AA46" i="76"/>
  <c r="AC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W47" i="76"/>
  <c r="Y47" i="76"/>
  <c r="AA47" i="76"/>
  <c r="AC47" i="76"/>
  <c r="N54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W56" i="76"/>
  <c r="Y56" i="76"/>
  <c r="AA56" i="76"/>
  <c r="AC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W57" i="76"/>
  <c r="Y57" i="76"/>
  <c r="AA57" i="76"/>
  <c r="AC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W63" i="76"/>
  <c r="Y63" i="76"/>
  <c r="AA63" i="76"/>
  <c r="AC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W64" i="76"/>
  <c r="Y64" i="76"/>
  <c r="AA64" i="76"/>
  <c r="AC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W65" i="76"/>
  <c r="Y65" i="76"/>
  <c r="AA65" i="76"/>
  <c r="AC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W69" i="76"/>
  <c r="Y69" i="76"/>
  <c r="AA69" i="76"/>
  <c r="AC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W70" i="76"/>
  <c r="Y70" i="76"/>
  <c r="AA70" i="76"/>
  <c r="AC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W71" i="76"/>
  <c r="Y71" i="76"/>
  <c r="AA71" i="76"/>
  <c r="AC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W74" i="76"/>
  <c r="Y74" i="76"/>
  <c r="AA74" i="76"/>
  <c r="AC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W76" i="76"/>
  <c r="Y76" i="76"/>
  <c r="AA76" i="76"/>
  <c r="AC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W77" i="76"/>
  <c r="Y77" i="76"/>
  <c r="AA77" i="76"/>
  <c r="AC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W78" i="76"/>
  <c r="Y78" i="76"/>
  <c r="AA78" i="76"/>
  <c r="AC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W79" i="76"/>
  <c r="Y79" i="76"/>
  <c r="AA79" i="76"/>
  <c r="AC79" i="76"/>
  <c r="G66" i="76" l="1"/>
  <c r="O18" i="76"/>
  <c r="I18" i="76"/>
  <c r="Y72" i="76"/>
  <c r="J72" i="76"/>
  <c r="N66" i="76"/>
  <c r="G18" i="76"/>
  <c r="H18" i="76"/>
  <c r="AC72" i="76"/>
  <c r="R72" i="76"/>
  <c r="N72" i="76"/>
  <c r="R66" i="76"/>
  <c r="J66" i="76"/>
  <c r="W72" i="76"/>
  <c r="W66" i="76"/>
  <c r="AC31" i="76"/>
  <c r="AC18" i="76"/>
  <c r="L18" i="76"/>
  <c r="AC37" i="76"/>
  <c r="H48" i="76"/>
  <c r="W48" i="76"/>
  <c r="R48" i="76"/>
  <c r="N48" i="76"/>
  <c r="J48" i="76"/>
  <c r="K72" i="76"/>
  <c r="G72" i="76"/>
  <c r="AC66" i="76"/>
  <c r="Y66" i="76"/>
  <c r="H25" i="76"/>
  <c r="W31" i="76"/>
  <c r="K18" i="76"/>
  <c r="G31" i="76"/>
  <c r="Q31" i="76"/>
  <c r="I31" i="76"/>
  <c r="H31" i="76"/>
  <c r="K48" i="76"/>
  <c r="G48" i="76"/>
  <c r="AA37" i="76"/>
  <c r="M37" i="76"/>
  <c r="I37" i="76"/>
  <c r="H37" i="76"/>
  <c r="I25" i="76"/>
  <c r="L48" i="76"/>
  <c r="I48" i="76"/>
  <c r="O37" i="76"/>
  <c r="G37" i="76"/>
  <c r="Q37" i="76"/>
  <c r="M31" i="76"/>
  <c r="AA18" i="76"/>
  <c r="O48" i="76"/>
  <c r="P37" i="76"/>
  <c r="L37" i="76"/>
  <c r="P31" i="76"/>
  <c r="L31" i="76"/>
  <c r="Q25" i="76"/>
  <c r="O25" i="76"/>
  <c r="G25" i="76"/>
  <c r="P48" i="76"/>
  <c r="K31" i="76"/>
  <c r="Q18" i="76"/>
  <c r="M18" i="76"/>
  <c r="Q48" i="76"/>
  <c r="W37" i="76"/>
  <c r="R37" i="76"/>
  <c r="N37" i="76"/>
  <c r="J37" i="76"/>
  <c r="L25" i="76"/>
  <c r="M25" i="76"/>
  <c r="P25" i="76"/>
  <c r="O31" i="76"/>
  <c r="K37" i="76"/>
  <c r="K25" i="76"/>
  <c r="P18" i="76"/>
  <c r="O66" i="76"/>
  <c r="K66" i="76"/>
  <c r="AA48" i="76"/>
  <c r="AA31" i="76"/>
  <c r="AA25" i="76"/>
  <c r="O72" i="76"/>
  <c r="M48" i="76"/>
  <c r="Q72" i="76"/>
  <c r="M72" i="76"/>
  <c r="I72" i="76"/>
  <c r="Q66" i="76"/>
  <c r="M66" i="76"/>
  <c r="I66" i="76"/>
  <c r="AA72" i="76"/>
  <c r="P66" i="76"/>
  <c r="L66" i="76"/>
  <c r="H66" i="76"/>
  <c r="AC48" i="76"/>
  <c r="W25" i="76"/>
  <c r="R25" i="76"/>
  <c r="N25" i="76"/>
  <c r="J25" i="76"/>
  <c r="W18" i="76"/>
  <c r="R18" i="76"/>
  <c r="N18" i="76"/>
  <c r="J18" i="76"/>
  <c r="P72" i="76"/>
  <c r="L72" i="76"/>
  <c r="H72" i="76"/>
  <c r="AA66" i="76"/>
  <c r="AC25" i="76"/>
  <c r="R31" i="76"/>
  <c r="N31" i="76"/>
  <c r="J31" i="76"/>
  <c r="Y18" i="76"/>
  <c r="J73" i="76" l="1"/>
  <c r="J75" i="76" s="1"/>
  <c r="J82" i="76" s="1"/>
  <c r="AC73" i="76"/>
  <c r="AC75" i="76" s="1"/>
  <c r="AC82" i="76" s="1"/>
  <c r="W73" i="76"/>
  <c r="W75" i="76" s="1"/>
  <c r="W82" i="76" s="1"/>
  <c r="G73" i="76"/>
  <c r="G75" i="76" s="1"/>
  <c r="G82" i="76" s="1"/>
  <c r="N73" i="76"/>
  <c r="N75" i="76" s="1"/>
  <c r="N82" i="76" s="1"/>
  <c r="R73" i="76"/>
  <c r="R75" i="76" s="1"/>
  <c r="R82" i="76" s="1"/>
  <c r="Y73" i="76"/>
  <c r="Y75" i="76" s="1"/>
  <c r="Y82" i="76" s="1"/>
  <c r="K73" i="76"/>
  <c r="K75" i="76" s="1"/>
  <c r="K82" i="76" s="1"/>
  <c r="K49" i="76"/>
  <c r="K51" i="76" s="1"/>
  <c r="H49" i="76"/>
  <c r="H51" i="76" s="1"/>
  <c r="Q49" i="76"/>
  <c r="Q51" i="76" s="1"/>
  <c r="W49" i="76"/>
  <c r="W51" i="76" s="1"/>
  <c r="L49" i="76"/>
  <c r="L51" i="76" s="1"/>
  <c r="I49" i="76"/>
  <c r="I51" i="76" s="1"/>
  <c r="M49" i="76"/>
  <c r="M51" i="76" s="1"/>
  <c r="G49" i="76"/>
  <c r="G51" i="76" s="1"/>
  <c r="O49" i="76"/>
  <c r="O51" i="76" s="1"/>
  <c r="P49" i="76"/>
  <c r="P51" i="76" s="1"/>
  <c r="AA73" i="76"/>
  <c r="AA75" i="76" s="1"/>
  <c r="AA82" i="76" s="1"/>
  <c r="P73" i="76"/>
  <c r="P75" i="76" s="1"/>
  <c r="P82" i="76" s="1"/>
  <c r="O73" i="76"/>
  <c r="O75" i="76" s="1"/>
  <c r="O82" i="76" s="1"/>
  <c r="AC49" i="76"/>
  <c r="AC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AA49" i="76"/>
  <c r="AA51" i="76" s="1"/>
  <c r="L73" i="76"/>
  <c r="L75" i="76" s="1"/>
  <c r="L82" i="76" s="1"/>
  <c r="H73" i="76"/>
  <c r="H75" i="76" s="1"/>
  <c r="H82" i="76" s="1"/>
  <c r="N49" i="76"/>
  <c r="N51" i="76" s="1"/>
  <c r="Y44" i="76"/>
  <c r="Y48" i="76" s="1"/>
  <c r="Y39" i="76"/>
  <c r="Y34" i="76"/>
  <c r="Y37" i="76" s="1"/>
  <c r="Y41" i="76" l="1"/>
  <c r="Y40" i="76"/>
  <c r="Y28" i="76"/>
  <c r="Y31" i="76" s="1"/>
  <c r="Y23" i="76"/>
  <c r="Y25" i="76" s="1"/>
  <c r="Y49" i="76" l="1"/>
  <c r="Y51" i="76" s="1"/>
  <c r="F79" i="76"/>
  <c r="L42" i="69" l="1"/>
  <c r="E35" i="3"/>
  <c r="F35" i="75" s="1"/>
  <c r="G35" i="75" s="1"/>
  <c r="AC54" i="76"/>
  <c r="F282" i="5"/>
  <c r="J11" i="1" l="1"/>
  <c r="J11" i="76" s="1"/>
  <c r="K11" i="1" l="1"/>
  <c r="K11" i="76" s="1"/>
  <c r="B20" i="69"/>
  <c r="B21" i="69"/>
  <c r="C13" i="3"/>
  <c r="B16" i="75" s="1"/>
  <c r="B13" i="3"/>
  <c r="L11" i="1" l="1"/>
  <c r="J72" i="1"/>
  <c r="J66" i="1"/>
  <c r="J48" i="1"/>
  <c r="J37" i="1"/>
  <c r="J31" i="1"/>
  <c r="J25" i="1"/>
  <c r="J18" i="1"/>
  <c r="L11" i="76" l="1"/>
  <c r="M11" i="1"/>
  <c r="M11" i="76" s="1"/>
  <c r="J73" i="1"/>
  <c r="J75" i="1" s="1"/>
  <c r="J82" i="1" s="1"/>
  <c r="J55" i="1" s="1"/>
  <c r="J49" i="1"/>
  <c r="J51" i="1" s="1"/>
  <c r="E13" i="3" l="1"/>
  <c r="F16" i="75" s="1"/>
  <c r="G16" i="75" s="1"/>
  <c r="N11" i="1"/>
  <c r="N11" i="76" s="1"/>
  <c r="I20" i="69"/>
  <c r="J54" i="1"/>
  <c r="J54" i="76" s="1"/>
  <c r="O11" i="1" l="1"/>
  <c r="O11" i="76" s="1"/>
  <c r="P11" i="1" l="1"/>
  <c r="P11" i="76" s="1"/>
  <c r="AB48" i="55"/>
  <c r="AJ82" i="56"/>
  <c r="AF81" i="56"/>
  <c r="Q11" i="1" l="1"/>
  <c r="Q11" i="76" s="1"/>
  <c r="R11" i="1" l="1"/>
  <c r="S11" i="1" s="1"/>
  <c r="T11" i="1" s="1"/>
  <c r="C40" i="3"/>
  <c r="B40" i="75" s="1"/>
  <c r="B40" i="3"/>
  <c r="C39" i="3"/>
  <c r="B39" i="75" s="1"/>
  <c r="B39" i="3"/>
  <c r="AJ72" i="1"/>
  <c r="AJ66" i="1"/>
  <c r="AJ48" i="1"/>
  <c r="AJ37" i="1"/>
  <c r="AJ31" i="1"/>
  <c r="AJ25" i="1"/>
  <c r="AJ18" i="1"/>
  <c r="AH72" i="1"/>
  <c r="AH66" i="1"/>
  <c r="AH48" i="1"/>
  <c r="AH37" i="1"/>
  <c r="AH31" i="1"/>
  <c r="AH25" i="1"/>
  <c r="AH18" i="1"/>
  <c r="AI72" i="1"/>
  <c r="AI66" i="1"/>
  <c r="AI48" i="1"/>
  <c r="AI37" i="1"/>
  <c r="AI31" i="1"/>
  <c r="AI25" i="1"/>
  <c r="AI18" i="1"/>
  <c r="AI73" i="1" l="1"/>
  <c r="AI75" i="1" s="1"/>
  <c r="AI82" i="1" s="1"/>
  <c r="T11" i="76"/>
  <c r="U11" i="1"/>
  <c r="V11" i="1" s="1"/>
  <c r="AJ73" i="1"/>
  <c r="AJ75" i="1" s="1"/>
  <c r="AJ82" i="1" s="1"/>
  <c r="R11" i="76"/>
  <c r="AH73" i="1"/>
  <c r="AH75" i="1" s="1"/>
  <c r="AH82" i="1" s="1"/>
  <c r="AJ49" i="1"/>
  <c r="AJ51" i="1" s="1"/>
  <c r="AJ54" i="1" s="1"/>
  <c r="AH54" i="76" s="1"/>
  <c r="AH49" i="1"/>
  <c r="AH51" i="1" s="1"/>
  <c r="AI49" i="1"/>
  <c r="AI51" i="1" s="1"/>
  <c r="AI54" i="1" s="1"/>
  <c r="AG54" i="76" s="1"/>
  <c r="AI55" i="1" l="1"/>
  <c r="I46" i="69"/>
  <c r="AJ55" i="1"/>
  <c r="I47" i="69"/>
  <c r="AH55" i="1"/>
  <c r="I45" i="69"/>
  <c r="A25" i="3"/>
  <c r="A28" i="75" s="1"/>
  <c r="W11" i="1"/>
  <c r="V11" i="76"/>
  <c r="U11" i="76"/>
  <c r="E38" i="3"/>
  <c r="F38" i="75" s="1"/>
  <c r="G38" i="75" s="1"/>
  <c r="A29" i="69"/>
  <c r="A22" i="3"/>
  <c r="A25" i="75" s="1"/>
  <c r="S11" i="76"/>
  <c r="E40" i="3"/>
  <c r="F40" i="75" s="1"/>
  <c r="G40" i="75" s="1"/>
  <c r="E39" i="3"/>
  <c r="F39" i="75" s="1"/>
  <c r="G39" i="75" s="1"/>
  <c r="AH54" i="1"/>
  <c r="AF54" i="76" s="1"/>
  <c r="A31" i="69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T37" i="1" l="1"/>
  <c r="T31" i="1"/>
  <c r="T25" i="1"/>
  <c r="T18" i="1"/>
  <c r="P37" i="1" l="1"/>
  <c r="O37" i="1"/>
  <c r="U37" i="1"/>
  <c r="Q37" i="1"/>
  <c r="P31" i="1"/>
  <c r="O31" i="1"/>
  <c r="U31" i="1"/>
  <c r="Q31" i="1"/>
  <c r="P25" i="1"/>
  <c r="O25" i="1"/>
  <c r="U25" i="1"/>
  <c r="Q25" i="1"/>
  <c r="P18" i="1"/>
  <c r="O18" i="1"/>
  <c r="U18" i="1"/>
  <c r="Q18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28" i="5"/>
  <c r="F229" i="5"/>
  <c r="F63" i="5" s="1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64" i="5" s="1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65" i="5" s="1"/>
  <c r="F259" i="5"/>
  <c r="F260" i="5"/>
  <c r="F261" i="5"/>
  <c r="F262" i="5"/>
  <c r="F263" i="5"/>
  <c r="F264" i="5"/>
  <c r="F265" i="5"/>
  <c r="F70" i="5" s="1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3" i="5"/>
  <c r="F284" i="5"/>
  <c r="F285" i="5"/>
  <c r="F74" i="5" s="1"/>
  <c r="F286" i="5"/>
  <c r="F287" i="5"/>
  <c r="F289" i="5"/>
  <c r="F290" i="5"/>
  <c r="F291" i="5"/>
  <c r="F292" i="5"/>
  <c r="F293" i="5"/>
  <c r="F294" i="5"/>
  <c r="F295" i="5"/>
  <c r="F298" i="5"/>
  <c r="F79" i="5" s="1"/>
  <c r="F299" i="5"/>
  <c r="F300" i="5"/>
  <c r="F301" i="5"/>
  <c r="F302" i="5"/>
  <c r="G73" i="5" l="1"/>
  <c r="G75" i="5" s="1"/>
  <c r="G82" i="5" s="1"/>
  <c r="F66" i="5"/>
  <c r="F76" i="5"/>
  <c r="E76" i="5" s="1"/>
  <c r="F71" i="5"/>
  <c r="E78" i="5"/>
  <c r="F77" i="5"/>
  <c r="E77" i="5" s="1"/>
  <c r="F69" i="5"/>
  <c r="G49" i="5"/>
  <c r="G51" i="5" s="1"/>
  <c r="G59" i="5" s="1"/>
  <c r="E46" i="1"/>
  <c r="F82" i="76"/>
  <c r="E79" i="5"/>
  <c r="I55" i="54"/>
  <c r="I72" i="54"/>
  <c r="I66" i="54"/>
  <c r="I31" i="54"/>
  <c r="I25" i="54"/>
  <c r="E79" i="1"/>
  <c r="Y79" i="1" s="1"/>
  <c r="E74" i="5"/>
  <c r="E55" i="1"/>
  <c r="AD18" i="1"/>
  <c r="W18" i="1"/>
  <c r="F18" i="1"/>
  <c r="G18" i="1"/>
  <c r="H18" i="1"/>
  <c r="R18" i="1"/>
  <c r="I18" i="1"/>
  <c r="K18" i="1"/>
  <c r="L18" i="1"/>
  <c r="N18" i="1"/>
  <c r="E46" i="76" l="1"/>
  <c r="Y46" i="1"/>
  <c r="F72" i="5"/>
  <c r="F73" i="5" s="1"/>
  <c r="F75" i="5" s="1"/>
  <c r="F82" i="5" s="1"/>
  <c r="F84" i="5" s="1"/>
  <c r="E46" i="5"/>
  <c r="E77" i="1"/>
  <c r="E78" i="1"/>
  <c r="Y78" i="1" s="1"/>
  <c r="I73" i="54"/>
  <c r="I75" i="54" s="1"/>
  <c r="I81" i="54" s="1"/>
  <c r="F79" i="54"/>
  <c r="E79" i="76"/>
  <c r="F46" i="54"/>
  <c r="F55" i="54"/>
  <c r="E55" i="76"/>
  <c r="E77" i="76" l="1"/>
  <c r="Y77" i="1"/>
  <c r="F77" i="54"/>
  <c r="E78" i="76"/>
  <c r="F78" i="54"/>
  <c r="A4" i="75"/>
  <c r="A82" i="75" s="1"/>
  <c r="B33" i="3"/>
  <c r="B32" i="3"/>
  <c r="B31" i="3"/>
  <c r="B26" i="3"/>
  <c r="B34" i="3"/>
  <c r="B23" i="3"/>
  <c r="B19" i="3"/>
  <c r="B18" i="3"/>
  <c r="B24" i="3"/>
  <c r="B20" i="3"/>
  <c r="B17" i="3"/>
  <c r="B16" i="3"/>
  <c r="B15" i="3"/>
  <c r="B14" i="3"/>
  <c r="B12" i="3"/>
  <c r="B21" i="3"/>
  <c r="B11" i="3"/>
  <c r="B10" i="3"/>
  <c r="B9" i="3"/>
  <c r="B8" i="3"/>
  <c r="C140" i="75"/>
  <c r="C139" i="75"/>
  <c r="F126" i="75"/>
  <c r="B126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3" i="75"/>
  <c r="B113" i="75"/>
  <c r="A113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F124" i="75" s="1"/>
  <c r="B86" i="75"/>
  <c r="A86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5" i="1" l="1"/>
  <c r="G25" i="1"/>
  <c r="H25" i="1"/>
  <c r="R25" i="1"/>
  <c r="I25" i="1"/>
  <c r="K25" i="1"/>
  <c r="L25" i="1"/>
  <c r="N25" i="1"/>
  <c r="W25" i="1"/>
  <c r="AB25" i="1"/>
  <c r="AB18" i="1"/>
  <c r="A4" i="54" l="1"/>
  <c r="A5" i="54"/>
  <c r="A2" i="54"/>
  <c r="A4" i="1"/>
  <c r="A4" i="76" s="1"/>
  <c r="A5" i="1"/>
  <c r="A5" i="76" s="1"/>
  <c r="A2" i="1"/>
  <c r="F11" i="1"/>
  <c r="A1" i="3" l="1"/>
  <c r="A2" i="76"/>
  <c r="Z11" i="76"/>
  <c r="C4" i="56"/>
  <c r="A4" i="3"/>
  <c r="A12" i="55"/>
  <c r="G11" i="1"/>
  <c r="G11" i="76" s="1"/>
  <c r="F11" i="76"/>
  <c r="AA11" i="76" l="1"/>
  <c r="H11" i="1"/>
  <c r="H11" i="76" s="1"/>
  <c r="A36" i="3" l="1"/>
  <c r="A36" i="75" s="1"/>
  <c r="A37" i="3"/>
  <c r="A37" i="75" s="1"/>
  <c r="AE11" i="76"/>
  <c r="A38" i="3"/>
  <c r="A38" i="75" s="1"/>
  <c r="E28" i="5"/>
  <c r="E34" i="5"/>
  <c r="AF11" i="76" l="1"/>
  <c r="A35" i="3"/>
  <c r="A35" i="75" s="1"/>
  <c r="AC11" i="76"/>
  <c r="X11" i="76" l="1"/>
  <c r="A30" i="3"/>
  <c r="A30" i="75" s="1"/>
  <c r="C34" i="3"/>
  <c r="B34" i="75" s="1"/>
  <c r="AD72" i="1" l="1"/>
  <c r="AD31" i="1"/>
  <c r="AD48" i="1"/>
  <c r="AD66" i="1"/>
  <c r="A39" i="3" l="1"/>
  <c r="A39" i="75" s="1"/>
  <c r="AG11" i="76"/>
  <c r="AD73" i="1"/>
  <c r="AD75" i="1" s="1"/>
  <c r="AD82" i="1" s="1"/>
  <c r="AD49" i="1"/>
  <c r="AD51" i="1" s="1"/>
  <c r="AD54" i="1" s="1"/>
  <c r="AB54" i="76" s="1"/>
  <c r="E21" i="56"/>
  <c r="E23" i="56" s="1"/>
  <c r="AD55" i="1" l="1"/>
  <c r="I41" i="69"/>
  <c r="A40" i="3"/>
  <c r="A40" i="75" s="1"/>
  <c r="AH11" i="76"/>
  <c r="E34" i="3"/>
  <c r="F34" i="75" s="1"/>
  <c r="G34" i="75" s="1"/>
  <c r="E25" i="56"/>
  <c r="E27" i="56" s="1"/>
  <c r="E63" i="1"/>
  <c r="E69" i="1"/>
  <c r="E70" i="1"/>
  <c r="Y70" i="1" s="1"/>
  <c r="E74" i="1"/>
  <c r="Y74" i="1" s="1"/>
  <c r="E76" i="1"/>
  <c r="E15" i="1"/>
  <c r="Y15" i="1" s="1"/>
  <c r="E22" i="1"/>
  <c r="E23" i="1"/>
  <c r="E28" i="1"/>
  <c r="Y28" i="1" s="1"/>
  <c r="E30" i="1"/>
  <c r="E34" i="1"/>
  <c r="E35" i="1"/>
  <c r="E36" i="1"/>
  <c r="Y36" i="1" s="1"/>
  <c r="E39" i="1"/>
  <c r="E40" i="1"/>
  <c r="E41" i="1"/>
  <c r="Y41" i="1" s="1"/>
  <c r="E44" i="1"/>
  <c r="Y44" i="1" s="1"/>
  <c r="E47" i="1"/>
  <c r="Y47" i="1" s="1"/>
  <c r="E54" i="1"/>
  <c r="E54" i="76" s="1"/>
  <c r="E56" i="1"/>
  <c r="Y56" i="1" s="1"/>
  <c r="E57" i="1"/>
  <c r="Y57" i="1" s="1"/>
  <c r="M56" i="69"/>
  <c r="L56" i="69"/>
  <c r="M55" i="69"/>
  <c r="L55" i="69"/>
  <c r="M54" i="69"/>
  <c r="L54" i="69"/>
  <c r="M53" i="69"/>
  <c r="L53" i="69"/>
  <c r="E99" i="69"/>
  <c r="E76" i="69"/>
  <c r="E75" i="69"/>
  <c r="B106" i="69"/>
  <c r="A106" i="69"/>
  <c r="B105" i="69"/>
  <c r="A105" i="69"/>
  <c r="B104" i="69"/>
  <c r="A104" i="69"/>
  <c r="B103" i="69"/>
  <c r="A103" i="69"/>
  <c r="B102" i="69"/>
  <c r="A102" i="69"/>
  <c r="B101" i="69"/>
  <c r="A101" i="69"/>
  <c r="B100" i="69"/>
  <c r="A100" i="69"/>
  <c r="B99" i="69"/>
  <c r="A99" i="69"/>
  <c r="B93" i="69"/>
  <c r="A93" i="69"/>
  <c r="B92" i="69"/>
  <c r="A92" i="69"/>
  <c r="B91" i="69"/>
  <c r="A91" i="69"/>
  <c r="B90" i="69"/>
  <c r="A90" i="69"/>
  <c r="B89" i="69"/>
  <c r="A89" i="69"/>
  <c r="B88" i="69"/>
  <c r="A88" i="69"/>
  <c r="B87" i="69"/>
  <c r="A87" i="69"/>
  <c r="B86" i="69"/>
  <c r="A86" i="69"/>
  <c r="B85" i="69"/>
  <c r="A85" i="69"/>
  <c r="B84" i="69"/>
  <c r="A84" i="69"/>
  <c r="B80" i="69"/>
  <c r="A80" i="69"/>
  <c r="B79" i="69"/>
  <c r="A79" i="69"/>
  <c r="B78" i="69"/>
  <c r="A78" i="69"/>
  <c r="B77" i="69"/>
  <c r="A77" i="69"/>
  <c r="B76" i="69"/>
  <c r="A76" i="69"/>
  <c r="B75" i="69"/>
  <c r="A75" i="69"/>
  <c r="C66" i="69"/>
  <c r="B33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70" i="69"/>
  <c r="C23" i="3"/>
  <c r="B26" i="75" s="1"/>
  <c r="A33" i="3"/>
  <c r="A33" i="75" s="1"/>
  <c r="C33" i="3"/>
  <c r="B33" i="75" s="1"/>
  <c r="A32" i="3"/>
  <c r="A32" i="75" s="1"/>
  <c r="C32" i="3"/>
  <c r="B32" i="75" s="1"/>
  <c r="E71" i="1"/>
  <c r="Y71" i="1" s="1"/>
  <c r="E64" i="1"/>
  <c r="E65" i="1"/>
  <c r="E45" i="1"/>
  <c r="E29" i="1"/>
  <c r="E24" i="1"/>
  <c r="E16" i="1"/>
  <c r="A31" i="3"/>
  <c r="A31" i="75" s="1"/>
  <c r="C31" i="3"/>
  <c r="B31" i="75" s="1"/>
  <c r="A10" i="3"/>
  <c r="A13" i="75" s="1"/>
  <c r="C10" i="3"/>
  <c r="B13" i="75" s="1"/>
  <c r="A11" i="3"/>
  <c r="A14" i="75" s="1"/>
  <c r="C11" i="3"/>
  <c r="B14" i="75" s="1"/>
  <c r="C21" i="3"/>
  <c r="B24" i="75" s="1"/>
  <c r="C12" i="3"/>
  <c r="B15" i="75" s="1"/>
  <c r="C14" i="3"/>
  <c r="B17" i="75" s="1"/>
  <c r="C15" i="3"/>
  <c r="B18" i="75" s="1"/>
  <c r="C16" i="3"/>
  <c r="B19" i="75" s="1"/>
  <c r="C17" i="3"/>
  <c r="B20" i="75" s="1"/>
  <c r="C20" i="3"/>
  <c r="B23" i="75" s="1"/>
  <c r="C24" i="3"/>
  <c r="B27" i="75" s="1"/>
  <c r="C18" i="3"/>
  <c r="B21" i="75" s="1"/>
  <c r="C19" i="3"/>
  <c r="B22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39" i="76" l="1"/>
  <c r="Y39" i="1"/>
  <c r="E30" i="76"/>
  <c r="Y30" i="1"/>
  <c r="E69" i="76"/>
  <c r="Y69" i="1"/>
  <c r="E45" i="76"/>
  <c r="Y45" i="1"/>
  <c r="E76" i="76"/>
  <c r="Y76" i="1"/>
  <c r="E29" i="76"/>
  <c r="Y29" i="1"/>
  <c r="E16" i="76"/>
  <c r="Y16" i="1"/>
  <c r="E35" i="76"/>
  <c r="Y35" i="1"/>
  <c r="E23" i="76"/>
  <c r="Y23" i="1"/>
  <c r="E24" i="76"/>
  <c r="Y24" i="1"/>
  <c r="E40" i="76"/>
  <c r="Y40" i="1"/>
  <c r="E34" i="76"/>
  <c r="Y34" i="1"/>
  <c r="E22" i="76"/>
  <c r="Y22" i="1"/>
  <c r="AM22" i="1" s="1"/>
  <c r="E65" i="76"/>
  <c r="Y65" i="1"/>
  <c r="E64" i="76"/>
  <c r="Y64" i="1"/>
  <c r="E63" i="76"/>
  <c r="Y63" i="1"/>
  <c r="E41" i="76"/>
  <c r="F41" i="77"/>
  <c r="E15" i="76"/>
  <c r="AM15" i="1"/>
  <c r="AP15" i="1" s="1"/>
  <c r="E71" i="76"/>
  <c r="E57" i="76"/>
  <c r="F44" i="54"/>
  <c r="E44" i="76"/>
  <c r="E36" i="76"/>
  <c r="F28" i="54"/>
  <c r="E28" i="76"/>
  <c r="E74" i="76"/>
  <c r="E47" i="76"/>
  <c r="E56" i="76"/>
  <c r="E70" i="76"/>
  <c r="F74" i="54"/>
  <c r="F36" i="54"/>
  <c r="F57" i="54"/>
  <c r="F76" i="54"/>
  <c r="H29" i="5"/>
  <c r="E31" i="5"/>
  <c r="H31" i="5" s="1"/>
  <c r="E72" i="1"/>
  <c r="E25" i="1"/>
  <c r="E48" i="1"/>
  <c r="E66" i="1"/>
  <c r="E31" i="1"/>
  <c r="F29" i="54"/>
  <c r="F47" i="54"/>
  <c r="F39" i="54"/>
  <c r="F30" i="54"/>
  <c r="F24" i="54"/>
  <c r="F64" i="54"/>
  <c r="F54" i="54"/>
  <c r="F40" i="54"/>
  <c r="F34" i="54"/>
  <c r="F22" i="54"/>
  <c r="F65" i="54"/>
  <c r="F41" i="54"/>
  <c r="F35" i="54"/>
  <c r="F23" i="54"/>
  <c r="F63" i="54"/>
  <c r="F16" i="54"/>
  <c r="F45" i="54"/>
  <c r="F15" i="54"/>
  <c r="F56" i="54"/>
  <c r="W48" i="1"/>
  <c r="F69" i="54"/>
  <c r="R72" i="1"/>
  <c r="F71" i="54"/>
  <c r="E66" i="5"/>
  <c r="E48" i="5"/>
  <c r="H48" i="5" s="1"/>
  <c r="E18" i="5"/>
  <c r="H18" i="5" s="1"/>
  <c r="H17" i="5"/>
  <c r="E72" i="5"/>
  <c r="H72" i="5" s="1"/>
  <c r="E25" i="5"/>
  <c r="K48" i="1"/>
  <c r="N48" i="1"/>
  <c r="F70" i="54"/>
  <c r="N31" i="1"/>
  <c r="T48" i="1"/>
  <c r="T49" i="1" s="1"/>
  <c r="G37" i="1"/>
  <c r="L31" i="1"/>
  <c r="G31" i="1"/>
  <c r="L37" i="1"/>
  <c r="I37" i="1"/>
  <c r="F31" i="1"/>
  <c r="R37" i="1"/>
  <c r="K37" i="1"/>
  <c r="L48" i="1"/>
  <c r="Q48" i="1"/>
  <c r="U48" i="1"/>
  <c r="O48" i="1"/>
  <c r="P48" i="1"/>
  <c r="T72" i="1"/>
  <c r="P66" i="1"/>
  <c r="L66" i="1"/>
  <c r="H66" i="1"/>
  <c r="R31" i="1"/>
  <c r="I31" i="1"/>
  <c r="AB31" i="1"/>
  <c r="L72" i="1"/>
  <c r="H72" i="1"/>
  <c r="E37" i="1"/>
  <c r="F48" i="1"/>
  <c r="F37" i="1"/>
  <c r="H48" i="1"/>
  <c r="H37" i="1"/>
  <c r="K31" i="1"/>
  <c r="N37" i="1"/>
  <c r="P72" i="1"/>
  <c r="O66" i="1"/>
  <c r="U72" i="1"/>
  <c r="N72" i="1"/>
  <c r="W37" i="1"/>
  <c r="W72" i="1"/>
  <c r="U66" i="1"/>
  <c r="Q72" i="1"/>
  <c r="K72" i="1"/>
  <c r="R66" i="1"/>
  <c r="F66" i="1"/>
  <c r="E37" i="5"/>
  <c r="H37" i="5" s="1"/>
  <c r="W31" i="1"/>
  <c r="H31" i="1"/>
  <c r="W66" i="1"/>
  <c r="Q66" i="1"/>
  <c r="F72" i="1"/>
  <c r="R48" i="1"/>
  <c r="AB66" i="1"/>
  <c r="T66" i="1"/>
  <c r="O72" i="1"/>
  <c r="N66" i="1"/>
  <c r="K66" i="1"/>
  <c r="I72" i="1"/>
  <c r="G72" i="1"/>
  <c r="G48" i="1"/>
  <c r="I48" i="1"/>
  <c r="AB72" i="1"/>
  <c r="I66" i="1"/>
  <c r="G66" i="1"/>
  <c r="E17" i="1"/>
  <c r="Y17" i="1" s="1"/>
  <c r="E25" i="76" l="1"/>
  <c r="E37" i="76"/>
  <c r="E66" i="76"/>
  <c r="W73" i="1"/>
  <c r="W75" i="1" s="1"/>
  <c r="W82" i="1" s="1"/>
  <c r="O10" i="69"/>
  <c r="I73" i="1"/>
  <c r="Q73" i="1"/>
  <c r="N73" i="1"/>
  <c r="N75" i="1" s="1"/>
  <c r="K73" i="1"/>
  <c r="K75" i="1" s="1"/>
  <c r="R73" i="1"/>
  <c r="R75" i="1" s="1"/>
  <c r="T73" i="1"/>
  <c r="T75" i="1" s="1"/>
  <c r="U73" i="1"/>
  <c r="G73" i="1"/>
  <c r="G75" i="1" s="1"/>
  <c r="G82" i="1" s="1"/>
  <c r="G55" i="1" s="1"/>
  <c r="E73" i="1"/>
  <c r="E75" i="1" s="1"/>
  <c r="E82" i="1" s="1"/>
  <c r="O73" i="1"/>
  <c r="L73" i="1"/>
  <c r="H73" i="1"/>
  <c r="F73" i="1"/>
  <c r="P73" i="1"/>
  <c r="AB73" i="1"/>
  <c r="H66" i="5"/>
  <c r="E73" i="5"/>
  <c r="E75" i="5" s="1"/>
  <c r="E82" i="5" s="1"/>
  <c r="H49" i="1"/>
  <c r="H51" i="1" s="1"/>
  <c r="H54" i="1" s="1"/>
  <c r="H54" i="76" s="1"/>
  <c r="E72" i="76"/>
  <c r="E73" i="76" s="1"/>
  <c r="E31" i="76"/>
  <c r="E48" i="76"/>
  <c r="E18" i="1"/>
  <c r="E17" i="76"/>
  <c r="Q49" i="1"/>
  <c r="Q51" i="1" s="1"/>
  <c r="Q54" i="1" s="1"/>
  <c r="Q54" i="76" s="1"/>
  <c r="K49" i="1"/>
  <c r="K51" i="1" s="1"/>
  <c r="W49" i="1"/>
  <c r="W51" i="1" s="1"/>
  <c r="P49" i="1"/>
  <c r="P51" i="1" s="1"/>
  <c r="O49" i="1"/>
  <c r="O51" i="1" s="1"/>
  <c r="O54" i="1" s="1"/>
  <c r="O54" i="76" s="1"/>
  <c r="F48" i="54"/>
  <c r="F66" i="54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AB49" i="1"/>
  <c r="AB51" i="1" s="1"/>
  <c r="AB54" i="1" s="1"/>
  <c r="Z54" i="76" s="1"/>
  <c r="R49" i="1"/>
  <c r="R51" i="1" s="1"/>
  <c r="G49" i="1"/>
  <c r="U49" i="1"/>
  <c r="U51" i="1" s="1"/>
  <c r="U54" i="1" s="1"/>
  <c r="U54" i="76" s="1"/>
  <c r="Y54" i="76"/>
  <c r="Y48" i="1"/>
  <c r="Y37" i="1"/>
  <c r="F31" i="54"/>
  <c r="F37" i="54"/>
  <c r="F72" i="54"/>
  <c r="F25" i="54"/>
  <c r="E49" i="5"/>
  <c r="E51" i="5" s="1"/>
  <c r="E59" i="5" s="1"/>
  <c r="E49" i="1"/>
  <c r="Y25" i="1"/>
  <c r="H25" i="5"/>
  <c r="T51" i="1"/>
  <c r="T54" i="1" s="1"/>
  <c r="T54" i="76" s="1"/>
  <c r="E80" i="69"/>
  <c r="E84" i="69"/>
  <c r="E79" i="69"/>
  <c r="F17" i="54"/>
  <c r="F18" i="54" s="1"/>
  <c r="O50" i="69" l="1"/>
  <c r="I33" i="69"/>
  <c r="W55" i="1"/>
  <c r="W55" i="76" s="1"/>
  <c r="E26" i="3"/>
  <c r="F29" i="75" s="1"/>
  <c r="G29" i="75" s="1"/>
  <c r="E10" i="3"/>
  <c r="F13" i="75" s="1"/>
  <c r="G13" i="75" s="1"/>
  <c r="I13" i="69"/>
  <c r="M13" i="69" s="1"/>
  <c r="F73" i="54"/>
  <c r="F75" i="54" s="1"/>
  <c r="F81" i="54" s="1"/>
  <c r="E75" i="76"/>
  <c r="E82" i="76" s="1"/>
  <c r="Y18" i="1"/>
  <c r="E49" i="76"/>
  <c r="E18" i="76"/>
  <c r="T82" i="1"/>
  <c r="T55" i="1" s="1"/>
  <c r="R82" i="1"/>
  <c r="R55" i="1" s="1"/>
  <c r="N82" i="1"/>
  <c r="K82" i="1"/>
  <c r="K55" i="1" s="1"/>
  <c r="H82" i="5"/>
  <c r="AB75" i="1"/>
  <c r="I75" i="1"/>
  <c r="L75" i="1"/>
  <c r="O75" i="1"/>
  <c r="F75" i="1"/>
  <c r="Q75" i="1"/>
  <c r="P54" i="1"/>
  <c r="P54" i="76" s="1"/>
  <c r="P75" i="1"/>
  <c r="P82" i="1" s="1"/>
  <c r="P55" i="1" s="1"/>
  <c r="H75" i="1"/>
  <c r="H82" i="1" s="1"/>
  <c r="H55" i="1" s="1"/>
  <c r="U75" i="1"/>
  <c r="U82" i="1" s="1"/>
  <c r="F49" i="54"/>
  <c r="F51" i="54" s="1"/>
  <c r="F59" i="54" s="1"/>
  <c r="AA54" i="76"/>
  <c r="R54" i="1"/>
  <c r="R54" i="76" s="1"/>
  <c r="K54" i="1"/>
  <c r="K54" i="76" s="1"/>
  <c r="M54" i="76"/>
  <c r="H51" i="5"/>
  <c r="Y72" i="1"/>
  <c r="Y31" i="1"/>
  <c r="Y49" i="1" s="1"/>
  <c r="H49" i="5"/>
  <c r="Y66" i="1"/>
  <c r="G51" i="1"/>
  <c r="I11" i="69"/>
  <c r="E8" i="3"/>
  <c r="E11" i="75" s="1"/>
  <c r="E44" i="75" s="1"/>
  <c r="L108" i="69"/>
  <c r="E51" i="1"/>
  <c r="Y51" i="1" s="1"/>
  <c r="U55" i="1" l="1"/>
  <c r="I32" i="69"/>
  <c r="I24" i="69"/>
  <c r="M24" i="69" s="1"/>
  <c r="N55" i="1"/>
  <c r="N55" i="76" s="1"/>
  <c r="N59" i="76" s="1"/>
  <c r="E11" i="3"/>
  <c r="F14" i="75" s="1"/>
  <c r="G14" i="75" s="1"/>
  <c r="E23" i="3"/>
  <c r="F26" i="75" s="1"/>
  <c r="G26" i="75" s="1"/>
  <c r="F15" i="77"/>
  <c r="H15" i="77"/>
  <c r="I31" i="69"/>
  <c r="I26" i="69"/>
  <c r="M26" i="69" s="1"/>
  <c r="E17" i="3"/>
  <c r="F20" i="75" s="1"/>
  <c r="G20" i="75" s="1"/>
  <c r="E21" i="3"/>
  <c r="F24" i="75" s="1"/>
  <c r="G24" i="75" s="1"/>
  <c r="Y73" i="1"/>
  <c r="Y75" i="1" s="1"/>
  <c r="Y82" i="1" s="1"/>
  <c r="I21" i="69"/>
  <c r="M21" i="69" s="1"/>
  <c r="E14" i="3"/>
  <c r="F17" i="75" s="1"/>
  <c r="G17" i="75" s="1"/>
  <c r="I28" i="69"/>
  <c r="M28" i="69" s="1"/>
  <c r="E24" i="3"/>
  <c r="F27" i="75" s="1"/>
  <c r="G27" i="75" s="1"/>
  <c r="I23" i="69"/>
  <c r="M23" i="69" s="1"/>
  <c r="E19" i="3"/>
  <c r="F22" i="75" s="1"/>
  <c r="G22" i="75" s="1"/>
  <c r="E51" i="76"/>
  <c r="E59" i="76" s="1"/>
  <c r="I30" i="69"/>
  <c r="I14" i="69"/>
  <c r="M14" i="69" s="1"/>
  <c r="E16" i="3"/>
  <c r="F19" i="75" s="1"/>
  <c r="G19" i="75" s="1"/>
  <c r="G54" i="1"/>
  <c r="G54" i="76" s="1"/>
  <c r="O82" i="1"/>
  <c r="O55" i="1" s="1"/>
  <c r="AB82" i="1"/>
  <c r="I82" i="1"/>
  <c r="I55" i="1" s="1"/>
  <c r="L82" i="1"/>
  <c r="L55" i="1" s="1"/>
  <c r="Q82" i="1"/>
  <c r="Q55" i="1" s="1"/>
  <c r="F82" i="1"/>
  <c r="F55" i="1" s="1"/>
  <c r="E33" i="3"/>
  <c r="F33" i="75" s="1"/>
  <c r="G33" i="75" s="1"/>
  <c r="E59" i="1"/>
  <c r="E83" i="1" s="1"/>
  <c r="G11" i="75"/>
  <c r="M20" i="69"/>
  <c r="E77" i="69"/>
  <c r="E89" i="69"/>
  <c r="E105" i="69"/>
  <c r="E78" i="69"/>
  <c r="E86" i="69"/>
  <c r="E93" i="69"/>
  <c r="M11" i="69"/>
  <c r="AB55" i="1" l="1"/>
  <c r="I39" i="69"/>
  <c r="Y55" i="1"/>
  <c r="M30" i="69"/>
  <c r="M31" i="69"/>
  <c r="L40" i="69"/>
  <c r="E18" i="3"/>
  <c r="F21" i="75" s="1"/>
  <c r="G21" i="75" s="1"/>
  <c r="G15" i="77"/>
  <c r="G15" i="54"/>
  <c r="I25" i="69"/>
  <c r="M25" i="69" s="1"/>
  <c r="I19" i="69"/>
  <c r="M19" i="69" s="1"/>
  <c r="E20" i="3"/>
  <c r="F23" i="75" s="1"/>
  <c r="G23" i="75" s="1"/>
  <c r="E31" i="3"/>
  <c r="F31" i="75" s="1"/>
  <c r="G31" i="75" s="1"/>
  <c r="I22" i="69"/>
  <c r="M22" i="69" s="1"/>
  <c r="E12" i="3"/>
  <c r="F15" i="75" s="1"/>
  <c r="I27" i="69"/>
  <c r="M27" i="69" s="1"/>
  <c r="N59" i="1"/>
  <c r="E15" i="3"/>
  <c r="F18" i="75" s="1"/>
  <c r="G18" i="75" s="1"/>
  <c r="E32" i="3"/>
  <c r="F32" i="75" s="1"/>
  <c r="G32" i="75" s="1"/>
  <c r="I12" i="69"/>
  <c r="E9" i="3"/>
  <c r="F12" i="75" s="1"/>
  <c r="F17" i="69"/>
  <c r="F35" i="69" s="1"/>
  <c r="H59" i="5"/>
  <c r="E84" i="5"/>
  <c r="E91" i="69"/>
  <c r="E102" i="69"/>
  <c r="H11" i="69"/>
  <c r="D8" i="3"/>
  <c r="F82" i="54"/>
  <c r="E82" i="69"/>
  <c r="L38" i="69" l="1"/>
  <c r="J11" i="69"/>
  <c r="P11" i="69" s="1"/>
  <c r="F44" i="75"/>
  <c r="G15" i="75"/>
  <c r="G12" i="75"/>
  <c r="D17" i="3"/>
  <c r="H24" i="69"/>
  <c r="M12" i="69"/>
  <c r="M17" i="69" s="1"/>
  <c r="M35" i="69" s="1"/>
  <c r="M51" i="69" s="1"/>
  <c r="I17" i="69"/>
  <c r="I35" i="69" s="1"/>
  <c r="E28" i="3"/>
  <c r="E44" i="3" s="1"/>
  <c r="F51" i="69"/>
  <c r="E106" i="69"/>
  <c r="E101" i="69"/>
  <c r="E103" i="69"/>
  <c r="E88" i="69"/>
  <c r="E87" i="69"/>
  <c r="L11" i="69"/>
  <c r="L24" i="69" l="1"/>
  <c r="O24" i="69" s="1"/>
  <c r="J24" i="69"/>
  <c r="P24" i="69" s="1"/>
  <c r="G44" i="75"/>
  <c r="E17" i="69"/>
  <c r="E90" i="69"/>
  <c r="O11" i="69"/>
  <c r="E92" i="69"/>
  <c r="E35" i="69" l="1"/>
  <c r="E51" i="69" s="1"/>
  <c r="M57" i="69"/>
  <c r="E104" i="69"/>
  <c r="E85" i="69"/>
  <c r="E97" i="69" s="1"/>
  <c r="E100" i="69" l="1"/>
  <c r="E108" i="69"/>
  <c r="L110" i="69"/>
  <c r="H28" i="3" l="1"/>
  <c r="AM16" i="1" l="1"/>
  <c r="AP16" i="1" s="1"/>
  <c r="AM65" i="1"/>
  <c r="AP65" i="1" s="1"/>
  <c r="AM35" i="1"/>
  <c r="AP35" i="1" s="1"/>
  <c r="AM23" i="1"/>
  <c r="AP23" i="1" s="1"/>
  <c r="AM46" i="1"/>
  <c r="AP46" i="1" s="1"/>
  <c r="AM71" i="1"/>
  <c r="AP71" i="1" s="1"/>
  <c r="AM36" i="1"/>
  <c r="AP36" i="1" s="1"/>
  <c r="AM79" i="1"/>
  <c r="AP79" i="1" s="1"/>
  <c r="AM47" i="1"/>
  <c r="AP47" i="1" s="1"/>
  <c r="AM41" i="1"/>
  <c r="AP41" i="1" s="1"/>
  <c r="AM39" i="1"/>
  <c r="AP39" i="1" s="1"/>
  <c r="AM76" i="1"/>
  <c r="AP76" i="1" s="1"/>
  <c r="AM28" i="1"/>
  <c r="AP28" i="1" s="1"/>
  <c r="AM57" i="1"/>
  <c r="AP57" i="1" s="1"/>
  <c r="AM29" i="1"/>
  <c r="AP29" i="1" s="1"/>
  <c r="AM45" i="1"/>
  <c r="AP45" i="1" s="1"/>
  <c r="AM17" i="1"/>
  <c r="AP17" i="1" s="1"/>
  <c r="AP22" i="1"/>
  <c r="AM24" i="1"/>
  <c r="AP24" i="1" s="1"/>
  <c r="AM56" i="1"/>
  <c r="AP56" i="1" s="1"/>
  <c r="AM40" i="1"/>
  <c r="AP40" i="1" s="1"/>
  <c r="AM69" i="1"/>
  <c r="AP69" i="1" s="1"/>
  <c r="AM70" i="1"/>
  <c r="AP70" i="1" s="1"/>
  <c r="AM74" i="1"/>
  <c r="AP74" i="1" s="1"/>
  <c r="AM30" i="1"/>
  <c r="AP30" i="1" s="1"/>
  <c r="AM64" i="1"/>
  <c r="AM34" i="1"/>
  <c r="AM44" i="1"/>
  <c r="AP44" i="1" s="1"/>
  <c r="AM77" i="1"/>
  <c r="AP77" i="1" s="1"/>
  <c r="AM78" i="1"/>
  <c r="AM63" i="1"/>
  <c r="AP63" i="1" s="1"/>
  <c r="AQ56" i="1" l="1"/>
  <c r="AP78" i="1"/>
  <c r="AP34" i="1"/>
  <c r="F28" i="77"/>
  <c r="F63" i="77"/>
  <c r="F29" i="77"/>
  <c r="F23" i="77"/>
  <c r="F17" i="77"/>
  <c r="AP64" i="1"/>
  <c r="AP72" i="1"/>
  <c r="AP25" i="1"/>
  <c r="AP48" i="1"/>
  <c r="AP18" i="1"/>
  <c r="AP31" i="1"/>
  <c r="AM37" i="1"/>
  <c r="AM48" i="1"/>
  <c r="AM72" i="1"/>
  <c r="AM25" i="1"/>
  <c r="AM66" i="1"/>
  <c r="AM31" i="1"/>
  <c r="AM18" i="1"/>
  <c r="AS18" i="1" l="1"/>
  <c r="AS25" i="1"/>
  <c r="AP37" i="1"/>
  <c r="AP49" i="1" s="1"/>
  <c r="AP51" i="1" s="1"/>
  <c r="AS72" i="1"/>
  <c r="AP66" i="1"/>
  <c r="AS48" i="1"/>
  <c r="AS31" i="1"/>
  <c r="G22" i="54"/>
  <c r="F22" i="77"/>
  <c r="H29" i="77"/>
  <c r="F30" i="77"/>
  <c r="F31" i="77" s="1"/>
  <c r="AP73" i="1"/>
  <c r="AM73" i="1"/>
  <c r="AM75" i="1" s="1"/>
  <c r="AM82" i="1" s="1"/>
  <c r="AM49" i="1"/>
  <c r="AM51" i="1" s="1"/>
  <c r="F16" i="77" l="1"/>
  <c r="F18" i="77" s="1"/>
  <c r="H17" i="77"/>
  <c r="H30" i="77"/>
  <c r="K29" i="77"/>
  <c r="G29" i="77"/>
  <c r="AP75" i="1"/>
  <c r="AP82" i="1" s="1"/>
  <c r="F46" i="77"/>
  <c r="F57" i="77"/>
  <c r="F45" i="77"/>
  <c r="F76" i="77"/>
  <c r="F24" i="77"/>
  <c r="F65" i="77"/>
  <c r="F44" i="77"/>
  <c r="F47" i="77"/>
  <c r="F40" i="77"/>
  <c r="F78" i="77"/>
  <c r="F79" i="77"/>
  <c r="F56" i="77"/>
  <c r="J29" i="54"/>
  <c r="AS66" i="1" l="1"/>
  <c r="AS73" i="1" s="1"/>
  <c r="AS75" i="1" s="1"/>
  <c r="AS82" i="1" s="1"/>
  <c r="H19" i="55" s="1"/>
  <c r="AS37" i="1"/>
  <c r="AS49" i="1" s="1"/>
  <c r="AS51" i="1" s="1"/>
  <c r="H23" i="77"/>
  <c r="H47" i="77"/>
  <c r="J35" i="54"/>
  <c r="F35" i="77"/>
  <c r="K30" i="77"/>
  <c r="G30" i="77"/>
  <c r="G71" i="54"/>
  <c r="F71" i="77"/>
  <c r="G69" i="54"/>
  <c r="F69" i="77"/>
  <c r="H16" i="77"/>
  <c r="G39" i="54"/>
  <c r="F39" i="77"/>
  <c r="H28" i="77"/>
  <c r="H77" i="77"/>
  <c r="H56" i="77"/>
  <c r="H79" i="77"/>
  <c r="H36" i="77"/>
  <c r="H41" i="77"/>
  <c r="J74" i="54"/>
  <c r="F74" i="77"/>
  <c r="G77" i="54"/>
  <c r="F77" i="77"/>
  <c r="K17" i="77"/>
  <c r="G17" i="77"/>
  <c r="H22" i="77"/>
  <c r="G36" i="54"/>
  <c r="F36" i="77"/>
  <c r="G70" i="54"/>
  <c r="F70" i="77"/>
  <c r="F48" i="77"/>
  <c r="H76" i="77"/>
  <c r="H57" i="77"/>
  <c r="H46" i="77"/>
  <c r="H78" i="77"/>
  <c r="H74" i="77"/>
  <c r="H71" i="77"/>
  <c r="H65" i="77"/>
  <c r="H63" i="77"/>
  <c r="H45" i="77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F25" i="77" s="1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K23" i="77" l="1"/>
  <c r="G23" i="77"/>
  <c r="H39" i="77"/>
  <c r="G39" i="77" s="1"/>
  <c r="F72" i="77"/>
  <c r="G36" i="77"/>
  <c r="G72" i="54"/>
  <c r="K57" i="77"/>
  <c r="G57" i="77"/>
  <c r="K79" i="77"/>
  <c r="G79" i="77"/>
  <c r="K77" i="77"/>
  <c r="G77" i="77"/>
  <c r="G64" i="54"/>
  <c r="G66" i="54" s="1"/>
  <c r="F64" i="77"/>
  <c r="F66" i="77" s="1"/>
  <c r="K22" i="77"/>
  <c r="G22" i="77"/>
  <c r="K46" i="77"/>
  <c r="G46" i="77"/>
  <c r="K76" i="77"/>
  <c r="G76" i="77"/>
  <c r="K41" i="77"/>
  <c r="G41" i="77"/>
  <c r="K56" i="77"/>
  <c r="G56" i="77"/>
  <c r="K28" i="77"/>
  <c r="K31" i="77" s="1"/>
  <c r="G28" i="77"/>
  <c r="G31" i="77" s="1"/>
  <c r="H31" i="77"/>
  <c r="K16" i="77"/>
  <c r="G16" i="77"/>
  <c r="G18" i="77" s="1"/>
  <c r="H18" i="77"/>
  <c r="K47" i="77"/>
  <c r="G47" i="77"/>
  <c r="J34" i="54"/>
  <c r="F34" i="77"/>
  <c r="F37" i="77" s="1"/>
  <c r="F49" i="77" s="1"/>
  <c r="F51" i="77" s="1"/>
  <c r="K78" i="77"/>
  <c r="G78" i="77"/>
  <c r="K74" i="77"/>
  <c r="G74" i="77"/>
  <c r="K71" i="77"/>
  <c r="G71" i="77"/>
  <c r="H70" i="77"/>
  <c r="H69" i="77"/>
  <c r="K65" i="77"/>
  <c r="G65" i="77"/>
  <c r="K63" i="77"/>
  <c r="G63" i="77"/>
  <c r="K45" i="77"/>
  <c r="G45" i="77"/>
  <c r="H35" i="77"/>
  <c r="H37" i="54"/>
  <c r="H49" i="54" s="1"/>
  <c r="H51" i="54" s="1"/>
  <c r="G34" i="54"/>
  <c r="G37" i="54" s="1"/>
  <c r="H66" i="54"/>
  <c r="H73" i="54" s="1"/>
  <c r="H81" i="54" s="1"/>
  <c r="J64" i="54"/>
  <c r="J66" i="54" s="1"/>
  <c r="J72" i="54"/>
  <c r="J25" i="54"/>
  <c r="G31" i="54"/>
  <c r="J31" i="54"/>
  <c r="G25" i="54"/>
  <c r="G18" i="54"/>
  <c r="G48" i="54"/>
  <c r="H40" i="77" l="1"/>
  <c r="G73" i="54"/>
  <c r="G75" i="54" s="1"/>
  <c r="G81" i="54" s="1"/>
  <c r="F73" i="77"/>
  <c r="F75" i="77" s="1"/>
  <c r="F81" i="77" s="1"/>
  <c r="H24" i="77"/>
  <c r="H44" i="77"/>
  <c r="G44" i="77" s="1"/>
  <c r="K70" i="77"/>
  <c r="G70" i="77"/>
  <c r="K69" i="77"/>
  <c r="G69" i="77"/>
  <c r="H72" i="77"/>
  <c r="H64" i="77"/>
  <c r="K35" i="77"/>
  <c r="G35" i="77"/>
  <c r="J73" i="54"/>
  <c r="J75" i="54" s="1"/>
  <c r="J81" i="54" s="1"/>
  <c r="G49" i="54"/>
  <c r="G51" i="54" s="1"/>
  <c r="K40" i="77" l="1"/>
  <c r="G40" i="77"/>
  <c r="K24" i="77"/>
  <c r="K25" i="77" s="1"/>
  <c r="G24" i="77"/>
  <c r="G25" i="77" s="1"/>
  <c r="H25" i="77"/>
  <c r="G72" i="77"/>
  <c r="K72" i="77"/>
  <c r="G48" i="77"/>
  <c r="H48" i="77"/>
  <c r="K64" i="77"/>
  <c r="K66" i="77" s="1"/>
  <c r="G64" i="77"/>
  <c r="G66" i="77" s="1"/>
  <c r="H66" i="77"/>
  <c r="H73" i="77" s="1"/>
  <c r="H75" i="77" s="1"/>
  <c r="H81" i="77" s="1"/>
  <c r="H34" i="77" l="1"/>
  <c r="G73" i="77"/>
  <c r="G75" i="77" s="1"/>
  <c r="G81" i="77" s="1"/>
  <c r="K73" i="77"/>
  <c r="K75" i="77" s="1"/>
  <c r="K81" i="77" s="1"/>
  <c r="A19" i="69"/>
  <c r="A12" i="3"/>
  <c r="A15" i="75" s="1"/>
  <c r="G34" i="77" l="1"/>
  <c r="G37" i="77" s="1"/>
  <c r="G49" i="77" s="1"/>
  <c r="G51" i="77" s="1"/>
  <c r="H37" i="77"/>
  <c r="H49" i="77" s="1"/>
  <c r="H51" i="77" s="1"/>
  <c r="K34" i="77"/>
  <c r="A13" i="3"/>
  <c r="A16" i="75" s="1"/>
  <c r="A20" i="69"/>
  <c r="A21" i="69" l="1"/>
  <c r="A14" i="3"/>
  <c r="A17" i="75" s="1"/>
  <c r="A22" i="69" l="1"/>
  <c r="A15" i="3"/>
  <c r="A18" i="75" s="1"/>
  <c r="A23" i="69" l="1"/>
  <c r="A16" i="3"/>
  <c r="A19" i="75" s="1"/>
  <c r="A24" i="69" l="1"/>
  <c r="A17" i="3"/>
  <c r="A20" i="75" s="1"/>
  <c r="A25" i="69" l="1"/>
  <c r="A18" i="3"/>
  <c r="A21" i="75" s="1"/>
  <c r="A26" i="69" l="1"/>
  <c r="A19" i="3"/>
  <c r="A22" i="75" s="1"/>
  <c r="A27" i="69" l="1"/>
  <c r="A20" i="3"/>
  <c r="A23" i="75" s="1"/>
  <c r="A21" i="3" l="1"/>
  <c r="A24" i="75" s="1"/>
  <c r="A28" i="69"/>
  <c r="A23" i="3" l="1"/>
  <c r="A26" i="75" s="1"/>
  <c r="A30" i="69"/>
  <c r="A34" i="3" l="1"/>
  <c r="A34" i="75" s="1"/>
  <c r="A33" i="69" l="1"/>
  <c r="E8" i="75"/>
  <c r="A26" i="3"/>
  <c r="A29" i="75" s="1"/>
  <c r="A24" i="3" l="1"/>
  <c r="A27" i="75" s="1"/>
  <c r="L26" i="55"/>
  <c r="N26" i="55" l="1"/>
  <c r="X89" i="1" l="1"/>
  <c r="K10" i="69"/>
  <c r="AO59" i="1"/>
  <c r="AK59" i="1"/>
  <c r="D41" i="3" s="1"/>
  <c r="R55" i="76"/>
  <c r="R59" i="76" s="1"/>
  <c r="G55" i="76"/>
  <c r="G59" i="76" s="1"/>
  <c r="AJ59" i="1"/>
  <c r="H47" i="69" s="1"/>
  <c r="AF55" i="76"/>
  <c r="AF59" i="76" s="1"/>
  <c r="O59" i="1"/>
  <c r="I55" i="76"/>
  <c r="I59" i="76" s="1"/>
  <c r="Q59" i="1"/>
  <c r="L55" i="76"/>
  <c r="L59" i="76" s="1"/>
  <c r="H21" i="55"/>
  <c r="H23" i="55" s="1"/>
  <c r="J55" i="76"/>
  <c r="J59" i="76" s="1"/>
  <c r="K59" i="1"/>
  <c r="M55" i="76"/>
  <c r="M59" i="76" s="1"/>
  <c r="X55" i="76"/>
  <c r="X59" i="76" s="1"/>
  <c r="AI59" i="1"/>
  <c r="H46" i="69" s="1"/>
  <c r="K46" i="69" s="1"/>
  <c r="H55" i="76"/>
  <c r="H59" i="76" s="1"/>
  <c r="S55" i="76"/>
  <c r="S59" i="76" s="1"/>
  <c r="AG59" i="1"/>
  <c r="H44" i="69" s="1"/>
  <c r="T55" i="76"/>
  <c r="T59" i="76" s="1"/>
  <c r="Z55" i="76"/>
  <c r="Z59" i="76" s="1"/>
  <c r="F59" i="1"/>
  <c r="AC55" i="76"/>
  <c r="AC59" i="76" s="1"/>
  <c r="X90" i="1" l="1"/>
  <c r="X84" i="1" s="1"/>
  <c r="X91" i="1"/>
  <c r="AO89" i="1"/>
  <c r="K47" i="69"/>
  <c r="K44" i="69"/>
  <c r="K50" i="69"/>
  <c r="N50" i="69" s="1"/>
  <c r="K48" i="69"/>
  <c r="K42" i="69"/>
  <c r="K38" i="69"/>
  <c r="K40" i="69"/>
  <c r="K34" i="69"/>
  <c r="K11" i="69"/>
  <c r="K24" i="69"/>
  <c r="L44" i="69"/>
  <c r="O44" i="69" s="1"/>
  <c r="L46" i="69"/>
  <c r="O46" i="69" s="1"/>
  <c r="L47" i="69"/>
  <c r="I43" i="75"/>
  <c r="E50" i="75"/>
  <c r="E54" i="75" s="1"/>
  <c r="AA89" i="1"/>
  <c r="AC89" i="1"/>
  <c r="AE89" i="1"/>
  <c r="V55" i="76"/>
  <c r="V59" i="76" s="1"/>
  <c r="V59" i="1"/>
  <c r="AK89" i="1"/>
  <c r="I41" i="75"/>
  <c r="I42" i="75"/>
  <c r="I17" i="75"/>
  <c r="I19" i="75"/>
  <c r="I23" i="75"/>
  <c r="I27" i="75"/>
  <c r="I20" i="75"/>
  <c r="I24" i="75"/>
  <c r="I28" i="75"/>
  <c r="I35" i="75"/>
  <c r="I37" i="75"/>
  <c r="I22" i="75"/>
  <c r="I38" i="75"/>
  <c r="I21" i="75"/>
  <c r="I29" i="75"/>
  <c r="I26" i="75"/>
  <c r="I25" i="75"/>
  <c r="I31" i="75"/>
  <c r="I33" i="75"/>
  <c r="I18" i="75"/>
  <c r="I36" i="75"/>
  <c r="I34" i="75"/>
  <c r="I32" i="75"/>
  <c r="I39" i="75"/>
  <c r="I16" i="75"/>
  <c r="I40" i="75"/>
  <c r="V89" i="1"/>
  <c r="AD59" i="1"/>
  <c r="AB55" i="76"/>
  <c r="AB59" i="76" s="1"/>
  <c r="U59" i="1"/>
  <c r="U55" i="76"/>
  <c r="U59" i="76" s="1"/>
  <c r="AJ55" i="76"/>
  <c r="AJ59" i="76" s="1"/>
  <c r="AI55" i="76"/>
  <c r="AI59" i="76" s="1"/>
  <c r="AL59" i="1"/>
  <c r="H49" i="69" s="1"/>
  <c r="K49" i="69" s="1"/>
  <c r="AF59" i="1"/>
  <c r="H43" i="69" s="1"/>
  <c r="K43" i="69" s="1"/>
  <c r="AD55" i="76"/>
  <c r="AD59" i="76" s="1"/>
  <c r="O48" i="69"/>
  <c r="I30" i="75"/>
  <c r="R59" i="1"/>
  <c r="D21" i="3" s="1"/>
  <c r="N89" i="1"/>
  <c r="E89" i="1"/>
  <c r="E91" i="1" s="1"/>
  <c r="G59" i="1"/>
  <c r="H13" i="69" s="1"/>
  <c r="K13" i="69" s="1"/>
  <c r="O40" i="69"/>
  <c r="O47" i="69"/>
  <c r="I12" i="75"/>
  <c r="I15" i="75"/>
  <c r="AG55" i="76"/>
  <c r="AG59" i="76" s="1"/>
  <c r="Q55" i="76"/>
  <c r="Q59" i="76" s="1"/>
  <c r="I13" i="75"/>
  <c r="AH55" i="76"/>
  <c r="AH59" i="76" s="1"/>
  <c r="AH59" i="1"/>
  <c r="AA55" i="76"/>
  <c r="AA59" i="76" s="1"/>
  <c r="I59" i="1"/>
  <c r="H19" i="69" s="1"/>
  <c r="K19" i="69" s="1"/>
  <c r="F48" i="75"/>
  <c r="I11" i="75"/>
  <c r="L59" i="1"/>
  <c r="D15" i="3" s="1"/>
  <c r="I14" i="75"/>
  <c r="F55" i="76"/>
  <c r="F59" i="76" s="1"/>
  <c r="O55" i="76"/>
  <c r="O59" i="76" s="1"/>
  <c r="O56" i="69"/>
  <c r="O42" i="69"/>
  <c r="M59" i="1"/>
  <c r="D16" i="3" s="1"/>
  <c r="O38" i="69"/>
  <c r="O55" i="69"/>
  <c r="J59" i="1"/>
  <c r="D13" i="3" s="1"/>
  <c r="Z59" i="1"/>
  <c r="T59" i="1"/>
  <c r="S59" i="1"/>
  <c r="D22" i="3" s="1"/>
  <c r="K55" i="76"/>
  <c r="K59" i="76" s="1"/>
  <c r="H59" i="1"/>
  <c r="D11" i="3" s="1"/>
  <c r="Y55" i="76"/>
  <c r="Y59" i="76" s="1"/>
  <c r="AM55" i="1"/>
  <c r="AP55" i="1" s="1"/>
  <c r="AQ55" i="1" s="1"/>
  <c r="AB59" i="1"/>
  <c r="P55" i="76"/>
  <c r="P59" i="76" s="1"/>
  <c r="P59" i="1"/>
  <c r="H26" i="69" s="1"/>
  <c r="K26" i="69" s="1"/>
  <c r="AE55" i="76"/>
  <c r="AE59" i="76" s="1"/>
  <c r="D9" i="3"/>
  <c r="H12" i="69"/>
  <c r="K12" i="69" s="1"/>
  <c r="F89" i="1"/>
  <c r="D14" i="3"/>
  <c r="H21" i="69"/>
  <c r="K21" i="69" s="1"/>
  <c r="K89" i="1"/>
  <c r="D31" i="3"/>
  <c r="D33" i="3"/>
  <c r="D39" i="3"/>
  <c r="AI89" i="1"/>
  <c r="D40" i="3"/>
  <c r="AJ89" i="1"/>
  <c r="D18" i="3"/>
  <c r="H25" i="69"/>
  <c r="K25" i="69" s="1"/>
  <c r="O89" i="1"/>
  <c r="D37" i="3"/>
  <c r="AG89" i="1"/>
  <c r="D20" i="3"/>
  <c r="H27" i="69"/>
  <c r="K27" i="69" s="1"/>
  <c r="Q89" i="1"/>
  <c r="X92" i="1" l="1"/>
  <c r="N90" i="1"/>
  <c r="N84" i="1" s="1"/>
  <c r="N91" i="1"/>
  <c r="AK90" i="1"/>
  <c r="AK84" i="1" s="1"/>
  <c r="AK91" i="1"/>
  <c r="AC90" i="1"/>
  <c r="AC84" i="1" s="1"/>
  <c r="AC91" i="1"/>
  <c r="O90" i="1"/>
  <c r="O84" i="1" s="1"/>
  <c r="O91" i="1"/>
  <c r="F90" i="1"/>
  <c r="F84" i="1" s="1"/>
  <c r="F91" i="1"/>
  <c r="V90" i="1"/>
  <c r="V84" i="1" s="1"/>
  <c r="V91" i="1"/>
  <c r="AA90" i="1"/>
  <c r="AA84" i="1" s="1"/>
  <c r="AA91" i="1"/>
  <c r="AO90" i="1"/>
  <c r="AO84" i="1" s="1"/>
  <c r="AO91" i="1"/>
  <c r="AI90" i="1"/>
  <c r="AI84" i="1" s="1"/>
  <c r="AI91" i="1"/>
  <c r="K90" i="1"/>
  <c r="K84" i="1" s="1"/>
  <c r="K91" i="1"/>
  <c r="Q90" i="1"/>
  <c r="Q84" i="1" s="1"/>
  <c r="Q91" i="1"/>
  <c r="AJ90" i="1"/>
  <c r="AJ84" i="1" s="1"/>
  <c r="AJ91" i="1"/>
  <c r="AG90" i="1"/>
  <c r="AG84" i="1" s="1"/>
  <c r="AG91" i="1"/>
  <c r="AE90" i="1"/>
  <c r="AE84" i="1" s="1"/>
  <c r="AE91" i="1"/>
  <c r="E90" i="1"/>
  <c r="E84" i="1" s="1"/>
  <c r="D23" i="3"/>
  <c r="H30" i="69"/>
  <c r="K30" i="69" s="1"/>
  <c r="L49" i="69"/>
  <c r="O49" i="69" s="1"/>
  <c r="U89" i="1"/>
  <c r="H31" i="69"/>
  <c r="K31" i="69" s="1"/>
  <c r="D30" i="3"/>
  <c r="H37" i="69"/>
  <c r="K37" i="69" s="1"/>
  <c r="D38" i="3"/>
  <c r="H45" i="69"/>
  <c r="K45" i="69" s="1"/>
  <c r="D32" i="3"/>
  <c r="H39" i="69"/>
  <c r="K39" i="69" s="1"/>
  <c r="L43" i="69"/>
  <c r="O43" i="69" s="1"/>
  <c r="D25" i="3"/>
  <c r="H32" i="69"/>
  <c r="K32" i="69" s="1"/>
  <c r="AD89" i="1"/>
  <c r="H41" i="69"/>
  <c r="K41" i="69" s="1"/>
  <c r="J13" i="69"/>
  <c r="P13" i="69" s="1"/>
  <c r="L26" i="69"/>
  <c r="O26" i="69" s="1"/>
  <c r="J26" i="69"/>
  <c r="P26" i="69" s="1"/>
  <c r="L19" i="69"/>
  <c r="O19" i="69" s="1"/>
  <c r="J19" i="69"/>
  <c r="P19" i="69" s="1"/>
  <c r="L25" i="69"/>
  <c r="O25" i="69" s="1"/>
  <c r="J25" i="69"/>
  <c r="P25" i="69" s="1"/>
  <c r="J12" i="69"/>
  <c r="P12" i="69" s="1"/>
  <c r="L21" i="69"/>
  <c r="O21" i="69" s="1"/>
  <c r="J21" i="69"/>
  <c r="P21" i="69" s="1"/>
  <c r="L27" i="69"/>
  <c r="O27" i="69" s="1"/>
  <c r="J27" i="69"/>
  <c r="P27" i="69" s="1"/>
  <c r="L13" i="69"/>
  <c r="O13" i="69" s="1"/>
  <c r="I50" i="75"/>
  <c r="I57" i="75" s="1"/>
  <c r="F50" i="75"/>
  <c r="G50" i="75" s="1"/>
  <c r="D34" i="3"/>
  <c r="D24" i="3"/>
  <c r="AF89" i="1"/>
  <c r="D36" i="3"/>
  <c r="D43" i="3"/>
  <c r="D42" i="3"/>
  <c r="AL89" i="1"/>
  <c r="R89" i="1"/>
  <c r="H28" i="69"/>
  <c r="K28" i="69" s="1"/>
  <c r="M89" i="1"/>
  <c r="J89" i="1"/>
  <c r="D10" i="3"/>
  <c r="G89" i="1"/>
  <c r="D35" i="3"/>
  <c r="I89" i="1"/>
  <c r="AH89" i="1"/>
  <c r="S89" i="1"/>
  <c r="D12" i="3"/>
  <c r="H29" i="69"/>
  <c r="K29" i="69" s="1"/>
  <c r="L89" i="1"/>
  <c r="H22" i="69"/>
  <c r="K22" i="69" s="1"/>
  <c r="H20" i="69"/>
  <c r="K20" i="69" s="1"/>
  <c r="Z89" i="1"/>
  <c r="H23" i="69"/>
  <c r="K23" i="69" s="1"/>
  <c r="T89" i="1"/>
  <c r="P89" i="1"/>
  <c r="H89" i="1"/>
  <c r="H14" i="69"/>
  <c r="K14" i="69" s="1"/>
  <c r="AB89" i="1"/>
  <c r="D19" i="3"/>
  <c r="L12" i="69"/>
  <c r="E57" i="75"/>
  <c r="AJ92" i="1" l="1"/>
  <c r="K92" i="1"/>
  <c r="AO92" i="1"/>
  <c r="V92" i="1"/>
  <c r="O92" i="1"/>
  <c r="AK92" i="1"/>
  <c r="AG92" i="1"/>
  <c r="Q92" i="1"/>
  <c r="AI92" i="1"/>
  <c r="AA92" i="1"/>
  <c r="F92" i="1"/>
  <c r="AC92" i="1"/>
  <c r="N92" i="1"/>
  <c r="Z90" i="1"/>
  <c r="Z84" i="1" s="1"/>
  <c r="Z91" i="1"/>
  <c r="J90" i="1"/>
  <c r="J84" i="1" s="1"/>
  <c r="J91" i="1"/>
  <c r="J92" i="1" s="1"/>
  <c r="P90" i="1"/>
  <c r="P84" i="1" s="1"/>
  <c r="P91" i="1"/>
  <c r="M90" i="1"/>
  <c r="M84" i="1" s="1"/>
  <c r="M91" i="1"/>
  <c r="M92" i="1" s="1"/>
  <c r="E92" i="1"/>
  <c r="H90" i="1"/>
  <c r="H84" i="1" s="1"/>
  <c r="H91" i="1"/>
  <c r="I90" i="1"/>
  <c r="I84" i="1" s="1"/>
  <c r="I91" i="1"/>
  <c r="AL90" i="1"/>
  <c r="AL84" i="1" s="1"/>
  <c r="AL91" i="1"/>
  <c r="AF90" i="1"/>
  <c r="AF84" i="1" s="1"/>
  <c r="AF91" i="1"/>
  <c r="T90" i="1"/>
  <c r="T84" i="1" s="1"/>
  <c r="T91" i="1"/>
  <c r="U90" i="1"/>
  <c r="U84" i="1" s="1"/>
  <c r="U91" i="1"/>
  <c r="AB90" i="1"/>
  <c r="AB84" i="1" s="1"/>
  <c r="AB91" i="1"/>
  <c r="S90" i="1"/>
  <c r="S84" i="1" s="1"/>
  <c r="S91" i="1"/>
  <c r="G90" i="1"/>
  <c r="G84" i="1" s="1"/>
  <c r="G91" i="1"/>
  <c r="L90" i="1"/>
  <c r="L84" i="1" s="1"/>
  <c r="L91" i="1"/>
  <c r="AH90" i="1"/>
  <c r="AH84" i="1" s="1"/>
  <c r="AH91" i="1"/>
  <c r="R90" i="1"/>
  <c r="R84" i="1" s="1"/>
  <c r="R91" i="1"/>
  <c r="AD90" i="1"/>
  <c r="AD84" i="1" s="1"/>
  <c r="AD91" i="1"/>
  <c r="AE92" i="1"/>
  <c r="J32" i="69"/>
  <c r="P32" i="69" s="1"/>
  <c r="L39" i="69"/>
  <c r="O39" i="69" s="1"/>
  <c r="L37" i="69"/>
  <c r="O37" i="69" s="1"/>
  <c r="L45" i="69"/>
  <c r="O45" i="69" s="1"/>
  <c r="L41" i="69"/>
  <c r="O41" i="69" s="1"/>
  <c r="J14" i="69"/>
  <c r="P14" i="69" s="1"/>
  <c r="P17" i="69" s="1"/>
  <c r="K17" i="69"/>
  <c r="J43" i="69"/>
  <c r="P43" i="69" s="1"/>
  <c r="N43" i="69"/>
  <c r="N38" i="69"/>
  <c r="J38" i="69"/>
  <c r="P38" i="69" s="1"/>
  <c r="N40" i="69"/>
  <c r="J40" i="69"/>
  <c r="P40" i="69" s="1"/>
  <c r="J46" i="69"/>
  <c r="P46" i="69" s="1"/>
  <c r="N46" i="69"/>
  <c r="N44" i="69"/>
  <c r="J44" i="69"/>
  <c r="P44" i="69" s="1"/>
  <c r="J47" i="69"/>
  <c r="P47" i="69" s="1"/>
  <c r="N47" i="69"/>
  <c r="L22" i="69"/>
  <c r="O22" i="69" s="1"/>
  <c r="J22" i="69"/>
  <c r="P22" i="69" s="1"/>
  <c r="L30" i="69"/>
  <c r="O30" i="69" s="1"/>
  <c r="J30" i="69"/>
  <c r="P30" i="69" s="1"/>
  <c r="L23" i="69"/>
  <c r="O23" i="69" s="1"/>
  <c r="J23" i="69"/>
  <c r="P23" i="69" s="1"/>
  <c r="L31" i="69"/>
  <c r="O31" i="69" s="1"/>
  <c r="J31" i="69"/>
  <c r="P31" i="69" s="1"/>
  <c r="L20" i="69"/>
  <c r="O20" i="69" s="1"/>
  <c r="J20" i="69"/>
  <c r="P20" i="69" s="1"/>
  <c r="L29" i="69"/>
  <c r="O29" i="69" s="1"/>
  <c r="J29" i="69"/>
  <c r="P29" i="69" s="1"/>
  <c r="L28" i="69"/>
  <c r="O28" i="69" s="1"/>
  <c r="J28" i="69"/>
  <c r="P28" i="69" s="1"/>
  <c r="L14" i="69"/>
  <c r="O14" i="69" s="1"/>
  <c r="F54" i="75"/>
  <c r="H55" i="77"/>
  <c r="H17" i="69"/>
  <c r="O12" i="69"/>
  <c r="W54" i="1"/>
  <c r="Y54" i="1" s="1"/>
  <c r="P92" i="1" l="1"/>
  <c r="Z92" i="1"/>
  <c r="F55" i="77"/>
  <c r="G55" i="77" s="1"/>
  <c r="J55" i="54"/>
  <c r="G55" i="54"/>
  <c r="AD92" i="1"/>
  <c r="AH92" i="1"/>
  <c r="G92" i="1"/>
  <c r="AB92" i="1"/>
  <c r="T92" i="1"/>
  <c r="AL92" i="1"/>
  <c r="H92" i="1"/>
  <c r="R92" i="1"/>
  <c r="L92" i="1"/>
  <c r="S92" i="1"/>
  <c r="U92" i="1"/>
  <c r="AF92" i="1"/>
  <c r="I92" i="1"/>
  <c r="L17" i="69"/>
  <c r="L35" i="69" s="1"/>
  <c r="L51" i="69" s="1"/>
  <c r="L113" i="69" s="1"/>
  <c r="O17" i="69"/>
  <c r="O35" i="69" s="1"/>
  <c r="O51" i="69" s="1"/>
  <c r="J17" i="69"/>
  <c r="N45" i="69"/>
  <c r="J45" i="69"/>
  <c r="P45" i="69" s="1"/>
  <c r="J37" i="69"/>
  <c r="P37" i="69" s="1"/>
  <c r="N37" i="69"/>
  <c r="J42" i="69"/>
  <c r="P42" i="69" s="1"/>
  <c r="N42" i="69"/>
  <c r="J39" i="69"/>
  <c r="P39" i="69" s="1"/>
  <c r="N39" i="69"/>
  <c r="J41" i="69"/>
  <c r="P41" i="69" s="1"/>
  <c r="N41" i="69"/>
  <c r="J49" i="69"/>
  <c r="P49" i="69" s="1"/>
  <c r="N49" i="69"/>
  <c r="N48" i="69"/>
  <c r="J48" i="69"/>
  <c r="P48" i="69" s="1"/>
  <c r="I51" i="69"/>
  <c r="F57" i="75"/>
  <c r="G57" i="75" s="1"/>
  <c r="G54" i="75"/>
  <c r="K55" i="77"/>
  <c r="W59" i="1"/>
  <c r="W54" i="76"/>
  <c r="W59" i="76" s="1"/>
  <c r="J58" i="75"/>
  <c r="N51" i="69" l="1"/>
  <c r="Y59" i="1"/>
  <c r="Y89" i="1" s="1"/>
  <c r="AM54" i="1"/>
  <c r="H33" i="69"/>
  <c r="K33" i="69" s="1"/>
  <c r="D26" i="3"/>
  <c r="D28" i="3" s="1"/>
  <c r="D44" i="3" s="1"/>
  <c r="W89" i="1"/>
  <c r="Y90" i="1" l="1"/>
  <c r="Y84" i="1" s="1"/>
  <c r="Y91" i="1"/>
  <c r="W90" i="1"/>
  <c r="W84" i="1" s="1"/>
  <c r="W91" i="1"/>
  <c r="W92" i="1" s="1"/>
  <c r="K35" i="69"/>
  <c r="K51" i="69" s="1"/>
  <c r="H35" i="69"/>
  <c r="H51" i="69" s="1"/>
  <c r="J33" i="69"/>
  <c r="AM59" i="1"/>
  <c r="AP54" i="1"/>
  <c r="AQ54" i="1" s="1"/>
  <c r="Y92" i="1" l="1"/>
  <c r="P33" i="69"/>
  <c r="P35" i="69" s="1"/>
  <c r="P51" i="69" s="1"/>
  <c r="P113" i="69" s="1"/>
  <c r="J35" i="69"/>
  <c r="J51" i="69" s="1"/>
  <c r="P114" i="69" s="1"/>
  <c r="F44" i="3"/>
  <c r="AM89" i="1"/>
  <c r="AM91" i="1" s="1"/>
  <c r="AP59" i="1"/>
  <c r="L57" i="69"/>
  <c r="AP89" i="1" l="1"/>
  <c r="AM90" i="1"/>
  <c r="AM84" i="1" s="1"/>
  <c r="L114" i="69"/>
  <c r="L115" i="69" s="1"/>
  <c r="P115" i="69"/>
  <c r="AP90" i="1" l="1"/>
  <c r="AP84" i="1" s="1"/>
  <c r="AP91" i="1"/>
  <c r="AM92" i="1"/>
  <c r="AQ59" i="1"/>
  <c r="O57" i="69"/>
  <c r="F54" i="77"/>
  <c r="F59" i="77" s="1"/>
  <c r="F82" i="77" s="1"/>
  <c r="AP92" i="1" l="1"/>
  <c r="AQ85" i="1" s="1"/>
  <c r="AQ89" i="1"/>
  <c r="AS59" i="1"/>
  <c r="H25" i="55" s="1"/>
  <c r="H27" i="55" s="1"/>
  <c r="H31" i="55" s="1"/>
  <c r="G54" i="54"/>
  <c r="G59" i="54" s="1"/>
  <c r="H59" i="54"/>
  <c r="H82" i="54" s="1"/>
  <c r="AQ91" i="1" l="1"/>
  <c r="H39" i="55"/>
  <c r="H54" i="77"/>
  <c r="H59" i="77" s="1"/>
  <c r="H82" i="77" s="1"/>
  <c r="H35" i="55"/>
  <c r="J12" i="56"/>
  <c r="AS91" i="1" l="1"/>
  <c r="AQ84" i="1"/>
  <c r="G54" i="77"/>
  <c r="G59" i="77" s="1"/>
  <c r="J15" i="56"/>
  <c r="I39" i="77" s="1"/>
  <c r="I15" i="77"/>
  <c r="I15" i="54"/>
  <c r="J15" i="54" s="1"/>
  <c r="J18" i="54" s="1"/>
  <c r="J17" i="56"/>
  <c r="J19" i="56"/>
  <c r="AS84" i="1" l="1"/>
  <c r="AQ86" i="1"/>
  <c r="I18" i="54"/>
  <c r="I39" i="54"/>
  <c r="J39" i="54" s="1"/>
  <c r="I44" i="54"/>
  <c r="I48" i="54" s="1"/>
  <c r="I44" i="77"/>
  <c r="I18" i="77"/>
  <c r="I36" i="54"/>
  <c r="J36" i="54" s="1"/>
  <c r="J37" i="54" s="1"/>
  <c r="I36" i="77"/>
  <c r="J21" i="56"/>
  <c r="J23" i="56" s="1"/>
  <c r="J25" i="56" s="1"/>
  <c r="I37" i="54" l="1"/>
  <c r="I49" i="54" s="1"/>
  <c r="I51" i="54" s="1"/>
  <c r="J44" i="54"/>
  <c r="J48" i="54" s="1"/>
  <c r="J49" i="54" s="1"/>
  <c r="J51" i="54" s="1"/>
  <c r="I54" i="54"/>
  <c r="J54" i="54" s="1"/>
  <c r="I54" i="77"/>
  <c r="I37" i="77"/>
  <c r="I48" i="77"/>
  <c r="J27" i="56"/>
  <c r="J29" i="56" s="1"/>
  <c r="J30" i="56" s="1"/>
  <c r="J39" i="77" l="1"/>
  <c r="K39" i="77" s="1"/>
  <c r="I49" i="77"/>
  <c r="I51" i="77" s="1"/>
  <c r="I59" i="77" s="1"/>
  <c r="J59" i="54"/>
  <c r="J82" i="54" s="1"/>
  <c r="I59" i="54"/>
  <c r="J44" i="77" l="1"/>
  <c r="J48" i="77" s="1"/>
  <c r="J15" i="77"/>
  <c r="J18" i="77" s="1"/>
  <c r="J36" i="77"/>
  <c r="J37" i="77" s="1"/>
  <c r="K36" i="77"/>
  <c r="K37" i="77" s="1"/>
  <c r="J54" i="77"/>
  <c r="K54" i="77" s="1"/>
  <c r="J49" i="77" l="1"/>
  <c r="J51" i="77" s="1"/>
  <c r="J59" i="77" s="1"/>
  <c r="K44" i="77"/>
  <c r="K48" i="77" s="1"/>
  <c r="K49" i="77" s="1"/>
  <c r="K15" i="77"/>
  <c r="K18" i="77" s="1"/>
  <c r="K51" i="77" l="1"/>
  <c r="K59" i="77" s="1"/>
  <c r="K82" i="77" s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<sst xmlns="http://schemas.openxmlformats.org/spreadsheetml/2006/main" count="1201" uniqueCount="663">
  <si>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</si>
  <si>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</si>
  <si>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</si>
  <si>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</si>
  <si>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</si>
  <si>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</si>
  <si>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</si>
  <si>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</si>
  <si>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</si>
  <si>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</si>
  <si>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</si>
  <si>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</si>
  <si>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</si>
  <si>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</si>
  <si>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</si>
  <si>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</si>
  <si>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</si>
  <si>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</si>
  <si>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</si>
  <si>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</si>
  <si>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</si>
  <si>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</si>
  <si>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</si>
  <si>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</si>
  <si>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</si>
  <si>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</si>
  <si>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</si>
  <si>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</si>
  <si>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</si>
  <si>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</si>
  <si>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</si>
  <si>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</si>
  <si>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</si>
  <si>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</si>
  <si>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</si>
  <si>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</si>
  <si>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</si>
  <si>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</si>
  <si>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</si>
  <si>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</si>
  <si>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</si>
  <si>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</si>
  <si>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</si>
  <si>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</si>
  <si>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</si>
  <si>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</si>
  <si>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</si>
  <si>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</si>
  <si>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</si>
  <si>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</si>
  <si>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</si>
  <si>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</si>
  <si>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</si>
  <si>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</si>
  <si>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</si>
  <si>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</si>
  <si>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</si>
  <si>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</si>
  <si>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</si>
  <si>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</si>
  <si>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</si>
  <si>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</si>
  <si>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</si>
  <si>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</si>
  <si>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</si>
  <si>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</si>
  <si>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</si>
  <si>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</si>
  <si>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</si>
  <si>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</si>
  <si>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</si>
  <si>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</si>
  <si>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</si>
  <si>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</si>
  <si>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</si>
  <si>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</si>
  <si>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</si>
  <si>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</si>
  <si>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</si>
  <si>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</si>
  <si>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</si>
  <si>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</si>
  <si>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</si>
  <si>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</si>
  <si>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</si>
  <si>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</si>
  <si>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</si>
  <si>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</si>
  <si>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</si>
  <si>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</si>
  <si>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</si>
  <si>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</si>
  <si>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</si>
  <si>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</si>
  <si>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</si>
  <si>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</si>
  <si>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</si>
  <si>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</si>
  <si>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</si>
  <si>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</si>
  <si>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</si>
  <si>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</si>
  <si>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</si>
  <si>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</si>
  <si>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</si>
  <si>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</si>
  <si>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</si>
  <si>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</si>
  <si>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</si>
  <si>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</si>
  <si>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</si>
  <si>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</si>
  <si>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</si>
  <si>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</si>
  <si>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</si>
  <si>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</si>
  <si>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</si>
  <si>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</si>
  <si>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</si>
  <si>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</si>
  <si>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</si>
  <si>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</si>
  <si>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</si>
  <si>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</si>
  <si>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</si>
  <si>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</si>
  <si>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</si>
  <si>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</si>
  <si>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</si>
  <si>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</si>
  <si>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</si>
  <si>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</si>
  <si>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</si>
  <si>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</si>
  <si>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</si>
  <si>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</si>
  <si>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</si>
  <si>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</si>
  <si>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</si>
  <si>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</si>
  <si>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</si>
  <si>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</si>
  <si>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</si>
  <si>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</si>
  <si>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</si>
  <si>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</si>
  <si>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</si>
  <si>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</si>
  <si>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</si>
  <si>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</si>
  <si>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</si>
  <si>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</si>
  <si>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</si>
  <si>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</si>
  <si>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</si>
  <si>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</si>
  <si>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</si>
  <si>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</si>
  <si>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</si>
  <si>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</si>
  <si>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</si>
  <si>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</si>
  <si>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</si>
  <si>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</si>
  <si>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</si>
  <si>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</si>
  <si>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</si>
  <si>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ID</t>
  </si>
  <si>
    <t>NOI Requirement</t>
  </si>
  <si>
    <t xml:space="preserve">Karen </t>
  </si>
  <si>
    <t>Benefits</t>
  </si>
  <si>
    <t>Restating</t>
  </si>
  <si>
    <t>IMPACT ON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</si>
  <si>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</si>
  <si>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</si>
  <si>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</si>
  <si>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</si>
  <si>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</si>
  <si>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</si>
  <si>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</si>
  <si>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</si>
  <si>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</si>
  <si>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</si>
  <si>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</si>
  <si>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</si>
  <si>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</si>
  <si>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</si>
  <si>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</si>
  <si>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</si>
  <si>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</si>
  <si>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</si>
  <si>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Incentive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</si>
  <si>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</si>
  <si>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</si>
  <si>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</si>
  <si>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</si>
  <si>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</si>
  <si>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</si>
  <si>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</si>
  <si>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</si>
  <si>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</si>
  <si>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</si>
  <si>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</si>
  <si>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</si>
  <si>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</si>
  <si>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</si>
  <si>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</si>
  <si>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</si>
  <si>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</si>
  <si>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</si>
  <si>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</si>
  <si>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</si>
  <si>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</si>
  <si>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</si>
  <si>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</si>
  <si>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</si>
  <si>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</si>
  <si>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</si>
  <si>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</si>
  <si>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</si>
  <si>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</si>
  <si>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</si>
  <si>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</si>
  <si>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</si>
  <si>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</si>
  <si>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</si>
  <si>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</si>
  <si>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</si>
  <si>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</si>
  <si>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</si>
  <si>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</si>
  <si>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</si>
  <si>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</si>
  <si>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</si>
  <si>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</si>
  <si>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</si>
  <si>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</si>
  <si>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</si>
  <si>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</si>
  <si>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</si>
  <si>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</si>
  <si>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</si>
  <si>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</si>
  <si>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</si>
  <si>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</si>
  <si>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</si>
  <si>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</si>
  <si>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</si>
  <si>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</si>
  <si>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</si>
  <si>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</si>
  <si>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</si>
  <si>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</si>
  <si>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</si>
  <si>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</si>
  <si>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</si>
  <si>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</si>
  <si>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</si>
  <si>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</si>
  <si>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</si>
  <si>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</si>
  <si>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</si>
  <si>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</si>
  <si>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</si>
  <si>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</si>
  <si>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</si>
  <si>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</si>
  <si>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</si>
  <si>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</si>
  <si>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</si>
  <si>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</si>
  <si>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</si>
  <si>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</si>
  <si>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</si>
  <si>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</si>
  <si>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</si>
  <si>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</si>
  <si>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</si>
  <si>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</si>
  <si>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</si>
  <si>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</si>
  <si>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</si>
  <si>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</si>
  <si>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</si>
  <si>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</si>
  <si>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</si>
  <si>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</si>
  <si>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</si>
  <si>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</si>
  <si>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</si>
  <si>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</si>
  <si>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</si>
  <si>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</si>
  <si>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</si>
  <si>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</si>
  <si>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</si>
  <si>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</si>
  <si>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</si>
  <si>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</si>
  <si>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</si>
  <si>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</si>
  <si>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</si>
  <si>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</si>
  <si>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</si>
  <si>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</si>
  <si>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</si>
  <si>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</si>
  <si>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</si>
  <si>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</si>
  <si>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</si>
  <si>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</si>
  <si>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</si>
  <si>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</si>
  <si>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</si>
  <si>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</si>
  <si>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</si>
  <si>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</si>
  <si>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</si>
  <si>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</si>
  <si>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</si>
  <si>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</si>
  <si>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</si>
  <si>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</si>
  <si>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</si>
  <si>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</si>
  <si>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</si>
  <si>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</si>
  <si>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</si>
  <si>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</si>
  <si>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</si>
  <si>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</si>
  <si>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</si>
  <si>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</si>
  <si>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</si>
  <si>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</si>
  <si>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</si>
  <si>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</si>
  <si>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</si>
  <si>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</si>
  <si>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</si>
  <si>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</si>
  <si>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</si>
  <si>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</si>
  <si>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</si>
  <si>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</si>
  <si>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</si>
  <si>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</si>
  <si>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</si>
  <si>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</si>
  <si>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</si>
  <si>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</si>
  <si>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</si>
  <si>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</si>
  <si>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</si>
  <si>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</si>
  <si>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</si>
  <si>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</si>
  <si>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</si>
  <si>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</si>
  <si>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</si>
  <si>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</si>
  <si>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</si>
  <si>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</si>
  <si>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</si>
  <si>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</si>
  <si>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</si>
  <si>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</si>
  <si>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</si>
  <si>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</si>
  <si>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</si>
  <si>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</si>
  <si>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</si>
  <si>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</si>
  <si>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</si>
  <si>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</si>
  <si>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</si>
  <si>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</si>
  <si>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</si>
  <si>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</si>
  <si>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</si>
  <si>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</si>
  <si>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</si>
  <si>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</si>
  <si>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</si>
  <si>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</si>
  <si>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</si>
  <si>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</si>
  <si>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</si>
  <si>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</si>
  <si>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</si>
  <si>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</si>
  <si>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</si>
  <si>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</si>
  <si>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</si>
  <si>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</si>
  <si>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</si>
  <si>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</si>
  <si>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</si>
  <si>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</si>
  <si>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</si>
  <si>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</si>
  <si>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</si>
  <si>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</si>
  <si>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</si>
  <si>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</si>
  <si>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</si>
  <si>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</si>
  <si>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</si>
  <si>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</si>
  <si>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</si>
  <si>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</si>
  <si>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</si>
  <si>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</si>
  <si>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</si>
  <si>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</si>
  <si>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</si>
  <si>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</si>
  <si>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</si>
  <si>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</si>
  <si>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</si>
  <si>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</si>
  <si>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</si>
  <si>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</si>
  <si>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</si>
  <si>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</si>
  <si>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</si>
  <si>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</si>
  <si>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</si>
  <si>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</si>
  <si>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</si>
  <si>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</si>
  <si>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</si>
  <si>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</si>
  <si>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</si>
  <si>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</si>
  <si>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</si>
  <si>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</si>
  <si>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</si>
  <si>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</si>
  <si>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</si>
  <si>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</si>
  <si>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</si>
  <si>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</si>
  <si>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</si>
  <si>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</si>
  <si>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</si>
  <si>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</si>
  <si>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Total Debt</t>
  </si>
  <si>
    <t>Revenue requirement</t>
  </si>
  <si>
    <t xml:space="preserve">Stl Attrition Adj= </t>
  </si>
  <si>
    <t>Pro Forma Adjustments</t>
  </si>
  <si>
    <t>G-RPT</t>
  </si>
  <si>
    <t>G-PPT</t>
  </si>
  <si>
    <t>Working</t>
  </si>
  <si>
    <t>G-WC</t>
  </si>
  <si>
    <t>Karen</t>
  </si>
  <si>
    <t xml:space="preserve">Jen </t>
  </si>
  <si>
    <t>ADFIT - Common Plant (283750 from C-DTX)</t>
  </si>
  <si>
    <t xml:space="preserve">Pro Forma </t>
  </si>
  <si>
    <t>Restated</t>
  </si>
  <si>
    <t>Sub-Total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</si>
  <si>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</si>
  <si>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</si>
  <si>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</si>
  <si>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</si>
  <si>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>PROPOSED COST OF CAPITAL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</si>
  <si>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</si>
  <si>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</si>
  <si>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</si>
  <si>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</si>
  <si>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</si>
  <si>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</si>
  <si>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</si>
  <si>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G-PREV</t>
  </si>
  <si>
    <t>Amortization</t>
  </si>
  <si>
    <t>Revenue Requirement - 2016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</si>
  <si>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</si>
  <si>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</si>
  <si>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</si>
  <si>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</si>
  <si>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</si>
  <si>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</si>
  <si>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G-PCAP16</t>
  </si>
  <si>
    <t>Capital Adds</t>
  </si>
  <si>
    <t>G-POFF</t>
  </si>
  <si>
    <t>G-PRA</t>
  </si>
  <si>
    <t>G-PAT</t>
  </si>
  <si>
    <t>Restating Adjustments</t>
  </si>
  <si>
    <t xml:space="preserve">Project </t>
  </si>
  <si>
    <t>Compass</t>
  </si>
  <si>
    <t>Deferral</t>
  </si>
  <si>
    <t>G-CD</t>
  </si>
  <si>
    <t>G-WNGC</t>
  </si>
  <si>
    <t>2018</t>
  </si>
  <si>
    <t>Total Base Distribution Revenues*</t>
  </si>
  <si>
    <t>Total Present Billed Revenue</t>
  </si>
  <si>
    <t>Percentage Billed Revenue Increase</t>
  </si>
  <si>
    <t>Percentage Base Distribution Revenue Increase</t>
  </si>
  <si>
    <t xml:space="preserve">Total </t>
  </si>
  <si>
    <t>g</t>
  </si>
  <si>
    <t>2018 Proposed</t>
  </si>
  <si>
    <t>(000's of              Dollars)</t>
  </si>
  <si>
    <t>Total (1)</t>
  </si>
  <si>
    <t>2019</t>
  </si>
  <si>
    <t>G-PIS</t>
  </si>
  <si>
    <t>EOP</t>
  </si>
  <si>
    <t>2017 Capital</t>
  </si>
  <si>
    <t>Net Plant Adj</t>
  </si>
  <si>
    <t>Gas Line Ext.</t>
  </si>
  <si>
    <t>Joel</t>
  </si>
  <si>
    <t xml:space="preserve">Joel </t>
  </si>
  <si>
    <t>G-PLEAP</t>
  </si>
  <si>
    <t>TWELVE MONTHS ENDED DECEMBER 31, 2016</t>
  </si>
  <si>
    <t>WITH 2019 PROPOSED RATES</t>
  </si>
  <si>
    <t>2019 Proposed</t>
  </si>
  <si>
    <t>WA Excess Nat Gas Line Extension</t>
  </si>
  <si>
    <t>DFIT - WA Excess Nat Gas Line Extension</t>
  </si>
  <si>
    <t>G-EOPCAP17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</si>
  <si>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</si>
  <si>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</si>
  <si>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</si>
  <si>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</si>
  <si>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</si>
  <si>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</si>
  <si>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Director</t>
  </si>
  <si>
    <t>Fees Expense</t>
  </si>
  <si>
    <t>G-PDF</t>
  </si>
  <si>
    <t>Misc. Restating</t>
  </si>
  <si>
    <t>Non-Util / Non-</t>
  </si>
  <si>
    <t>Recurring Expenses</t>
  </si>
  <si>
    <t>IS/IT</t>
  </si>
  <si>
    <t>2017 Threshhold</t>
  </si>
  <si>
    <t>Employee</t>
  </si>
  <si>
    <t>G-PI</t>
  </si>
  <si>
    <t xml:space="preserve">Atmospheric Testing </t>
  </si>
  <si>
    <t>&amp; Leak Survey</t>
  </si>
  <si>
    <t>LEAP Deferral</t>
  </si>
  <si>
    <t>* Based on rate year estimated capital structure and cost of debt.</t>
  </si>
  <si>
    <t>May 1, 2018</t>
  </si>
  <si>
    <t>WITH 05.2018 PROPOSED RATES</t>
  </si>
  <si>
    <t>05.2018</t>
  </si>
  <si>
    <t>Contested</t>
  </si>
  <si>
    <t>WASHINGTON NATURAL GAS RESULTS</t>
  </si>
  <si>
    <t xml:space="preserve">WASHINGTON NATURAL GAS </t>
  </si>
  <si>
    <t xml:space="preserve">AMA to </t>
  </si>
  <si>
    <t>Staff Proposed Capital Structure*</t>
  </si>
  <si>
    <t>Actual Results</t>
  </si>
  <si>
    <t>Avista FILED CASE</t>
  </si>
  <si>
    <t>Revenue</t>
  </si>
  <si>
    <t>Requirement</t>
  </si>
  <si>
    <t>at 7.69 %</t>
  </si>
  <si>
    <t>Restating Incentive</t>
  </si>
  <si>
    <t>Restate Plant from AMA to EOP</t>
  </si>
  <si>
    <t>Difference</t>
  </si>
  <si>
    <t>Avista Proposed</t>
  </si>
  <si>
    <t>ROR impact</t>
  </si>
  <si>
    <t>Requirement @</t>
  </si>
  <si>
    <t>EOP 2017 Capital Net Rate Base (EOP)</t>
  </si>
  <si>
    <t>STAFF</t>
  </si>
  <si>
    <t xml:space="preserve">RATE OF RETURN  </t>
  </si>
  <si>
    <t xml:space="preserve">REVENUE REQUIREMENT </t>
  </si>
  <si>
    <r>
      <t xml:space="preserve">CALCULATION OF </t>
    </r>
    <r>
      <rPr>
        <b/>
        <u/>
        <sz val="12"/>
        <color theme="1"/>
        <rFont val="Times New Roman"/>
        <family val="1"/>
      </rPr>
      <t>REQUESTED</t>
    </r>
    <r>
      <rPr>
        <b/>
        <sz val="12"/>
        <color theme="1"/>
        <rFont val="Times New Roman"/>
        <family val="1"/>
      </rPr>
      <t xml:space="preserve"> GENERAL REVENUE REQUIREMENT</t>
    </r>
  </si>
  <si>
    <t>CF *</t>
  </si>
  <si>
    <t>CF indicates that this adjustment is affected by the revised onversion factor.</t>
  </si>
  <si>
    <t xml:space="preserve">Note: </t>
  </si>
  <si>
    <t>Long-Term Debt</t>
  </si>
  <si>
    <t>Short-Term Debt</t>
  </si>
  <si>
    <t>Year 1 Tax Reform Schedule 174 Revenue Requirement</t>
  </si>
  <si>
    <t>Revised Rebuttal</t>
  </si>
  <si>
    <t>1 year amort</t>
  </si>
  <si>
    <t>Tax Reform</t>
  </si>
  <si>
    <t>Schedule 174</t>
  </si>
  <si>
    <t>FIT/DFIT</t>
  </si>
  <si>
    <t>Excess Tax PF</t>
  </si>
  <si>
    <t>Including</t>
  </si>
  <si>
    <t>Jan - Apr Deferral</t>
  </si>
  <si>
    <t>Year 1</t>
  </si>
  <si>
    <t>Expense Adj</t>
  </si>
  <si>
    <t>ARAM Amort</t>
  </si>
  <si>
    <t>Non-Plant Amort</t>
  </si>
  <si>
    <t>FIT/DFIT Exp</t>
  </si>
  <si>
    <t>PF-Ttl</t>
  </si>
  <si>
    <t>G-TCJA-1</t>
  </si>
  <si>
    <t>G-TCJA-2</t>
  </si>
  <si>
    <t>G-TCJA-3</t>
  </si>
  <si>
    <t>G-TCJA-4</t>
  </si>
  <si>
    <t>G-TCJA-5</t>
  </si>
  <si>
    <t>Conversion Factor impact on Base Rate Revenue Requirement</t>
  </si>
  <si>
    <t>Total TCJA-1 Tax Rate Change Revenue Requirement</t>
  </si>
  <si>
    <t>Pro Forma Rate of Return</t>
  </si>
  <si>
    <t>Revenue Conversion Factor Rebuttal</t>
  </si>
  <si>
    <t>Revenue Conversion Factor with Tax Reform</t>
  </si>
  <si>
    <t>Revenue Requirement with Tax Reform</t>
  </si>
  <si>
    <t>Conversion Factor Change</t>
  </si>
  <si>
    <t>Flow through DFIT exclusion</t>
  </si>
  <si>
    <t>Summary Table</t>
  </si>
  <si>
    <t>AVISTA</t>
  </si>
  <si>
    <t>WA</t>
  </si>
  <si>
    <t>Effective May 1, 2018</t>
  </si>
  <si>
    <t>Electric</t>
  </si>
  <si>
    <t>Gas</t>
  </si>
  <si>
    <t>Avista Rebuttal position</t>
  </si>
  <si>
    <t>Staff original position</t>
  </si>
  <si>
    <t xml:space="preserve">Brief Position (Revenue Requirement increase </t>
  </si>
  <si>
    <t>no change</t>
  </si>
  <si>
    <t>due to accepting Avista's property tax Adj. 3.06)</t>
  </si>
  <si>
    <t>Permanent Reductions:</t>
  </si>
  <si>
    <t>1 ) Current/Deferred Tax Expense (35% to 21%)</t>
  </si>
  <si>
    <t>2a) Plant Excess ADFIT</t>
  </si>
  <si>
    <t>Adjusted Avista Rebuttal (Base Tariff)</t>
  </si>
  <si>
    <t>Temporary Reductions:</t>
  </si>
  <si>
    <t>2b) Non-Plant Excess ADFIT</t>
  </si>
  <si>
    <t>3 ) Deferral of January-April 2018 balances</t>
  </si>
  <si>
    <t>Originally filed</t>
  </si>
  <si>
    <t>With TCJA</t>
  </si>
  <si>
    <t>Adjusted Staff position (Base Tariff)</t>
  </si>
  <si>
    <t>Staff current position</t>
  </si>
  <si>
    <t>Federal Income Taxes Embedded in Allowed Rates</t>
  </si>
  <si>
    <t>WA Nat Gas</t>
  </si>
  <si>
    <t>Last Approved Case</t>
  </si>
  <si>
    <t>UG-150205</t>
  </si>
  <si>
    <t>Normalized usage</t>
  </si>
  <si>
    <t>Order No. 5</t>
  </si>
  <si>
    <t>Jan</t>
  </si>
  <si>
    <t>Appendix A</t>
  </si>
  <si>
    <t>Feb</t>
  </si>
  <si>
    <t>Weighted Cost of Equity</t>
  </si>
  <si>
    <t>Appendix C, page 2</t>
  </si>
  <si>
    <t>Mar</t>
  </si>
  <si>
    <t>Weighted Cost of Debt</t>
  </si>
  <si>
    <t>Apr</t>
  </si>
  <si>
    <t>Allowed Rate of Return</t>
  </si>
  <si>
    <t>May</t>
  </si>
  <si>
    <t>Jun</t>
  </si>
  <si>
    <t>Equity Return</t>
  </si>
  <si>
    <t>Jul</t>
  </si>
  <si>
    <t>Aug</t>
  </si>
  <si>
    <t>Total Return (Net Income Requirement)</t>
  </si>
  <si>
    <t>Sep</t>
  </si>
  <si>
    <t>Oct</t>
  </si>
  <si>
    <t>Pre-Tax Equity Return</t>
  </si>
  <si>
    <t>Nov</t>
  </si>
  <si>
    <t xml:space="preserve">Implied Tax Cost </t>
  </si>
  <si>
    <t>Dec</t>
  </si>
  <si>
    <t>TCJI Annual Savings</t>
  </si>
  <si>
    <t>Pre-tax Conversion Factor</t>
  </si>
  <si>
    <t>Annual Revenue Requirement</t>
  </si>
  <si>
    <t>Jan-Apr Deferred Rev Req (in 000's)</t>
  </si>
  <si>
    <t>Gross down (for Adj Detail-input tab)</t>
  </si>
  <si>
    <t>Gas*</t>
  </si>
  <si>
    <t>*From 170942 Natural Gas Deccoupling Attach 2</t>
  </si>
  <si>
    <t>a) FIT/DFIT Expense</t>
  </si>
  <si>
    <t>b) ARAM amortization</t>
  </si>
  <si>
    <t>combined above</t>
  </si>
  <si>
    <t>Total Temporary amounts</t>
  </si>
  <si>
    <r>
      <t xml:space="preserve">            For </t>
    </r>
    <r>
      <rPr>
        <u/>
        <sz val="10"/>
        <rFont val="Arial"/>
        <family val="2"/>
      </rPr>
      <t>natural gas</t>
    </r>
    <r>
      <rPr>
        <sz val="10"/>
        <rFont val="Arial"/>
        <family val="2"/>
      </rPr>
      <t xml:space="preserve"> service, Staff recommends these amounts be returned to customers over one year through Schedule 174 beginning May 1, 2018)</t>
    </r>
  </si>
  <si>
    <r>
      <t xml:space="preserve">(NOTE: For </t>
    </r>
    <r>
      <rPr>
        <u/>
        <sz val="10"/>
        <rFont val="Arial"/>
        <family val="2"/>
      </rPr>
      <t>electric</t>
    </r>
    <r>
      <rPr>
        <sz val="10"/>
        <rFont val="Arial"/>
        <family val="2"/>
      </rPr>
      <t xml:space="preserve"> service, Staff recommends these amounts remain in the deferral account until resolution of Docket U-170970, wherein they are proposed to offset Colstrip costs</t>
    </r>
  </si>
  <si>
    <t>Calculation of Adjustment 5.04</t>
  </si>
  <si>
    <t>Jan.-Apr. 2018 Deferral</t>
  </si>
  <si>
    <t>Jan-Apr proportion</t>
  </si>
  <si>
    <t>of annual load</t>
  </si>
  <si>
    <t>Revenue Requirement After TCJA (000s)</t>
  </si>
  <si>
    <t xml:space="preserve">  Federal Income Tax @35% &amp; 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</si>
</sst>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0.0000%"/>
    <numFmt numFmtId="179" formatCode="#,##0.000000"/>
    <numFmt numFmtId="180" formatCode="_(* #,##0.000000_);_(* \(#,##0.000000\);_(* &quot;-&quot;_);_(@_)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sz val="10"/>
      <color rgb="FF002060"/>
      <name val="Times New Roman"/>
      <family val="1"/>
    </font>
    <font>
      <sz val="10"/>
      <color rgb="FF002060"/>
      <name val="Times New Roman"/>
      <family val="1"/>
    </font>
    <font>
      <u/>
      <sz val="10"/>
      <color rgb="FF002060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  <font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Courier New"/>
      <family val="3"/>
    </font>
    <font>
      <i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4" fillId="0" borderId="0"/>
    <xf numFmtId="44" fontId="2" fillId="0" borderId="0" applyFont="0" applyFill="0" applyBorder="0" applyAlignment="0" applyProtection="0"/>
    <xf numFmtId="0" fontId="40" fillId="3" borderId="0"/>
    <xf numFmtId="0" fontId="2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4" fillId="0" borderId="0"/>
    <xf numFmtId="43" fontId="44" fillId="0" borderId="0" applyFont="0" applyFill="0" applyBorder="0" applyAlignment="0" applyProtection="0"/>
    <xf numFmtId="0" fontId="34" fillId="0" borderId="0"/>
  </cellStyleXfs>
  <cellXfs count="970">
    <xf numFmtId="0" fontId="0" fillId="0" borderId="0" xfId="0"/>
    <xf numFmtId="0" fontId="4" fillId="0" borderId="0" xfId="6" applyFont="1"/>
    <xf numFmtId="5" fontId="4" fillId="0" borderId="0" xfId="6" applyNumberFormat="1" applyFont="1"/>
    <xf numFmtId="37" fontId="4" fillId="0" borderId="0" xfId="6" applyNumberFormat="1" applyFont="1"/>
    <xf numFmtId="0" fontId="4" fillId="0" borderId="0" xfId="6" applyNumberFormat="1" applyFont="1" applyBorder="1" applyAlignment="1">
      <alignment horizontal="center"/>
    </xf>
    <xf numFmtId="37" fontId="4" fillId="0" borderId="0" xfId="6" applyNumberFormat="1" applyFont="1" applyBorder="1"/>
    <xf numFmtId="10" fontId="4" fillId="0" borderId="0" xfId="7" applyNumberFormat="1" applyFont="1"/>
    <xf numFmtId="0" fontId="5" fillId="0" borderId="0" xfId="0" applyFont="1" applyAlignment="1">
      <alignment horizontal="centerContinuous"/>
    </xf>
    <xf numFmtId="0" fontId="5" fillId="0" borderId="0" xfId="0" applyFont="1"/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Continuous"/>
    </xf>
    <xf numFmtId="165" fontId="5" fillId="0" borderId="10" xfId="0" applyNumberFormat="1" applyFont="1" applyBorder="1" applyAlignment="1">
      <alignment horizontal="right"/>
    </xf>
    <xf numFmtId="166" fontId="7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Continuous"/>
    </xf>
    <xf numFmtId="165" fontId="5" fillId="0" borderId="10" xfId="0" applyNumberFormat="1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5" fontId="5" fillId="0" borderId="0" xfId="0" applyNumberFormat="1" applyFont="1"/>
    <xf numFmtId="164" fontId="5" fillId="0" borderId="0" xfId="0" applyNumberFormat="1" applyFont="1"/>
    <xf numFmtId="37" fontId="5" fillId="0" borderId="0" xfId="0" applyNumberFormat="1" applyFont="1"/>
    <xf numFmtId="37" fontId="5" fillId="0" borderId="10" xfId="0" applyNumberFormat="1" applyFont="1" applyBorder="1"/>
    <xf numFmtId="3" fontId="5" fillId="0" borderId="0" xfId="0" applyNumberFormat="1" applyFont="1" applyAlignment="1">
      <alignment horizontal="left"/>
    </xf>
    <xf numFmtId="167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 applyAlignment="1">
      <alignment horizontal="left"/>
    </xf>
    <xf numFmtId="5" fontId="5" fillId="0" borderId="12" xfId="0" applyNumberFormat="1" applyFont="1" applyBorder="1"/>
    <xf numFmtId="10" fontId="5" fillId="0" borderId="0" xfId="7" applyNumberFormat="1" applyFont="1"/>
    <xf numFmtId="37" fontId="4" fillId="0" borderId="0" xfId="0" applyNumberFormat="1" applyFont="1"/>
    <xf numFmtId="5" fontId="13" fillId="0" borderId="12" xfId="0" applyNumberFormat="1" applyFont="1" applyBorder="1"/>
    <xf numFmtId="0" fontId="10" fillId="0" borderId="0" xfId="0" applyFont="1"/>
    <xf numFmtId="0" fontId="4" fillId="0" borderId="0" xfId="0" applyFont="1"/>
    <xf numFmtId="3" fontId="4" fillId="0" borderId="0" xfId="0" applyNumberFormat="1" applyFont="1"/>
    <xf numFmtId="3" fontId="6" fillId="0" borderId="1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10" fillId="0" borderId="0" xfId="0" applyFont="1" applyBorder="1"/>
    <xf numFmtId="5" fontId="10" fillId="0" borderId="0" xfId="0" applyNumberFormat="1" applyFont="1" applyBorder="1"/>
    <xf numFmtId="3" fontId="10" fillId="0" borderId="0" xfId="0" applyNumberFormat="1" applyFont="1" applyBorder="1"/>
    <xf numFmtId="37" fontId="10" fillId="0" borderId="0" xfId="0" applyNumberFormat="1" applyFont="1" applyBorder="1"/>
    <xf numFmtId="6" fontId="10" fillId="0" borderId="0" xfId="2" applyNumberFormat="1" applyFont="1" applyBorder="1"/>
    <xf numFmtId="0" fontId="14" fillId="0" borderId="0" xfId="0" applyFont="1"/>
    <xf numFmtId="3" fontId="10" fillId="0" borderId="0" xfId="0" applyNumberFormat="1" applyFont="1"/>
    <xf numFmtId="5" fontId="10" fillId="0" borderId="0" xfId="0" applyNumberFormat="1" applyFont="1"/>
    <xf numFmtId="0" fontId="10" fillId="0" borderId="0" xfId="0" applyFont="1" applyFill="1" applyAlignment="1">
      <alignment horizontal="center"/>
    </xf>
    <xf numFmtId="5" fontId="10" fillId="0" borderId="16" xfId="0" applyNumberFormat="1" applyFont="1" applyBorder="1"/>
    <xf numFmtId="0" fontId="10" fillId="0" borderId="15" xfId="0" applyFont="1" applyBorder="1" applyAlignment="1">
      <alignment horizontal="center"/>
    </xf>
    <xf numFmtId="0" fontId="14" fillId="0" borderId="0" xfId="0" applyFont="1" applyBorder="1"/>
    <xf numFmtId="0" fontId="15" fillId="0" borderId="0" xfId="0" applyFont="1"/>
    <xf numFmtId="0" fontId="15" fillId="0" borderId="0" xfId="0" applyFont="1" applyBorder="1"/>
    <xf numFmtId="3" fontId="4" fillId="0" borderId="0" xfId="6" applyNumberFormat="1" applyFont="1"/>
    <xf numFmtId="168" fontId="4" fillId="0" borderId="0" xfId="6" applyNumberFormat="1" applyFont="1"/>
    <xf numFmtId="170" fontId="4" fillId="0" borderId="0" xfId="7" applyNumberFormat="1" applyFont="1" applyBorder="1"/>
    <xf numFmtId="0" fontId="4" fillId="0" borderId="0" xfId="5" applyFont="1"/>
    <xf numFmtId="0" fontId="4" fillId="0" borderId="0" xfId="5" applyNumberFormat="1" applyFont="1" applyAlignment="1">
      <alignment horizontal="left"/>
    </xf>
    <xf numFmtId="0" fontId="4" fillId="0" borderId="0" xfId="5" applyNumberFormat="1" applyFont="1" applyAlignment="1">
      <alignment horizontal="center"/>
    </xf>
    <xf numFmtId="0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3" fontId="6" fillId="0" borderId="13" xfId="0" applyNumberFormat="1" applyFont="1" applyBorder="1" applyAlignment="1">
      <alignment horizontal="centerContinuous"/>
    </xf>
    <xf numFmtId="3" fontId="6" fillId="0" borderId="15" xfId="0" applyNumberFormat="1" applyFont="1" applyBorder="1" applyAlignment="1">
      <alignment horizontal="centerContinuous"/>
    </xf>
    <xf numFmtId="3" fontId="6" fillId="0" borderId="14" xfId="0" applyNumberFormat="1" applyFont="1" applyBorder="1" applyAlignment="1">
      <alignment horizontal="centerContinuous"/>
    </xf>
    <xf numFmtId="0" fontId="6" fillId="0" borderId="1" xfId="5" applyNumberFormat="1" applyFont="1" applyBorder="1" applyAlignment="1">
      <alignment horizontal="center"/>
    </xf>
    <xf numFmtId="0" fontId="6" fillId="0" borderId="2" xfId="5" applyNumberFormat="1" applyFont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5" xfId="5" applyNumberFormat="1" applyFont="1" applyBorder="1" applyAlignment="1">
      <alignment horizontal="center"/>
    </xf>
    <xf numFmtId="0" fontId="6" fillId="0" borderId="6" xfId="5" applyNumberFormat="1" applyFont="1" applyBorder="1" applyAlignment="1">
      <alignment horizontal="center"/>
    </xf>
    <xf numFmtId="0" fontId="6" fillId="0" borderId="6" xfId="5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8" xfId="5" applyNumberFormat="1" applyFont="1" applyBorder="1" applyAlignment="1">
      <alignment horizontal="center"/>
    </xf>
    <xf numFmtId="0" fontId="6" fillId="0" borderId="9" xfId="5" applyNumberFormat="1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0" fontId="6" fillId="0" borderId="11" xfId="5" applyFont="1" applyBorder="1" applyAlignment="1">
      <alignment horizontal="center"/>
    </xf>
    <xf numFmtId="0" fontId="8" fillId="0" borderId="0" xfId="5" applyNumberFormat="1" applyFont="1" applyAlignment="1">
      <alignment horizontal="center"/>
    </xf>
    <xf numFmtId="0" fontId="8" fillId="0" borderId="0" xfId="5" applyFont="1" applyAlignment="1">
      <alignment horizontal="center"/>
    </xf>
    <xf numFmtId="10" fontId="4" fillId="0" borderId="0" xfId="6" applyNumberFormat="1" applyFont="1"/>
    <xf numFmtId="37" fontId="4" fillId="0" borderId="0" xfId="5" applyNumberFormat="1" applyFont="1" applyBorder="1" applyAlignment="1">
      <alignment horizontal="center"/>
    </xf>
    <xf numFmtId="0" fontId="4" fillId="0" borderId="0" xfId="5" applyFont="1" applyBorder="1"/>
    <xf numFmtId="37" fontId="4" fillId="0" borderId="12" xfId="6" applyNumberFormat="1" applyFont="1" applyBorder="1"/>
    <xf numFmtId="173" fontId="4" fillId="0" borderId="0" xfId="1" applyNumberFormat="1" applyFont="1"/>
    <xf numFmtId="0" fontId="21" fillId="0" borderId="0" xfId="0" applyFont="1"/>
    <xf numFmtId="173" fontId="10" fillId="0" borderId="0" xfId="1" applyNumberFormat="1" applyFont="1"/>
    <xf numFmtId="0" fontId="18" fillId="0" borderId="0" xfId="0" applyFont="1"/>
    <xf numFmtId="0" fontId="0" fillId="0" borderId="0" xfId="0" applyFill="1"/>
    <xf numFmtId="0" fontId="10" fillId="0" borderId="0" xfId="0" applyFont="1" applyFill="1" applyBorder="1"/>
    <xf numFmtId="37" fontId="10" fillId="0" borderId="0" xfId="0" applyNumberFormat="1" applyFont="1" applyFill="1" applyBorder="1"/>
    <xf numFmtId="0" fontId="10" fillId="0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3" fontId="24" fillId="0" borderId="0" xfId="0" applyNumberFormat="1" applyFont="1" applyFill="1"/>
    <xf numFmtId="3" fontId="4" fillId="0" borderId="0" xfId="0" applyNumberFormat="1" applyFont="1" applyFill="1"/>
    <xf numFmtId="10" fontId="10" fillId="0" borderId="0" xfId="7" applyNumberFormat="1" applyFont="1"/>
    <xf numFmtId="3" fontId="4" fillId="0" borderId="0" xfId="5" applyNumberFormat="1" applyFont="1"/>
    <xf numFmtId="0" fontId="11" fillId="0" borderId="0" xfId="0" applyFont="1"/>
    <xf numFmtId="5" fontId="10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6" xfId="0" applyFont="1" applyBorder="1"/>
    <xf numFmtId="5" fontId="5" fillId="0" borderId="0" xfId="0" applyNumberFormat="1" applyFont="1" applyFill="1"/>
    <xf numFmtId="37" fontId="5" fillId="0" borderId="0" xfId="0" applyNumberFormat="1" applyFont="1" applyFill="1"/>
    <xf numFmtId="37" fontId="5" fillId="0" borderId="10" xfId="0" applyNumberFormat="1" applyFont="1" applyFill="1" applyBorder="1"/>
    <xf numFmtId="164" fontId="5" fillId="0" borderId="0" xfId="0" applyNumberFormat="1" applyFont="1" applyFill="1"/>
    <xf numFmtId="173" fontId="5" fillId="0" borderId="0" xfId="1" applyNumberFormat="1" applyFont="1" applyAlignment="1">
      <alignment horizontal="center"/>
    </xf>
    <xf numFmtId="173" fontId="5" fillId="0" borderId="0" xfId="1" applyNumberFormat="1" applyFont="1"/>
    <xf numFmtId="3" fontId="4" fillId="0" borderId="0" xfId="0" applyNumberFormat="1" applyFont="1"/>
    <xf numFmtId="0" fontId="11" fillId="0" borderId="1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4" fillId="0" borderId="0" xfId="6" applyNumberFormat="1" applyFont="1" applyAlignment="1">
      <alignment horizontal="center"/>
    </xf>
    <xf numFmtId="0" fontId="11" fillId="0" borderId="0" xfId="0" applyFont="1" applyFill="1" applyAlignment="1">
      <alignment horizontal="left"/>
    </xf>
    <xf numFmtId="37" fontId="10" fillId="0" borderId="0" xfId="0" applyNumberFormat="1" applyFont="1"/>
    <xf numFmtId="0" fontId="14" fillId="0" borderId="0" xfId="0" applyFont="1" applyFill="1" applyBorder="1"/>
    <xf numFmtId="5" fontId="10" fillId="0" borderId="0" xfId="0" applyNumberFormat="1" applyFont="1" applyFill="1" applyBorder="1"/>
    <xf numFmtId="173" fontId="10" fillId="0" borderId="0" xfId="1" applyNumberFormat="1" applyFont="1" applyFill="1" applyBorder="1"/>
    <xf numFmtId="173" fontId="10" fillId="0" borderId="0" xfId="0" applyNumberFormat="1" applyFont="1" applyFill="1" applyBorder="1"/>
    <xf numFmtId="3" fontId="30" fillId="0" borderId="0" xfId="6" applyNumberFormat="1" applyFont="1" applyFill="1"/>
    <xf numFmtId="3" fontId="30" fillId="0" borderId="0" xfId="5" applyNumberFormat="1" applyFont="1" applyFill="1"/>
    <xf numFmtId="0" fontId="30" fillId="0" borderId="0" xfId="6" applyNumberFormat="1" applyFont="1" applyAlignment="1">
      <alignment horizontal="left"/>
    </xf>
    <xf numFmtId="0" fontId="30" fillId="0" borderId="0" xfId="6" applyFont="1"/>
    <xf numFmtId="3" fontId="32" fillId="0" borderId="0" xfId="6" applyNumberFormat="1" applyFont="1" applyFill="1"/>
    <xf numFmtId="3" fontId="30" fillId="0" borderId="0" xfId="6" applyNumberFormat="1" applyFont="1"/>
    <xf numFmtId="3" fontId="31" fillId="0" borderId="0" xfId="6" applyNumberFormat="1" applyFont="1"/>
    <xf numFmtId="3" fontId="33" fillId="0" borderId="0" xfId="6" applyNumberFormat="1" applyFont="1"/>
    <xf numFmtId="3" fontId="31" fillId="0" borderId="0" xfId="6" applyNumberFormat="1" applyFont="1" applyAlignment="1"/>
    <xf numFmtId="0" fontId="31" fillId="0" borderId="0" xfId="6" applyNumberFormat="1" applyFont="1" applyAlignment="1">
      <alignment horizontal="center"/>
    </xf>
    <xf numFmtId="0" fontId="31" fillId="0" borderId="0" xfId="6" applyFont="1" applyAlignment="1">
      <alignment horizontal="center"/>
    </xf>
    <xf numFmtId="3" fontId="31" fillId="0" borderId="0" xfId="6" applyNumberFormat="1" applyFont="1" applyAlignment="1">
      <alignment horizontal="center"/>
    </xf>
    <xf numFmtId="0" fontId="31" fillId="0" borderId="1" xfId="6" applyNumberFormat="1" applyFont="1" applyBorder="1" applyAlignment="1">
      <alignment horizontal="center"/>
    </xf>
    <xf numFmtId="0" fontId="31" fillId="0" borderId="2" xfId="6" applyFont="1" applyBorder="1" applyAlignment="1">
      <alignment horizontal="center"/>
    </xf>
    <xf numFmtId="0" fontId="31" fillId="0" borderId="3" xfId="6" applyFont="1" applyBorder="1" applyAlignment="1">
      <alignment horizontal="center"/>
    </xf>
    <xf numFmtId="0" fontId="30" fillId="0" borderId="4" xfId="6" applyFont="1" applyBorder="1"/>
    <xf numFmtId="3" fontId="31" fillId="0" borderId="1" xfId="6" applyNumberFormat="1" applyFont="1" applyBorder="1" applyAlignment="1">
      <alignment horizontal="center"/>
    </xf>
    <xf numFmtId="0" fontId="31" fillId="0" borderId="5" xfId="6" applyNumberFormat="1" applyFont="1" applyBorder="1" applyAlignment="1">
      <alignment horizontal="center"/>
    </xf>
    <xf numFmtId="0" fontId="31" fillId="0" borderId="6" xfId="6" applyFont="1" applyBorder="1" applyAlignment="1">
      <alignment horizontal="center"/>
    </xf>
    <xf numFmtId="0" fontId="31" fillId="0" borderId="0" xfId="6" applyFont="1" applyBorder="1" applyAlignment="1">
      <alignment horizontal="center"/>
    </xf>
    <xf numFmtId="0" fontId="30" fillId="0" borderId="7" xfId="6" applyFont="1" applyBorder="1"/>
    <xf numFmtId="3" fontId="31" fillId="0" borderId="5" xfId="6" applyNumberFormat="1" applyFont="1" applyBorder="1" applyAlignment="1">
      <alignment horizontal="center"/>
    </xf>
    <xf numFmtId="0" fontId="31" fillId="0" borderId="8" xfId="6" applyNumberFormat="1" applyFont="1" applyBorder="1" applyAlignment="1">
      <alignment horizontal="center"/>
    </xf>
    <xf numFmtId="0" fontId="31" fillId="0" borderId="9" xfId="6" applyFont="1" applyBorder="1" applyAlignment="1">
      <alignment horizontal="center"/>
    </xf>
    <xf numFmtId="0" fontId="31" fillId="0" borderId="10" xfId="6" applyFont="1" applyBorder="1" applyAlignment="1">
      <alignment horizontal="center"/>
    </xf>
    <xf numFmtId="0" fontId="31" fillId="0" borderId="11" xfId="6" applyFont="1" applyBorder="1" applyAlignment="1">
      <alignment horizontal="center"/>
    </xf>
    <xf numFmtId="3" fontId="31" fillId="0" borderId="8" xfId="6" applyNumberFormat="1" applyFont="1" applyBorder="1" applyAlignment="1">
      <alignment horizontal="center"/>
    </xf>
    <xf numFmtId="0" fontId="30" fillId="0" borderId="0" xfId="6" applyNumberFormat="1" applyFont="1" applyAlignment="1">
      <alignment horizontal="center"/>
    </xf>
    <xf numFmtId="5" fontId="30" fillId="0" borderId="0" xfId="6" applyNumberFormat="1" applyFont="1"/>
    <xf numFmtId="37" fontId="30" fillId="0" borderId="0" xfId="6" applyNumberFormat="1" applyFont="1"/>
    <xf numFmtId="0" fontId="30" fillId="0" borderId="0" xfId="6" applyNumberFormat="1" applyFont="1" applyBorder="1" applyAlignment="1">
      <alignment horizontal="center"/>
    </xf>
    <xf numFmtId="37" fontId="30" fillId="0" borderId="0" xfId="6" applyNumberFormat="1" applyFont="1" applyBorder="1"/>
    <xf numFmtId="0" fontId="30" fillId="0" borderId="0" xfId="6" applyFont="1" applyBorder="1"/>
    <xf numFmtId="0" fontId="30" fillId="0" borderId="0" xfId="6" applyNumberFormat="1" applyFont="1" applyFill="1" applyAlignment="1">
      <alignment horizontal="left"/>
    </xf>
    <xf numFmtId="0" fontId="30" fillId="0" borderId="0" xfId="6" applyFont="1" applyFill="1"/>
    <xf numFmtId="0" fontId="30" fillId="0" borderId="0" xfId="5" applyFont="1" applyFill="1"/>
    <xf numFmtId="10" fontId="30" fillId="0" borderId="0" xfId="7" applyNumberFormat="1" applyFont="1" applyFill="1"/>
    <xf numFmtId="0" fontId="30" fillId="0" borderId="0" xfId="6" applyNumberFormat="1" applyFont="1" applyFill="1" applyAlignment="1">
      <alignment horizontal="center"/>
    </xf>
    <xf numFmtId="0" fontId="30" fillId="0" borderId="0" xfId="5" applyFont="1" applyFill="1" applyAlignment="1">
      <alignment horizontal="right"/>
    </xf>
    <xf numFmtId="0" fontId="30" fillId="0" borderId="0" xfId="6" applyFont="1" applyAlignment="1">
      <alignment horizontal="left"/>
    </xf>
    <xf numFmtId="4" fontId="31" fillId="0" borderId="0" xfId="6" applyNumberFormat="1" applyFont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41" fontId="30" fillId="0" borderId="0" xfId="6" applyNumberFormat="1" applyFont="1"/>
    <xf numFmtId="41" fontId="30" fillId="0" borderId="10" xfId="6" applyNumberFormat="1" applyFont="1" applyBorder="1"/>
    <xf numFmtId="41" fontId="30" fillId="0" borderId="0" xfId="6" applyNumberFormat="1" applyFont="1" applyFill="1"/>
    <xf numFmtId="41" fontId="30" fillId="0" borderId="15" xfId="6" applyNumberFormat="1" applyFont="1" applyBorder="1"/>
    <xf numFmtId="41" fontId="30" fillId="0" borderId="0" xfId="6" applyNumberFormat="1" applyFont="1" applyBorder="1"/>
    <xf numFmtId="41" fontId="30" fillId="0" borderId="0" xfId="5" applyNumberFormat="1" applyFont="1" applyFill="1"/>
    <xf numFmtId="41" fontId="35" fillId="0" borderId="0" xfId="5" applyNumberFormat="1" applyFont="1" applyFill="1"/>
    <xf numFmtId="41" fontId="4" fillId="0" borderId="0" xfId="5" applyNumberFormat="1" applyFont="1" applyFill="1"/>
    <xf numFmtId="3" fontId="10" fillId="0" borderId="0" xfId="13" applyNumberFormat="1" applyFont="1"/>
    <xf numFmtId="4" fontId="10" fillId="0" borderId="0" xfId="13" applyNumberFormat="1" applyFont="1" applyBorder="1" applyAlignment="1">
      <alignment horizontal="centerContinuous"/>
    </xf>
    <xf numFmtId="3" fontId="10" fillId="0" borderId="0" xfId="13" applyNumberFormat="1" applyFont="1" applyBorder="1" applyAlignment="1">
      <alignment horizontal="left"/>
    </xf>
    <xf numFmtId="3" fontId="10" fillId="0" borderId="0" xfId="13" applyNumberFormat="1" applyFont="1" applyBorder="1" applyAlignment="1">
      <alignment horizontal="centerContinuous"/>
    </xf>
    <xf numFmtId="0" fontId="10" fillId="0" borderId="0" xfId="13" applyFont="1" applyBorder="1" applyAlignment="1">
      <alignment horizontal="centerContinuous"/>
    </xf>
    <xf numFmtId="3" fontId="10" fillId="0" borderId="0" xfId="13" applyNumberFormat="1" applyFont="1" applyAlignment="1">
      <alignment horizontal="center"/>
    </xf>
    <xf numFmtId="4" fontId="10" fillId="0" borderId="0" xfId="13" applyNumberFormat="1" applyFont="1" applyAlignment="1">
      <alignment horizontal="center"/>
    </xf>
    <xf numFmtId="3" fontId="10" fillId="0" borderId="0" xfId="13" applyNumberFormat="1" applyFont="1" applyAlignment="1">
      <alignment horizontal="left"/>
    </xf>
    <xf numFmtId="0" fontId="10" fillId="0" borderId="0" xfId="13" applyFont="1"/>
    <xf numFmtId="0" fontId="10" fillId="0" borderId="0" xfId="13" applyFont="1" applyAlignment="1">
      <alignment horizontal="center"/>
    </xf>
    <xf numFmtId="3" fontId="10" fillId="0" borderId="10" xfId="13" applyNumberFormat="1" applyFont="1" applyBorder="1" applyAlignment="1">
      <alignment horizontal="left"/>
    </xf>
    <xf numFmtId="0" fontId="10" fillId="0" borderId="10" xfId="13" applyFont="1" applyBorder="1" applyAlignment="1">
      <alignment horizontal="center"/>
    </xf>
    <xf numFmtId="3" fontId="10" fillId="0" borderId="10" xfId="13" applyNumberFormat="1" applyFont="1" applyBorder="1" applyAlignment="1">
      <alignment horizontal="center"/>
    </xf>
    <xf numFmtId="41" fontId="10" fillId="0" borderId="0" xfId="13" applyNumberFormat="1" applyFont="1" applyAlignment="1">
      <alignment horizontal="right"/>
    </xf>
    <xf numFmtId="4" fontId="10" fillId="0" borderId="0" xfId="13" applyNumberFormat="1" applyFont="1" applyAlignment="1">
      <alignment horizontal="left"/>
    </xf>
    <xf numFmtId="164" fontId="10" fillId="0" borderId="0" xfId="13" applyNumberFormat="1" applyFont="1"/>
    <xf numFmtId="0" fontId="10" fillId="0" borderId="0" xfId="13" applyFont="1" applyBorder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6" fillId="0" borderId="0" xfId="13" applyNumberFormat="1" applyFont="1"/>
    <xf numFmtId="3" fontId="16" fillId="0" borderId="0" xfId="13" applyNumberFormat="1" applyFont="1"/>
    <xf numFmtId="164" fontId="10" fillId="0" borderId="3" xfId="13" applyNumberFormat="1" applyFont="1" applyBorder="1"/>
    <xf numFmtId="164" fontId="10" fillId="0" borderId="0" xfId="13" applyNumberFormat="1" applyFont="1" applyAlignment="1">
      <alignment horizontal="center"/>
    </xf>
    <xf numFmtId="164" fontId="10" fillId="0" borderId="0" xfId="13" applyNumberFormat="1" applyFont="1" applyFill="1"/>
    <xf numFmtId="10" fontId="10" fillId="0" borderId="0" xfId="13" applyNumberFormat="1" applyFont="1" applyFill="1"/>
    <xf numFmtId="0" fontId="22" fillId="0" borderId="0" xfId="13" applyFont="1"/>
    <xf numFmtId="3" fontId="10" fillId="0" borderId="0" xfId="13" applyNumberFormat="1" applyFont="1" applyFill="1" applyBorder="1"/>
    <xf numFmtId="164" fontId="10" fillId="0" borderId="3" xfId="13" applyNumberFormat="1" applyFont="1" applyFill="1" applyBorder="1"/>
    <xf numFmtId="10" fontId="10" fillId="0" borderId="3" xfId="13" applyNumberFormat="1" applyFont="1" applyFill="1" applyBorder="1"/>
    <xf numFmtId="3" fontId="10" fillId="0" borderId="0" xfId="13" applyNumberFormat="1" applyFont="1" applyFill="1"/>
    <xf numFmtId="170" fontId="10" fillId="0" borderId="0" xfId="7" applyNumberFormat="1" applyFont="1" applyFill="1"/>
    <xf numFmtId="170" fontId="10" fillId="0" borderId="0" xfId="13" applyNumberFormat="1" applyFont="1" applyFill="1"/>
    <xf numFmtId="170" fontId="10" fillId="0" borderId="3" xfId="13" applyNumberFormat="1" applyFont="1" applyFill="1" applyBorder="1"/>
    <xf numFmtId="4" fontId="11" fillId="0" borderId="0" xfId="13" applyNumberFormat="1" applyFont="1" applyAlignment="1">
      <alignment horizontal="centerContinuous"/>
    </xf>
    <xf numFmtId="3" fontId="10" fillId="0" borderId="0" xfId="13" applyNumberFormat="1" applyFont="1" applyAlignment="1">
      <alignment horizontal="centerContinuous"/>
    </xf>
    <xf numFmtId="0" fontId="10" fillId="0" borderId="0" xfId="13" applyFont="1" applyAlignment="1">
      <alignment horizontal="centerContinuous"/>
    </xf>
    <xf numFmtId="4" fontId="38" fillId="0" borderId="0" xfId="13" applyNumberFormat="1" applyFont="1" applyBorder="1" applyAlignment="1">
      <alignment horizontal="centerContinuous"/>
    </xf>
    <xf numFmtId="4" fontId="10" fillId="0" borderId="0" xfId="13" applyNumberFormat="1" applyFont="1" applyAlignment="1">
      <alignment horizontal="centerContinuous"/>
    </xf>
    <xf numFmtId="37" fontId="10" fillId="0" borderId="0" xfId="13" applyNumberFormat="1" applyFont="1" applyAlignment="1">
      <alignment horizontal="right"/>
    </xf>
    <xf numFmtId="3" fontId="39" fillId="0" borderId="0" xfId="13" applyNumberFormat="1" applyFont="1"/>
    <xf numFmtId="0" fontId="18" fillId="0" borderId="0" xfId="13" applyFont="1"/>
    <xf numFmtId="10" fontId="18" fillId="0" borderId="0" xfId="13" applyNumberFormat="1" applyFont="1"/>
    <xf numFmtId="10" fontId="22" fillId="0" borderId="10" xfId="13" applyNumberFormat="1" applyFont="1" applyFill="1" applyBorder="1"/>
    <xf numFmtId="3" fontId="39" fillId="0" borderId="0" xfId="13" applyNumberFormat="1" applyFont="1" applyFill="1"/>
    <xf numFmtId="3" fontId="16" fillId="0" borderId="10" xfId="13" applyNumberFormat="1" applyFont="1" applyBorder="1"/>
    <xf numFmtId="3" fontId="11" fillId="0" borderId="0" xfId="13" applyNumberFormat="1" applyFont="1"/>
    <xf numFmtId="171" fontId="10" fillId="0" borderId="0" xfId="13" applyNumberFormat="1" applyFont="1"/>
    <xf numFmtId="172" fontId="10" fillId="0" borderId="10" xfId="13" applyNumberFormat="1" applyFont="1" applyBorder="1"/>
    <xf numFmtId="164" fontId="10" fillId="0" borderId="17" xfId="13" applyNumberFormat="1" applyFont="1" applyBorder="1"/>
    <xf numFmtId="4" fontId="10" fillId="0" borderId="0" xfId="13" applyNumberFormat="1" applyFont="1"/>
    <xf numFmtId="10" fontId="10" fillId="0" borderId="0" xfId="13" applyNumberFormat="1" applyFont="1"/>
    <xf numFmtId="10" fontId="10" fillId="0" borderId="0" xfId="13" applyNumberFormat="1" applyFont="1" applyBorder="1"/>
    <xf numFmtId="3" fontId="10" fillId="0" borderId="0" xfId="13" applyNumberFormat="1" applyFont="1" applyBorder="1"/>
    <xf numFmtId="10" fontId="10" fillId="0" borderId="3" xfId="13" applyNumberFormat="1" applyFont="1" applyBorder="1"/>
    <xf numFmtId="170" fontId="10" fillId="0" borderId="0" xfId="7" applyNumberFormat="1" applyFont="1"/>
    <xf numFmtId="170" fontId="10" fillId="0" borderId="0" xfId="13" applyNumberFormat="1" applyFont="1"/>
    <xf numFmtId="170" fontId="10" fillId="0" borderId="3" xfId="13" applyNumberFormat="1" applyFont="1" applyBorder="1"/>
    <xf numFmtId="0" fontId="10" fillId="0" borderId="0" xfId="0" applyFont="1" applyAlignment="1">
      <alignment horizontal="left"/>
    </xf>
    <xf numFmtId="4" fontId="10" fillId="0" borderId="0" xfId="0" applyNumberFormat="1" applyFont="1" applyFill="1" applyAlignment="1">
      <alignment horizontal="left"/>
    </xf>
    <xf numFmtId="4" fontId="10" fillId="0" borderId="0" xfId="0" applyNumberFormat="1" applyFont="1" applyAlignment="1">
      <alignment horizontal="left"/>
    </xf>
    <xf numFmtId="41" fontId="10" fillId="0" borderId="0" xfId="13" applyNumberFormat="1" applyFont="1"/>
    <xf numFmtId="41" fontId="10" fillId="0" borderId="0" xfId="1" applyNumberFormat="1" applyFont="1"/>
    <xf numFmtId="41" fontId="10" fillId="0" borderId="0" xfId="1" applyNumberFormat="1" applyFont="1" applyAlignment="1">
      <alignment horizontal="right"/>
    </xf>
    <xf numFmtId="41" fontId="17" fillId="0" borderId="0" xfId="1" applyNumberFormat="1" applyFont="1"/>
    <xf numFmtId="41" fontId="10" fillId="0" borderId="10" xfId="1" applyNumberFormat="1" applyFont="1" applyBorder="1"/>
    <xf numFmtId="41" fontId="16" fillId="0" borderId="10" xfId="1" applyNumberFormat="1" applyFont="1" applyFill="1" applyBorder="1"/>
    <xf numFmtId="41" fontId="10" fillId="0" borderId="12" xfId="1" applyNumberFormat="1" applyFont="1" applyBorder="1"/>
    <xf numFmtId="9" fontId="10" fillId="0" borderId="10" xfId="7" applyFont="1" applyBorder="1"/>
    <xf numFmtId="9" fontId="10" fillId="0" borderId="0" xfId="7" applyFont="1"/>
    <xf numFmtId="0" fontId="5" fillId="0" borderId="0" xfId="0" applyFont="1" applyAlignment="1">
      <alignment horizontal="center"/>
    </xf>
    <xf numFmtId="10" fontId="10" fillId="0" borderId="10" xfId="7" applyNumberFormat="1" applyFont="1" applyBorder="1"/>
    <xf numFmtId="10" fontId="30" fillId="0" borderId="0" xfId="7" applyNumberFormat="1" applyFont="1"/>
    <xf numFmtId="42" fontId="30" fillId="0" borderId="0" xfId="6" applyNumberFormat="1" applyFont="1"/>
    <xf numFmtId="37" fontId="5" fillId="0" borderId="15" xfId="0" applyNumberFormat="1" applyFont="1" applyBorder="1"/>
    <xf numFmtId="41" fontId="5" fillId="0" borderId="10" xfId="0" applyNumberFormat="1" applyFont="1" applyBorder="1"/>
    <xf numFmtId="41" fontId="4" fillId="0" borderId="0" xfId="6" applyNumberFormat="1" applyFont="1"/>
    <xf numFmtId="41" fontId="4" fillId="0" borderId="0" xfId="1" applyNumberFormat="1" applyFont="1"/>
    <xf numFmtId="41" fontId="4" fillId="0" borderId="10" xfId="6" applyNumberFormat="1" applyFont="1" applyBorder="1"/>
    <xf numFmtId="41" fontId="4" fillId="0" borderId="10" xfId="1" applyNumberFormat="1" applyFont="1" applyBorder="1"/>
    <xf numFmtId="41" fontId="4" fillId="0" borderId="10" xfId="6" applyNumberFormat="1" applyFont="1" applyFill="1" applyBorder="1"/>
    <xf numFmtId="41" fontId="4" fillId="0" borderId="0" xfId="1" applyNumberFormat="1" applyFont="1" applyBorder="1"/>
    <xf numFmtId="41" fontId="4" fillId="0" borderId="15" xfId="6" applyNumberFormat="1" applyFont="1" applyBorder="1"/>
    <xf numFmtId="41" fontId="4" fillId="0" borderId="0" xfId="0" applyNumberFormat="1" applyFont="1"/>
    <xf numFmtId="41" fontId="4" fillId="0" borderId="12" xfId="6" applyNumberFormat="1" applyFont="1" applyBorder="1"/>
    <xf numFmtId="41" fontId="4" fillId="0" borderId="0" xfId="6" applyNumberFormat="1" applyFont="1" applyBorder="1"/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1" fillId="0" borderId="0" xfId="0" applyNumberFormat="1" applyFont="1"/>
    <xf numFmtId="3" fontId="41" fillId="0" borderId="0" xfId="0" applyNumberFormat="1" applyFont="1"/>
    <xf numFmtId="49" fontId="41" fillId="0" borderId="0" xfId="0" applyNumberFormat="1" applyFont="1" applyFill="1" applyAlignment="1">
      <alignment horizontal="center"/>
    </xf>
    <xf numFmtId="3" fontId="41" fillId="0" borderId="0" xfId="0" applyNumberFormat="1" applyFont="1" applyFill="1"/>
    <xf numFmtId="175" fontId="41" fillId="0" borderId="0" xfId="0" applyNumberFormat="1" applyFont="1" applyAlignment="1">
      <alignment horizontal="center"/>
    </xf>
    <xf numFmtId="176" fontId="41" fillId="0" borderId="0" xfId="0" applyNumberFormat="1" applyFont="1"/>
    <xf numFmtId="176" fontId="41" fillId="0" borderId="0" xfId="0" applyNumberFormat="1" applyFont="1" applyAlignment="1">
      <alignment horizontal="center"/>
    </xf>
    <xf numFmtId="0" fontId="41" fillId="0" borderId="0" xfId="0" applyFont="1"/>
    <xf numFmtId="175" fontId="41" fillId="4" borderId="0" xfId="0" applyNumberFormat="1" applyFont="1" applyFill="1"/>
    <xf numFmtId="3" fontId="41" fillId="4" borderId="0" xfId="0" applyNumberFormat="1" applyFont="1" applyFill="1"/>
    <xf numFmtId="176" fontId="41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5" fillId="0" borderId="0" xfId="0" applyFont="1" applyFill="1" applyAlignment="1">
      <alignment horizontal="center"/>
    </xf>
    <xf numFmtId="0" fontId="4" fillId="0" borderId="0" xfId="6" applyNumberFormat="1" applyFont="1" applyFill="1" applyAlignment="1">
      <alignment horizontal="center"/>
    </xf>
    <xf numFmtId="5" fontId="31" fillId="0" borderId="0" xfId="6" applyNumberFormat="1" applyFont="1"/>
    <xf numFmtId="42" fontId="30" fillId="0" borderId="12" xfId="6" applyNumberFormat="1" applyFont="1" applyBorder="1"/>
    <xf numFmtId="42" fontId="31" fillId="0" borderId="12" xfId="6" applyNumberFormat="1" applyFont="1" applyBorder="1"/>
    <xf numFmtId="41" fontId="16" fillId="0" borderId="0" xfId="1" applyNumberFormat="1" applyFont="1" applyFill="1" applyBorder="1"/>
    <xf numFmtId="41" fontId="10" fillId="0" borderId="0" xfId="1" applyNumberFormat="1" applyFont="1" applyBorder="1"/>
    <xf numFmtId="0" fontId="10" fillId="0" borderId="0" xfId="13" applyFont="1" applyBorder="1" applyAlignment="1">
      <alignment horizontal="center"/>
    </xf>
    <xf numFmtId="177" fontId="30" fillId="0" borderId="0" xfId="5" applyNumberFormat="1" applyFont="1" applyFill="1"/>
    <xf numFmtId="10" fontId="30" fillId="2" borderId="0" xfId="7" applyNumberFormat="1" applyFont="1" applyFill="1"/>
    <xf numFmtId="41" fontId="10" fillId="2" borderId="18" xfId="1" applyNumberFormat="1" applyFont="1" applyFill="1" applyBorder="1"/>
    <xf numFmtId="37" fontId="4" fillId="0" borderId="0" xfId="6" applyNumberFormat="1" applyFont="1" applyFill="1"/>
    <xf numFmtId="41" fontId="4" fillId="0" borderId="0" xfId="6" applyNumberFormat="1" applyFont="1" applyFill="1"/>
    <xf numFmtId="41" fontId="4" fillId="0" borderId="0" xfId="1" applyNumberFormat="1" applyFont="1" applyFill="1"/>
    <xf numFmtId="41" fontId="4" fillId="0" borderId="10" xfId="1" applyNumberFormat="1" applyFont="1" applyFill="1" applyBorder="1"/>
    <xf numFmtId="0" fontId="11" fillId="0" borderId="0" xfId="0" applyFont="1" applyAlignment="1"/>
    <xf numFmtId="0" fontId="11" fillId="0" borderId="0" xfId="0" applyFont="1" applyFill="1"/>
    <xf numFmtId="0" fontId="10" fillId="0" borderId="19" xfId="0" applyFont="1" applyFill="1" applyBorder="1"/>
    <xf numFmtId="0" fontId="10" fillId="0" borderId="21" xfId="0" applyFont="1" applyFill="1" applyBorder="1"/>
    <xf numFmtId="0" fontId="10" fillId="0" borderId="22" xfId="0" applyFont="1" applyBorder="1"/>
    <xf numFmtId="0" fontId="10" fillId="0" borderId="23" xfId="0" applyFont="1" applyBorder="1"/>
    <xf numFmtId="0" fontId="10" fillId="0" borderId="25" xfId="0" applyFont="1" applyBorder="1"/>
    <xf numFmtId="0" fontId="10" fillId="0" borderId="27" xfId="0" applyFont="1" applyBorder="1"/>
    <xf numFmtId="0" fontId="10" fillId="0" borderId="22" xfId="0" applyFont="1" applyFill="1" applyBorder="1"/>
    <xf numFmtId="0" fontId="10" fillId="0" borderId="23" xfId="0" applyFont="1" applyFill="1" applyBorder="1"/>
    <xf numFmtId="0" fontId="11" fillId="0" borderId="22" xfId="0" applyFont="1" applyBorder="1"/>
    <xf numFmtId="174" fontId="11" fillId="0" borderId="23" xfId="2" applyNumberFormat="1" applyFont="1" applyBorder="1"/>
    <xf numFmtId="0" fontId="11" fillId="0" borderId="0" xfId="0" applyFont="1" applyBorder="1" applyAlignment="1">
      <alignment horizontal="center"/>
    </xf>
    <xf numFmtId="166" fontId="43" fillId="0" borderId="0" xfId="0" applyNumberFormat="1" applyFont="1" applyFill="1"/>
    <xf numFmtId="0" fontId="12" fillId="0" borderId="0" xfId="0" applyFont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6" fillId="0" borderId="0" xfId="6" applyNumberFormat="1" applyFont="1"/>
    <xf numFmtId="3" fontId="4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0" fontId="4" fillId="0" borderId="0" xfId="6" applyFont="1" applyAlignment="1">
      <alignment horizontal="center"/>
    </xf>
    <xf numFmtId="3" fontId="6" fillId="0" borderId="0" xfId="6" applyNumberFormat="1" applyFont="1" applyFill="1" applyBorder="1" applyAlignment="1">
      <alignment horizontal="center"/>
    </xf>
    <xf numFmtId="0" fontId="6" fillId="0" borderId="0" xfId="6" applyFont="1" applyAlignment="1">
      <alignment horizontal="center"/>
    </xf>
    <xf numFmtId="4" fontId="6" fillId="0" borderId="0" xfId="6" applyNumberFormat="1" applyFont="1" applyFill="1" applyBorder="1" applyAlignment="1">
      <alignment horizontal="center"/>
    </xf>
    <xf numFmtId="3" fontId="4" fillId="0" borderId="0" xfId="6" applyNumberFormat="1" applyFont="1" applyFill="1" applyBorder="1"/>
    <xf numFmtId="41" fontId="6" fillId="0" borderId="0" xfId="6" applyNumberFormat="1" applyFont="1"/>
    <xf numFmtId="0" fontId="4" fillId="0" borderId="0" xfId="6" applyFont="1" applyBorder="1"/>
    <xf numFmtId="5" fontId="6" fillId="0" borderId="0" xfId="6" applyNumberFormat="1" applyFont="1"/>
    <xf numFmtId="10" fontId="6" fillId="0" borderId="0" xfId="7" applyNumberFormat="1" applyFont="1"/>
    <xf numFmtId="0" fontId="4" fillId="0" borderId="0" xfId="6" applyFont="1" applyFill="1"/>
    <xf numFmtId="41" fontId="6" fillId="0" borderId="0" xfId="6" applyNumberFormat="1" applyFont="1" applyFill="1"/>
    <xf numFmtId="41" fontId="6" fillId="0" borderId="0" xfId="5" applyNumberFormat="1" applyFont="1" applyFill="1"/>
    <xf numFmtId="3" fontId="6" fillId="0" borderId="0" xfId="6" applyNumberFormat="1" applyFont="1" applyFill="1"/>
    <xf numFmtId="3" fontId="6" fillId="0" borderId="0" xfId="5" applyNumberFormat="1" applyFont="1" applyFill="1"/>
    <xf numFmtId="4" fontId="10" fillId="0" borderId="0" xfId="0" applyNumberFormat="1" applyFont="1" applyAlignment="1">
      <alignment horizontal="center"/>
    </xf>
    <xf numFmtId="37" fontId="10" fillId="0" borderId="0" xfId="0" applyNumberFormat="1" applyFont="1" applyFill="1"/>
    <xf numFmtId="3" fontId="10" fillId="0" borderId="0" xfId="0" applyNumberFormat="1" applyFont="1" applyFill="1"/>
    <xf numFmtId="10" fontId="18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10" fontId="6" fillId="0" borderId="0" xfId="7" quotePrefix="1" applyNumberFormat="1" applyFont="1" applyAlignment="1">
      <alignment horizontal="center"/>
    </xf>
    <xf numFmtId="10" fontId="6" fillId="0" borderId="0" xfId="7" applyNumberFormat="1" applyFont="1" applyBorder="1" applyAlignment="1">
      <alignment horizontal="right"/>
    </xf>
    <xf numFmtId="41" fontId="10" fillId="0" borderId="0" xfId="0" applyNumberFormat="1" applyFont="1"/>
    <xf numFmtId="10" fontId="6" fillId="6" borderId="0" xfId="7" applyNumberFormat="1" applyFont="1" applyFill="1"/>
    <xf numFmtId="10" fontId="6" fillId="6" borderId="33" xfId="7" applyNumberFormat="1" applyFont="1" applyFill="1" applyBorder="1"/>
    <xf numFmtId="168" fontId="4" fillId="0" borderId="0" xfId="6" applyNumberFormat="1" applyFont="1" applyFill="1"/>
    <xf numFmtId="41" fontId="6" fillId="0" borderId="0" xfId="6" applyNumberFormat="1" applyFont="1" applyFill="1" applyBorder="1"/>
    <xf numFmtId="41" fontId="6" fillId="0" borderId="0" xfId="5" applyNumberFormat="1" applyFont="1" applyFill="1" applyBorder="1"/>
    <xf numFmtId="3" fontId="6" fillId="0" borderId="0" xfId="5" applyNumberFormat="1" applyFont="1" applyFill="1" applyBorder="1"/>
    <xf numFmtId="3" fontId="6" fillId="0" borderId="0" xfId="6" applyNumberFormat="1" applyFont="1" applyFill="1" applyBorder="1"/>
    <xf numFmtId="42" fontId="6" fillId="0" borderId="0" xfId="6" applyNumberFormat="1" applyFont="1" applyFill="1" applyBorder="1"/>
    <xf numFmtId="10" fontId="6" fillId="0" borderId="0" xfId="7" applyNumberFormat="1" applyFont="1" applyFill="1" applyBorder="1"/>
    <xf numFmtId="41" fontId="6" fillId="0" borderId="0" xfId="2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4" fillId="0" borderId="0" xfId="0" applyFont="1"/>
    <xf numFmtId="37" fontId="10" fillId="0" borderId="0" xfId="0" applyNumberFormat="1" applyFont="1" applyBorder="1"/>
    <xf numFmtId="3" fontId="10" fillId="0" borderId="0" xfId="0" applyNumberFormat="1" applyFont="1"/>
    <xf numFmtId="37" fontId="10" fillId="0" borderId="0" xfId="0" applyNumberFormat="1" applyFont="1"/>
    <xf numFmtId="0" fontId="10" fillId="0" borderId="0" xfId="0" applyFont="1" applyFill="1" applyBorder="1"/>
    <xf numFmtId="0" fontId="10" fillId="0" borderId="0" xfId="0" applyFont="1" applyFill="1"/>
    <xf numFmtId="3" fontId="10" fillId="0" borderId="0" xfId="0" applyNumberFormat="1" applyFont="1" applyFill="1"/>
    <xf numFmtId="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left"/>
    </xf>
    <xf numFmtId="3" fontId="2" fillId="0" borderId="0" xfId="0" applyNumberFormat="1" applyFont="1" applyFill="1" applyAlignment="1">
      <alignment horizontal="left"/>
    </xf>
    <xf numFmtId="168" fontId="4" fillId="0" borderId="10" xfId="6" applyNumberFormat="1" applyFont="1" applyBorder="1"/>
    <xf numFmtId="3" fontId="4" fillId="0" borderId="0" xfId="5" applyNumberFormat="1" applyFont="1" applyFill="1"/>
    <xf numFmtId="0" fontId="45" fillId="0" borderId="0" xfId="0" applyFont="1" applyAlignment="1">
      <alignment horizontal="left"/>
    </xf>
    <xf numFmtId="3" fontId="45" fillId="0" borderId="0" xfId="0" applyNumberFormat="1" applyFont="1" applyAlignment="1">
      <alignment horizontal="left"/>
    </xf>
    <xf numFmtId="3" fontId="45" fillId="0" borderId="0" xfId="0" applyNumberFormat="1" applyFont="1" applyFill="1" applyAlignment="1">
      <alignment horizontal="left"/>
    </xf>
    <xf numFmtId="49" fontId="45" fillId="0" borderId="0" xfId="0" applyNumberFormat="1" applyFont="1" applyAlignment="1">
      <alignment horizontal="left"/>
    </xf>
    <xf numFmtId="3" fontId="45" fillId="0" borderId="0" xfId="0" applyNumberFormat="1" applyFont="1"/>
    <xf numFmtId="3" fontId="45" fillId="0" borderId="0" xfId="0" applyNumberFormat="1" applyFont="1" applyFill="1"/>
    <xf numFmtId="0" fontId="45" fillId="0" borderId="0" xfId="0" applyFont="1"/>
    <xf numFmtId="3" fontId="45" fillId="4" borderId="0" xfId="0" applyNumberFormat="1" applyFont="1" applyFill="1"/>
    <xf numFmtId="175" fontId="45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7" fontId="10" fillId="0" borderId="0" xfId="0" applyNumberFormat="1" applyFont="1"/>
    <xf numFmtId="0" fontId="10" fillId="0" borderId="0" xfId="0" applyFont="1" applyFill="1"/>
    <xf numFmtId="0" fontId="11" fillId="0" borderId="0" xfId="0" applyFont="1" applyBorder="1" applyAlignment="1">
      <alignment horizontal="left"/>
    </xf>
    <xf numFmtId="3" fontId="10" fillId="0" borderId="0" xfId="0" applyNumberFormat="1" applyFont="1" applyFill="1"/>
    <xf numFmtId="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left"/>
    </xf>
    <xf numFmtId="3" fontId="4" fillId="0" borderId="0" xfId="6" applyNumberFormat="1" applyFont="1" applyBorder="1"/>
    <xf numFmtId="3" fontId="4" fillId="0" borderId="0" xfId="5" applyNumberFormat="1" applyFont="1" applyFill="1" applyBorder="1"/>
    <xf numFmtId="3" fontId="6" fillId="0" borderId="0" xfId="6" applyNumberFormat="1" applyFont="1" applyBorder="1"/>
    <xf numFmtId="41" fontId="6" fillId="0" borderId="0" xfId="4" applyNumberFormat="1" applyFont="1" applyFill="1" applyBorder="1" applyAlignment="1">
      <alignment horizontal="center"/>
    </xf>
    <xf numFmtId="0" fontId="4" fillId="0" borderId="0" xfId="6" applyFont="1" applyFill="1" applyBorder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41" fontId="49" fillId="0" borderId="0" xfId="6" applyNumberFormat="1" applyFont="1" applyFill="1" applyBorder="1"/>
    <xf numFmtId="0" fontId="50" fillId="0" borderId="0" xfId="0" applyFont="1" applyBorder="1" applyAlignment="1">
      <alignment horizontal="left"/>
    </xf>
    <xf numFmtId="3" fontId="11" fillId="0" borderId="0" xfId="0" applyNumberFormat="1" applyFont="1" applyFill="1"/>
    <xf numFmtId="3" fontId="6" fillId="0" borderId="1" xfId="0" quotePrefix="1" applyNumberFormat="1" applyFont="1" applyBorder="1" applyAlignment="1">
      <alignment horizontal="center"/>
    </xf>
    <xf numFmtId="173" fontId="4" fillId="0" borderId="10" xfId="1" applyNumberFormat="1" applyFont="1" applyBorder="1"/>
    <xf numFmtId="174" fontId="4" fillId="0" borderId="0" xfId="2" applyNumberFormat="1" applyFont="1"/>
    <xf numFmtId="41" fontId="6" fillId="0" borderId="1" xfId="0" quotePrefix="1" applyNumberFormat="1" applyFont="1" applyBorder="1" applyAlignment="1">
      <alignment horizontal="center"/>
    </xf>
    <xf numFmtId="0" fontId="29" fillId="0" borderId="0" xfId="20" applyFont="1"/>
    <xf numFmtId="173" fontId="10" fillId="0" borderId="0" xfId="0" applyNumberFormat="1" applyFont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1" fillId="0" borderId="0" xfId="0" applyNumberFormat="1" applyFont="1" applyFill="1" applyAlignment="1"/>
    <xf numFmtId="10" fontId="1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76" fontId="45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1" fillId="0" borderId="0" xfId="0" applyFont="1"/>
    <xf numFmtId="0" fontId="0" fillId="0" borderId="0" xfId="0" applyAlignment="1">
      <alignment shrinkToFit="1"/>
    </xf>
    <xf numFmtId="0" fontId="1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7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42" fillId="7" borderId="0" xfId="13" applyNumberFormat="1" applyFont="1" applyFill="1"/>
    <xf numFmtId="3" fontId="10" fillId="7" borderId="0" xfId="13" applyNumberFormat="1" applyFont="1" applyFill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left"/>
    </xf>
    <xf numFmtId="3" fontId="10" fillId="0" borderId="0" xfId="0" applyNumberFormat="1" applyFont="1" applyFill="1" applyBorder="1"/>
    <xf numFmtId="0" fontId="10" fillId="0" borderId="0" xfId="0" applyFont="1" applyBorder="1" applyAlignment="1">
      <alignment horizontal="left"/>
    </xf>
    <xf numFmtId="169" fontId="33" fillId="0" borderId="0" xfId="17" applyNumberFormat="1" applyFont="1"/>
    <xf numFmtId="37" fontId="54" fillId="0" borderId="0" xfId="6" applyNumberFormat="1" applyFont="1"/>
    <xf numFmtId="37" fontId="54" fillId="0" borderId="0" xfId="6" applyNumberFormat="1" applyFont="1" applyBorder="1"/>
    <xf numFmtId="0" fontId="55" fillId="0" borderId="0" xfId="0" applyFont="1" applyBorder="1" applyAlignment="1">
      <alignment horizontal="center"/>
    </xf>
    <xf numFmtId="6" fontId="55" fillId="0" borderId="10" xfId="2" applyNumberFormat="1" applyFont="1" applyBorder="1" applyAlignment="1">
      <alignment horizontal="center"/>
    </xf>
    <xf numFmtId="0" fontId="55" fillId="0" borderId="15" xfId="0" applyFont="1" applyBorder="1" applyAlignment="1">
      <alignment horizontal="center"/>
    </xf>
    <xf numFmtId="0" fontId="55" fillId="0" borderId="0" xfId="0" applyFont="1"/>
    <xf numFmtId="41" fontId="6" fillId="0" borderId="0" xfId="20" quotePrefix="1" applyNumberFormat="1" applyFont="1" applyFill="1" applyBorder="1" applyAlignment="1">
      <alignment horizontal="center"/>
    </xf>
    <xf numFmtId="2" fontId="6" fillId="0" borderId="0" xfId="20" applyNumberFormat="1" applyFont="1" applyFill="1" applyBorder="1" applyAlignment="1">
      <alignment horizontal="center"/>
    </xf>
    <xf numFmtId="0" fontId="57" fillId="0" borderId="0" xfId="0" applyFont="1" applyBorder="1" applyAlignment="1">
      <alignment horizontal="center"/>
    </xf>
    <xf numFmtId="6" fontId="57" fillId="0" borderId="10" xfId="2" applyNumberFormat="1" applyFont="1" applyBorder="1" applyAlignment="1">
      <alignment horizontal="center"/>
    </xf>
    <xf numFmtId="10" fontId="57" fillId="0" borderId="15" xfId="0" applyNumberFormat="1" applyFont="1" applyBorder="1" applyAlignment="1">
      <alignment horizontal="center"/>
    </xf>
    <xf numFmtId="3" fontId="55" fillId="0" borderId="0" xfId="0" applyNumberFormat="1" applyFont="1"/>
    <xf numFmtId="37" fontId="55" fillId="0" borderId="0" xfId="0" applyNumberFormat="1" applyFont="1"/>
    <xf numFmtId="5" fontId="55" fillId="0" borderId="16" xfId="0" applyNumberFormat="1" applyFont="1" applyBorder="1"/>
    <xf numFmtId="3" fontId="55" fillId="0" borderId="0" xfId="0" applyNumberFormat="1" applyFont="1" applyFill="1" applyBorder="1"/>
    <xf numFmtId="0" fontId="55" fillId="0" borderId="0" xfId="0" applyFont="1" applyFill="1"/>
    <xf numFmtId="0" fontId="58" fillId="0" borderId="0" xfId="0" applyFont="1" applyAlignment="1"/>
    <xf numFmtId="0" fontId="55" fillId="0" borderId="0" xfId="0" applyFont="1" applyBorder="1"/>
    <xf numFmtId="0" fontId="58" fillId="0" borderId="0" xfId="0" applyFont="1" applyAlignment="1">
      <alignment horizontal="center"/>
    </xf>
    <xf numFmtId="0" fontId="55" fillId="0" borderId="0" xfId="0" applyFont="1" applyFill="1" applyBorder="1"/>
    <xf numFmtId="0" fontId="32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37" fontId="55" fillId="0" borderId="0" xfId="0" applyNumberFormat="1" applyFont="1" applyBorder="1"/>
    <xf numFmtId="0" fontId="55" fillId="0" borderId="0" xfId="0" applyFont="1" applyFill="1" applyAlignment="1">
      <alignment horizontal="center"/>
    </xf>
    <xf numFmtId="0" fontId="55" fillId="0" borderId="10" xfId="0" applyFont="1" applyBorder="1" applyAlignment="1">
      <alignment horizontal="center"/>
    </xf>
    <xf numFmtId="0" fontId="55" fillId="0" borderId="15" xfId="0" applyFont="1" applyBorder="1"/>
    <xf numFmtId="0" fontId="55" fillId="0" borderId="15" xfId="0" applyFont="1" applyFill="1" applyBorder="1"/>
    <xf numFmtId="4" fontId="55" fillId="0" borderId="0" xfId="0" applyNumberFormat="1" applyFont="1" applyAlignment="1">
      <alignment horizontal="center"/>
    </xf>
    <xf numFmtId="37" fontId="55" fillId="0" borderId="0" xfId="0" applyNumberFormat="1" applyFont="1" applyFill="1"/>
    <xf numFmtId="3" fontId="55" fillId="0" borderId="0" xfId="0" applyNumberFormat="1" applyFont="1" applyFill="1"/>
    <xf numFmtId="37" fontId="55" fillId="0" borderId="0" xfId="0" applyNumberFormat="1" applyFont="1" applyFill="1" applyBorder="1"/>
    <xf numFmtId="37" fontId="55" fillId="0" borderId="3" xfId="0" applyNumberFormat="1" applyFont="1" applyBorder="1"/>
    <xf numFmtId="4" fontId="55" fillId="0" borderId="0" xfId="0" applyNumberFormat="1" applyFont="1" applyFill="1" applyAlignment="1">
      <alignment horizontal="center"/>
    </xf>
    <xf numFmtId="37" fontId="55" fillId="0" borderId="16" xfId="0" applyNumberFormat="1" applyFont="1" applyBorder="1"/>
    <xf numFmtId="5" fontId="55" fillId="0" borderId="0" xfId="0" applyNumberFormat="1" applyFont="1"/>
    <xf numFmtId="173" fontId="55" fillId="0" borderId="0" xfId="1" applyNumberFormat="1" applyFont="1" applyFill="1" applyBorder="1"/>
    <xf numFmtId="5" fontId="55" fillId="0" borderId="0" xfId="0" applyNumberFormat="1" applyFont="1" applyBorder="1"/>
    <xf numFmtId="5" fontId="55" fillId="0" borderId="0" xfId="0" applyNumberFormat="1" applyFont="1" applyFill="1"/>
    <xf numFmtId="3" fontId="59" fillId="0" borderId="0" xfId="0" applyNumberFormat="1" applyFont="1"/>
    <xf numFmtId="0" fontId="55" fillId="0" borderId="0" xfId="0" applyFont="1" applyAlignment="1">
      <alignment horizontal="right"/>
    </xf>
    <xf numFmtId="3" fontId="55" fillId="0" borderId="0" xfId="0" applyNumberFormat="1" applyFont="1" applyFill="1" applyAlignment="1">
      <alignment horizontal="center"/>
    </xf>
    <xf numFmtId="5" fontId="55" fillId="0" borderId="0" xfId="0" applyNumberFormat="1" applyFont="1" applyFill="1" applyBorder="1"/>
    <xf numFmtId="5" fontId="55" fillId="0" borderId="10" xfId="0" applyNumberFormat="1" applyFont="1" applyBorder="1"/>
    <xf numFmtId="6" fontId="55" fillId="0" borderId="12" xfId="2" applyNumberFormat="1" applyFont="1" applyBorder="1"/>
    <xf numFmtId="6" fontId="55" fillId="0" borderId="0" xfId="2" applyNumberFormat="1" applyFont="1" applyBorder="1"/>
    <xf numFmtId="0" fontId="60" fillId="0" borderId="0" xfId="0" applyFont="1" applyAlignment="1">
      <alignment horizontal="center"/>
    </xf>
    <xf numFmtId="10" fontId="55" fillId="0" borderId="0" xfId="7" applyNumberFormat="1" applyFont="1"/>
    <xf numFmtId="10" fontId="55" fillId="0" borderId="0" xfId="0" applyNumberFormat="1" applyFont="1" applyBorder="1"/>
    <xf numFmtId="174" fontId="55" fillId="0" borderId="0" xfId="2" applyNumberFormat="1" applyFont="1" applyBorder="1"/>
    <xf numFmtId="3" fontId="55" fillId="0" borderId="0" xfId="0" applyNumberFormat="1" applyFont="1" applyBorder="1"/>
    <xf numFmtId="0" fontId="55" fillId="0" borderId="10" xfId="0" applyFont="1" applyFill="1" applyBorder="1" applyAlignment="1">
      <alignment horizontal="center"/>
    </xf>
    <xf numFmtId="10" fontId="55" fillId="0" borderId="0" xfId="0" applyNumberFormat="1" applyFont="1" applyFill="1" applyBorder="1"/>
    <xf numFmtId="0" fontId="60" fillId="0" borderId="0" xfId="0" applyFont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74" fontId="55" fillId="0" borderId="0" xfId="2" applyNumberFormat="1" applyFont="1" applyAlignment="1">
      <alignment horizontal="center"/>
    </xf>
    <xf numFmtId="10" fontId="55" fillId="0" borderId="0" xfId="7" applyNumberFormat="1" applyFont="1" applyAlignment="1">
      <alignment horizontal="center"/>
    </xf>
    <xf numFmtId="3" fontId="55" fillId="0" borderId="0" xfId="0" applyNumberFormat="1" applyFont="1" applyFill="1" applyAlignment="1">
      <alignment horizontal="left"/>
    </xf>
    <xf numFmtId="1" fontId="55" fillId="0" borderId="0" xfId="0" applyNumberFormat="1" applyFont="1"/>
    <xf numFmtId="5" fontId="56" fillId="0" borderId="0" xfId="0" applyNumberFormat="1" applyFont="1" applyBorder="1"/>
    <xf numFmtId="174" fontId="56" fillId="0" borderId="0" xfId="0" applyNumberFormat="1" applyFont="1" applyFill="1" applyBorder="1"/>
    <xf numFmtId="5" fontId="57" fillId="0" borderId="0" xfId="0" applyNumberFormat="1" applyFont="1" applyFill="1" applyBorder="1"/>
    <xf numFmtId="3" fontId="55" fillId="0" borderId="0" xfId="0" applyNumberFormat="1" applyFont="1" applyAlignment="1">
      <alignment horizontal="center"/>
    </xf>
    <xf numFmtId="0" fontId="56" fillId="0" borderId="0" xfId="0" applyFont="1" applyFill="1" applyBorder="1"/>
    <xf numFmtId="173" fontId="56" fillId="8" borderId="0" xfId="1" applyNumberFormat="1" applyFont="1" applyFill="1" applyBorder="1"/>
    <xf numFmtId="37" fontId="56" fillId="8" borderId="0" xfId="0" applyNumberFormat="1" applyFont="1" applyFill="1" applyBorder="1"/>
    <xf numFmtId="0" fontId="56" fillId="0" borderId="0" xfId="0" applyFont="1" applyBorder="1"/>
    <xf numFmtId="37" fontId="56" fillId="8" borderId="16" xfId="0" applyNumberFormat="1" applyFont="1" applyFill="1" applyBorder="1"/>
    <xf numFmtId="5" fontId="55" fillId="0" borderId="16" xfId="0" applyNumberFormat="1" applyFont="1" applyFill="1" applyBorder="1"/>
    <xf numFmtId="3" fontId="31" fillId="0" borderId="0" xfId="6" applyNumberFormat="1" applyFont="1" applyFill="1" applyAlignment="1">
      <alignment horizontal="center"/>
    </xf>
    <xf numFmtId="41" fontId="31" fillId="0" borderId="0" xfId="20" applyNumberFormat="1" applyFont="1" applyFill="1"/>
    <xf numFmtId="41" fontId="30" fillId="0" borderId="0" xfId="5" applyNumberFormat="1" applyFont="1" applyFill="1" applyAlignment="1">
      <alignment horizontal="center"/>
    </xf>
    <xf numFmtId="3" fontId="31" fillId="0" borderId="0" xfId="22" applyNumberFormat="1" applyFont="1" applyFill="1" applyAlignment="1">
      <alignment horizontal="center"/>
    </xf>
    <xf numFmtId="3" fontId="57" fillId="0" borderId="0" xfId="0" applyNumberFormat="1" applyFont="1" applyFill="1" applyAlignment="1"/>
    <xf numFmtId="3" fontId="31" fillId="0" borderId="10" xfId="6" applyNumberFormat="1" applyFont="1" applyFill="1" applyBorder="1" applyAlignment="1">
      <alignment vertical="top" wrapText="1"/>
    </xf>
    <xf numFmtId="41" fontId="31" fillId="0" borderId="0" xfId="22" applyNumberFormat="1" applyFont="1" applyFill="1" applyAlignment="1">
      <alignment horizontal="center"/>
    </xf>
    <xf numFmtId="3" fontId="31" fillId="0" borderId="1" xfId="6" applyNumberFormat="1" applyFont="1" applyFill="1" applyBorder="1" applyAlignment="1">
      <alignment horizontal="center"/>
    </xf>
    <xf numFmtId="3" fontId="31" fillId="0" borderId="5" xfId="6" applyNumberFormat="1" applyFont="1" applyFill="1" applyBorder="1" applyAlignment="1">
      <alignment horizontal="center"/>
    </xf>
    <xf numFmtId="3" fontId="31" fillId="0" borderId="8" xfId="6" applyNumberFormat="1" applyFont="1" applyFill="1" applyBorder="1" applyAlignment="1">
      <alignment horizontal="center"/>
    </xf>
    <xf numFmtId="42" fontId="30" fillId="0" borderId="0" xfId="4" applyNumberFormat="1" applyFont="1" applyFill="1"/>
    <xf numFmtId="41" fontId="30" fillId="0" borderId="0" xfId="4" applyNumberFormat="1" applyFont="1" applyFill="1"/>
    <xf numFmtId="41" fontId="30" fillId="0" borderId="10" xfId="4" applyNumberFormat="1" applyFont="1" applyFill="1" applyBorder="1"/>
    <xf numFmtId="41" fontId="30" fillId="0" borderId="0" xfId="4" applyNumberFormat="1" applyFont="1" applyFill="1" applyBorder="1"/>
    <xf numFmtId="0" fontId="30" fillId="0" borderId="0" xfId="6" applyNumberFormat="1" applyFont="1" applyFill="1" applyBorder="1" applyAlignment="1">
      <alignment horizontal="center"/>
    </xf>
    <xf numFmtId="0" fontId="30" fillId="0" borderId="0" xfId="6" applyFont="1" applyFill="1" applyBorder="1"/>
    <xf numFmtId="0" fontId="30" fillId="0" borderId="0" xfId="5" applyFont="1" applyFill="1" applyBorder="1"/>
    <xf numFmtId="3" fontId="30" fillId="0" borderId="0" xfId="5" applyNumberFormat="1" applyFont="1" applyFill="1" applyBorder="1"/>
    <xf numFmtId="3" fontId="30" fillId="0" borderId="0" xfId="6" applyNumberFormat="1" applyFont="1" applyFill="1" applyBorder="1"/>
    <xf numFmtId="3" fontId="30" fillId="0" borderId="0" xfId="6" applyNumberFormat="1" applyFont="1" applyBorder="1"/>
    <xf numFmtId="0" fontId="33" fillId="0" borderId="0" xfId="0" applyFont="1"/>
    <xf numFmtId="169" fontId="62" fillId="0" borderId="0" xfId="0" applyNumberFormat="1" applyFont="1" applyAlignment="1">
      <alignment horizontal="center"/>
    </xf>
    <xf numFmtId="169" fontId="62" fillId="0" borderId="0" xfId="0" applyNumberFormat="1" applyFont="1"/>
    <xf numFmtId="14" fontId="62" fillId="0" borderId="0" xfId="0" applyNumberFormat="1" applyFont="1"/>
    <xf numFmtId="0" fontId="57" fillId="0" borderId="0" xfId="0" applyFont="1"/>
    <xf numFmtId="0" fontId="57" fillId="0" borderId="0" xfId="0" applyFont="1" applyFill="1"/>
    <xf numFmtId="0" fontId="62" fillId="0" borderId="0" xfId="0" applyFont="1"/>
    <xf numFmtId="169" fontId="62" fillId="0" borderId="0" xfId="0" applyNumberFormat="1" applyFont="1" applyAlignment="1">
      <alignment horizontal="right"/>
    </xf>
    <xf numFmtId="0" fontId="62" fillId="0" borderId="0" xfId="0" applyFont="1" applyAlignment="1">
      <alignment horizontal="centerContinuous"/>
    </xf>
    <xf numFmtId="0" fontId="57" fillId="0" borderId="0" xfId="0" applyFont="1" applyAlignment="1"/>
    <xf numFmtId="169" fontId="62" fillId="0" borderId="0" xfId="0" applyNumberFormat="1" applyFont="1" applyAlignment="1"/>
    <xf numFmtId="169" fontId="57" fillId="0" borderId="0" xfId="0" applyNumberFormat="1" applyFont="1" applyAlignment="1"/>
    <xf numFmtId="169" fontId="57" fillId="0" borderId="0" xfId="0" applyNumberFormat="1" applyFont="1" applyAlignment="1">
      <alignment horizontal="center"/>
    </xf>
    <xf numFmtId="0" fontId="62" fillId="0" borderId="0" xfId="0" applyFont="1" applyBorder="1" applyAlignment="1">
      <alignment horizontal="center"/>
    </xf>
    <xf numFmtId="169" fontId="33" fillId="0" borderId="0" xfId="0" applyNumberFormat="1" applyFont="1"/>
    <xf numFmtId="0" fontId="63" fillId="0" borderId="0" xfId="0" applyFont="1"/>
    <xf numFmtId="169" fontId="62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62" fillId="0" borderId="10" xfId="0" applyFont="1" applyBorder="1" applyAlignment="1">
      <alignment horizontal="center"/>
    </xf>
    <xf numFmtId="0" fontId="33" fillId="0" borderId="0" xfId="0" applyFont="1" applyAlignment="1">
      <alignment horizontal="center"/>
    </xf>
    <xf numFmtId="5" fontId="55" fillId="0" borderId="0" xfId="1" applyNumberFormat="1" applyFont="1"/>
    <xf numFmtId="5" fontId="55" fillId="0" borderId="0" xfId="1" applyNumberFormat="1" applyFont="1" applyBorder="1"/>
    <xf numFmtId="0" fontId="62" fillId="0" borderId="0" xfId="0" applyFont="1" applyAlignment="1">
      <alignment horizontal="center"/>
    </xf>
    <xf numFmtId="173" fontId="55" fillId="0" borderId="0" xfId="1" applyNumberFormat="1" applyFont="1"/>
    <xf numFmtId="173" fontId="55" fillId="0" borderId="0" xfId="1" applyNumberFormat="1" applyFont="1" applyBorder="1"/>
    <xf numFmtId="169" fontId="33" fillId="0" borderId="15" xfId="0" applyNumberFormat="1" applyFont="1" applyBorder="1"/>
    <xf numFmtId="173" fontId="55" fillId="0" borderId="15" xfId="1" applyNumberFormat="1" applyFont="1" applyBorder="1"/>
    <xf numFmtId="10" fontId="33" fillId="0" borderId="0" xfId="0" applyNumberFormat="1" applyFont="1"/>
    <xf numFmtId="173" fontId="55" fillId="0" borderId="10" xfId="1" applyNumberFormat="1" applyFont="1" applyBorder="1"/>
    <xf numFmtId="169" fontId="33" fillId="0" borderId="16" xfId="0" applyNumberFormat="1" applyFont="1" applyBorder="1"/>
    <xf numFmtId="164" fontId="55" fillId="0" borderId="12" xfId="1" applyNumberFormat="1" applyFont="1" applyBorder="1"/>
    <xf numFmtId="164" fontId="55" fillId="0" borderId="0" xfId="1" applyNumberFormat="1" applyFont="1" applyBorder="1"/>
    <xf numFmtId="169" fontId="63" fillId="0" borderId="0" xfId="0" applyNumberFormat="1" applyFont="1"/>
    <xf numFmtId="169" fontId="55" fillId="0" borderId="0" xfId="0" applyNumberFormat="1" applyFont="1"/>
    <xf numFmtId="0" fontId="64" fillId="0" borderId="0" xfId="0" applyFont="1"/>
    <xf numFmtId="173" fontId="55" fillId="0" borderId="0" xfId="0" applyNumberFormat="1" applyFont="1"/>
    <xf numFmtId="0" fontId="56" fillId="0" borderId="0" xfId="0" applyFont="1"/>
    <xf numFmtId="0" fontId="57" fillId="0" borderId="0" xfId="0" applyFont="1" applyAlignment="1">
      <alignment horizontal="centerContinuous"/>
    </xf>
    <xf numFmtId="0" fontId="57" fillId="0" borderId="0" xfId="0" applyFont="1" applyFill="1" applyAlignment="1">
      <alignment horizontal="center"/>
    </xf>
    <xf numFmtId="0" fontId="57" fillId="0" borderId="0" xfId="0" applyFont="1" applyFill="1" applyAlignment="1"/>
    <xf numFmtId="0" fontId="33" fillId="0" borderId="0" xfId="0" applyFont="1" applyFill="1"/>
    <xf numFmtId="3" fontId="62" fillId="0" borderId="0" xfId="0" applyNumberFormat="1" applyFont="1" applyFill="1" applyAlignment="1"/>
    <xf numFmtId="0" fontId="62" fillId="5" borderId="0" xfId="0" applyFont="1" applyFill="1" applyAlignment="1">
      <alignment horizontal="center"/>
    </xf>
    <xf numFmtId="0" fontId="62" fillId="4" borderId="37" xfId="0" applyFont="1" applyFill="1" applyBorder="1" applyAlignment="1">
      <alignment horizontal="left"/>
    </xf>
    <xf numFmtId="0" fontId="33" fillId="0" borderId="20" xfId="0" applyFont="1" applyFill="1" applyBorder="1"/>
    <xf numFmtId="0" fontId="33" fillId="0" borderId="21" xfId="0" applyFont="1" applyFill="1" applyBorder="1"/>
    <xf numFmtId="0" fontId="33" fillId="0" borderId="0" xfId="0" applyFont="1" applyFill="1" applyBorder="1"/>
    <xf numFmtId="0" fontId="62" fillId="5" borderId="10" xfId="0" quotePrefix="1" applyFont="1" applyFill="1" applyBorder="1" applyAlignment="1">
      <alignment horizontal="center"/>
    </xf>
    <xf numFmtId="37" fontId="33" fillId="0" borderId="0" xfId="5" applyNumberFormat="1" applyFont="1" applyFill="1"/>
    <xf numFmtId="37" fontId="33" fillId="0" borderId="22" xfId="5" applyNumberFormat="1" applyFont="1" applyFill="1" applyBorder="1"/>
    <xf numFmtId="37" fontId="33" fillId="0" borderId="0" xfId="5" applyNumberFormat="1" applyFont="1" applyFill="1" applyBorder="1"/>
    <xf numFmtId="0" fontId="62" fillId="0" borderId="0" xfId="0" applyFont="1" applyFill="1" applyBorder="1"/>
    <xf numFmtId="37" fontId="62" fillId="0" borderId="0" xfId="5" applyNumberFormat="1" applyFont="1" applyFill="1" applyBorder="1" applyAlignment="1">
      <alignment horizontal="center"/>
    </xf>
    <xf numFmtId="0" fontId="62" fillId="0" borderId="23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37" fontId="33" fillId="0" borderId="0" xfId="3" applyNumberFormat="1" applyFont="1" applyFill="1" applyBorder="1"/>
    <xf numFmtId="0" fontId="62" fillId="0" borderId="1" xfId="0" applyFont="1" applyBorder="1" applyAlignment="1">
      <alignment horizontal="center"/>
    </xf>
    <xf numFmtId="0" fontId="62" fillId="0" borderId="22" xfId="0" applyFont="1" applyFill="1" applyBorder="1" applyAlignment="1">
      <alignment horizontal="center"/>
    </xf>
    <xf numFmtId="0" fontId="62" fillId="0" borderId="8" xfId="0" applyFont="1" applyBorder="1" applyAlignment="1">
      <alignment horizontal="center"/>
    </xf>
    <xf numFmtId="0" fontId="62" fillId="0" borderId="24" xfId="0" applyFont="1" applyFill="1" applyBorder="1" applyAlignment="1">
      <alignment horizontal="center"/>
    </xf>
    <xf numFmtId="0" fontId="62" fillId="0" borderId="10" xfId="0" applyFont="1" applyFill="1" applyBorder="1" applyAlignment="1">
      <alignment horizontal="center"/>
    </xf>
    <xf numFmtId="0" fontId="62" fillId="0" borderId="34" xfId="0" applyFont="1" applyFill="1" applyBorder="1" applyAlignment="1">
      <alignment horizontal="center"/>
    </xf>
    <xf numFmtId="0" fontId="33" fillId="0" borderId="0" xfId="0" applyFont="1" applyBorder="1"/>
    <xf numFmtId="42" fontId="33" fillId="0" borderId="0" xfId="0" applyNumberFormat="1" applyFont="1"/>
    <xf numFmtId="0" fontId="56" fillId="0" borderId="0" xfId="0" applyFont="1" applyFill="1"/>
    <xf numFmtId="5" fontId="33" fillId="0" borderId="0" xfId="0" applyNumberFormat="1" applyFont="1"/>
    <xf numFmtId="0" fontId="33" fillId="0" borderId="22" xfId="0" applyFont="1" applyFill="1" applyBorder="1"/>
    <xf numFmtId="5" fontId="33" fillId="0" borderId="0" xfId="0" applyNumberFormat="1" applyFont="1" applyFill="1" applyBorder="1"/>
    <xf numFmtId="10" fontId="65" fillId="0" borderId="0" xfId="7" applyNumberFormat="1" applyFont="1" applyFill="1" applyBorder="1"/>
    <xf numFmtId="37" fontId="33" fillId="0" borderId="0" xfId="3" applyNumberFormat="1" applyFont="1" applyFill="1" applyBorder="1" applyAlignment="1">
      <alignment horizontal="center"/>
    </xf>
    <xf numFmtId="10" fontId="33" fillId="0" borderId="10" xfId="7" applyNumberFormat="1" applyFont="1" applyBorder="1"/>
    <xf numFmtId="10" fontId="33" fillId="0" borderId="0" xfId="7" applyNumberFormat="1" applyFont="1" applyFill="1" applyBorder="1"/>
    <xf numFmtId="170" fontId="33" fillId="0" borderId="0" xfId="7" applyNumberFormat="1" applyFont="1" applyBorder="1"/>
    <xf numFmtId="42" fontId="33" fillId="0" borderId="10" xfId="0" applyNumberFormat="1" applyFont="1" applyBorder="1"/>
    <xf numFmtId="0" fontId="33" fillId="0" borderId="25" xfId="0" applyFont="1" applyFill="1" applyBorder="1"/>
    <xf numFmtId="0" fontId="33" fillId="0" borderId="26" xfId="0" applyFont="1" applyFill="1" applyBorder="1"/>
    <xf numFmtId="0" fontId="33" fillId="0" borderId="27" xfId="0" applyFont="1" applyFill="1" applyBorder="1"/>
    <xf numFmtId="37" fontId="30" fillId="0" borderId="0" xfId="3" applyNumberFormat="1" applyFont="1" applyFill="1" applyBorder="1"/>
    <xf numFmtId="37" fontId="30" fillId="0" borderId="0" xfId="5" applyNumberFormat="1" applyFont="1" applyFill="1"/>
    <xf numFmtId="0" fontId="33" fillId="0" borderId="0" xfId="0" applyFont="1" applyAlignment="1">
      <alignment horizontal="right"/>
    </xf>
    <xf numFmtId="5" fontId="62" fillId="0" borderId="18" xfId="0" applyNumberFormat="1" applyFont="1" applyFill="1" applyBorder="1"/>
    <xf numFmtId="174" fontId="55" fillId="0" borderId="0" xfId="2" applyNumberFormat="1" applyFont="1" applyFill="1" applyBorder="1"/>
    <xf numFmtId="42" fontId="33" fillId="0" borderId="0" xfId="0" applyNumberFormat="1" applyFont="1" applyBorder="1"/>
    <xf numFmtId="10" fontId="62" fillId="0" borderId="16" xfId="7" applyNumberFormat="1" applyFont="1" applyBorder="1"/>
    <xf numFmtId="37" fontId="33" fillId="0" borderId="0" xfId="5" applyNumberFormat="1" applyFont="1"/>
    <xf numFmtId="173" fontId="33" fillId="0" borderId="0" xfId="1" applyNumberFormat="1" applyFont="1" applyFill="1" applyBorder="1"/>
    <xf numFmtId="170" fontId="33" fillId="0" borderId="0" xfId="7" applyNumberFormat="1" applyFont="1" applyFill="1" applyBorder="1"/>
    <xf numFmtId="42" fontId="33" fillId="0" borderId="0" xfId="0" applyNumberFormat="1" applyFont="1" applyFill="1" applyBorder="1"/>
    <xf numFmtId="0" fontId="30" fillId="0" borderId="0" xfId="5" applyNumberFormat="1" applyFont="1" applyAlignment="1">
      <alignment horizontal="center"/>
    </xf>
    <xf numFmtId="0" fontId="30" fillId="0" borderId="0" xfId="5" applyFont="1"/>
    <xf numFmtId="3" fontId="30" fillId="0" borderId="0" xfId="0" applyNumberFormat="1" applyFont="1"/>
    <xf numFmtId="0" fontId="30" fillId="0" borderId="0" xfId="5" applyNumberFormat="1" applyFont="1" applyAlignment="1">
      <alignment horizontal="left"/>
    </xf>
    <xf numFmtId="3" fontId="58" fillId="0" borderId="0" xfId="0" applyNumberFormat="1" applyFont="1" applyFill="1"/>
    <xf numFmtId="3" fontId="30" fillId="0" borderId="0" xfId="0" applyNumberFormat="1" applyFont="1" applyFill="1"/>
    <xf numFmtId="0" fontId="54" fillId="0" borderId="0" xfId="5" applyNumberFormat="1" applyFont="1" applyAlignment="1">
      <alignment horizontal="center"/>
    </xf>
    <xf numFmtId="0" fontId="54" fillId="0" borderId="0" xfId="5" applyFont="1"/>
    <xf numFmtId="3" fontId="54" fillId="0" borderId="0" xfId="0" applyNumberFormat="1" applyFont="1"/>
    <xf numFmtId="0" fontId="32" fillId="0" borderId="0" xfId="5" applyNumberFormat="1" applyFont="1" applyAlignment="1">
      <alignment horizontal="center"/>
    </xf>
    <xf numFmtId="0" fontId="32" fillId="0" borderId="0" xfId="5" applyFont="1" applyAlignment="1">
      <alignment horizontal="center"/>
    </xf>
    <xf numFmtId="3" fontId="32" fillId="0" borderId="13" xfId="0" applyNumberFormat="1" applyFont="1" applyBorder="1" applyAlignment="1">
      <alignment horizontal="centerContinuous"/>
    </xf>
    <xf numFmtId="3" fontId="32" fillId="0" borderId="15" xfId="0" applyNumberFormat="1" applyFont="1" applyBorder="1" applyAlignment="1">
      <alignment horizontal="centerContinuous"/>
    </xf>
    <xf numFmtId="3" fontId="32" fillId="0" borderId="14" xfId="0" applyNumberFormat="1" applyFont="1" applyBorder="1" applyAlignment="1">
      <alignment horizontal="centerContinuous"/>
    </xf>
    <xf numFmtId="0" fontId="32" fillId="0" borderId="1" xfId="5" applyNumberFormat="1" applyFont="1" applyBorder="1" applyAlignment="1">
      <alignment horizontal="center"/>
    </xf>
    <xf numFmtId="0" fontId="32" fillId="0" borderId="2" xfId="5" applyNumberFormat="1" applyFont="1" applyBorder="1" applyAlignment="1">
      <alignment horizontal="center"/>
    </xf>
    <xf numFmtId="0" fontId="32" fillId="0" borderId="2" xfId="5" applyFont="1" applyBorder="1" applyAlignment="1">
      <alignment horizontal="center"/>
    </xf>
    <xf numFmtId="0" fontId="32" fillId="0" borderId="3" xfId="5" applyFont="1" applyBorder="1" applyAlignment="1">
      <alignment horizontal="center"/>
    </xf>
    <xf numFmtId="0" fontId="32" fillId="0" borderId="4" xfId="5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3" fontId="32" fillId="0" borderId="1" xfId="0" quotePrefix="1" applyNumberFormat="1" applyFont="1" applyBorder="1" applyAlignment="1">
      <alignment horizontal="center"/>
    </xf>
    <xf numFmtId="0" fontId="32" fillId="0" borderId="5" xfId="5" applyNumberFormat="1" applyFont="1" applyBorder="1" applyAlignment="1">
      <alignment horizontal="center"/>
    </xf>
    <xf numFmtId="0" fontId="32" fillId="0" borderId="6" xfId="5" applyNumberFormat="1" applyFont="1" applyBorder="1" applyAlignment="1">
      <alignment horizontal="center"/>
    </xf>
    <xf numFmtId="0" fontId="32" fillId="0" borderId="6" xfId="5" applyFont="1" applyBorder="1" applyAlignment="1">
      <alignment horizontal="center"/>
    </xf>
    <xf numFmtId="0" fontId="32" fillId="0" borderId="0" xfId="5" applyFont="1" applyBorder="1" applyAlignment="1">
      <alignment horizontal="center"/>
    </xf>
    <xf numFmtId="0" fontId="32" fillId="0" borderId="7" xfId="5" applyFont="1" applyBorder="1" applyAlignment="1">
      <alignment horizontal="center"/>
    </xf>
    <xf numFmtId="3" fontId="32" fillId="0" borderId="5" xfId="0" applyNumberFormat="1" applyFont="1" applyBorder="1" applyAlignment="1">
      <alignment horizontal="center"/>
    </xf>
    <xf numFmtId="0" fontId="32" fillId="0" borderId="8" xfId="5" applyNumberFormat="1" applyFont="1" applyBorder="1" applyAlignment="1">
      <alignment horizontal="center"/>
    </xf>
    <xf numFmtId="0" fontId="32" fillId="0" borderId="9" xfId="5" applyNumberFormat="1" applyFont="1" applyBorder="1" applyAlignment="1">
      <alignment horizontal="center"/>
    </xf>
    <xf numFmtId="0" fontId="32" fillId="0" borderId="9" xfId="5" applyFont="1" applyBorder="1" applyAlignment="1">
      <alignment horizontal="center"/>
    </xf>
    <xf numFmtId="0" fontId="32" fillId="0" borderId="10" xfId="5" applyFont="1" applyBorder="1" applyAlignment="1">
      <alignment horizontal="center"/>
    </xf>
    <xf numFmtId="0" fontId="32" fillId="0" borderId="11" xfId="5" applyFont="1" applyBorder="1" applyAlignment="1">
      <alignment horizontal="center"/>
    </xf>
    <xf numFmtId="3" fontId="32" fillId="0" borderId="8" xfId="0" applyNumberFormat="1" applyFont="1" applyBorder="1" applyAlignment="1">
      <alignment horizontal="center"/>
    </xf>
    <xf numFmtId="0" fontId="66" fillId="0" borderId="0" xfId="5" applyNumberFormat="1" applyFont="1" applyAlignment="1">
      <alignment horizontal="center"/>
    </xf>
    <xf numFmtId="0" fontId="66" fillId="0" borderId="0" xfId="5" applyFont="1" applyAlignment="1">
      <alignment horizontal="center"/>
    </xf>
    <xf numFmtId="3" fontId="66" fillId="0" borderId="0" xfId="0" applyNumberFormat="1" applyFont="1" applyAlignment="1">
      <alignment horizontal="center"/>
    </xf>
    <xf numFmtId="0" fontId="54" fillId="0" borderId="0" xfId="6" applyNumberFormat="1" applyFont="1" applyAlignment="1">
      <alignment horizontal="center"/>
    </xf>
    <xf numFmtId="0" fontId="54" fillId="0" borderId="0" xfId="6" applyFont="1"/>
    <xf numFmtId="3" fontId="54" fillId="0" borderId="0" xfId="6" applyNumberFormat="1" applyFont="1"/>
    <xf numFmtId="5" fontId="54" fillId="0" borderId="0" xfId="6" applyNumberFormat="1" applyFont="1"/>
    <xf numFmtId="168" fontId="54" fillId="0" borderId="0" xfId="6" applyNumberFormat="1" applyFont="1"/>
    <xf numFmtId="168" fontId="54" fillId="0" borderId="0" xfId="6" applyNumberFormat="1" applyFont="1" applyFill="1"/>
    <xf numFmtId="41" fontId="54" fillId="0" borderId="0" xfId="6" applyNumberFormat="1" applyFont="1"/>
    <xf numFmtId="41" fontId="54" fillId="0" borderId="10" xfId="6" applyNumberFormat="1" applyFont="1" applyBorder="1"/>
    <xf numFmtId="168" fontId="54" fillId="0" borderId="10" xfId="6" applyNumberFormat="1" applyFont="1" applyBorder="1"/>
    <xf numFmtId="41" fontId="54" fillId="0" borderId="0" xfId="1" applyNumberFormat="1" applyFont="1"/>
    <xf numFmtId="0" fontId="54" fillId="0" borderId="0" xfId="6" applyNumberFormat="1" applyFont="1" applyFill="1" applyAlignment="1">
      <alignment horizontal="center"/>
    </xf>
    <xf numFmtId="41" fontId="54" fillId="0" borderId="10" xfId="6" applyNumberFormat="1" applyFont="1" applyFill="1" applyBorder="1"/>
    <xf numFmtId="41" fontId="54" fillId="0" borderId="0" xfId="1" applyNumberFormat="1" applyFont="1" applyBorder="1"/>
    <xf numFmtId="0" fontId="54" fillId="0" borderId="0" xfId="0" applyFont="1"/>
    <xf numFmtId="41" fontId="54" fillId="0" borderId="15" xfId="6" applyNumberFormat="1" applyFont="1" applyBorder="1"/>
    <xf numFmtId="41" fontId="55" fillId="0" borderId="0" xfId="0" applyNumberFormat="1" applyFont="1"/>
    <xf numFmtId="41" fontId="54" fillId="0" borderId="0" xfId="0" applyNumberFormat="1" applyFont="1"/>
    <xf numFmtId="41" fontId="54" fillId="0" borderId="12" xfId="6" applyNumberFormat="1" applyFont="1" applyBorder="1"/>
    <xf numFmtId="41" fontId="54" fillId="0" borderId="0" xfId="6" applyNumberFormat="1" applyFont="1" applyBorder="1"/>
    <xf numFmtId="0" fontId="54" fillId="0" borderId="0" xfId="6" applyNumberFormat="1" applyFont="1" applyBorder="1" applyAlignment="1">
      <alignment horizontal="center"/>
    </xf>
    <xf numFmtId="37" fontId="54" fillId="0" borderId="0" xfId="6" applyNumberFormat="1" applyFont="1" applyFill="1"/>
    <xf numFmtId="41" fontId="54" fillId="0" borderId="0" xfId="6" applyNumberFormat="1" applyFont="1" applyFill="1"/>
    <xf numFmtId="173" fontId="54" fillId="0" borderId="0" xfId="1" applyNumberFormat="1" applyFont="1"/>
    <xf numFmtId="37" fontId="54" fillId="0" borderId="12" xfId="6" applyNumberFormat="1" applyFont="1" applyBorder="1"/>
    <xf numFmtId="10" fontId="32" fillId="0" borderId="0" xfId="7" applyNumberFormat="1" applyFont="1"/>
    <xf numFmtId="10" fontId="54" fillId="0" borderId="0" xfId="6" applyNumberFormat="1" applyFont="1"/>
    <xf numFmtId="10" fontId="54" fillId="0" borderId="0" xfId="7" applyNumberFormat="1" applyFont="1"/>
    <xf numFmtId="37" fontId="59" fillId="0" borderId="0" xfId="5" applyNumberFormat="1" applyFont="1" applyBorder="1" applyAlignment="1">
      <alignment vertical="top"/>
    </xf>
    <xf numFmtId="37" fontId="30" fillId="0" borderId="0" xfId="5" applyNumberFormat="1" applyFont="1" applyBorder="1" applyAlignment="1">
      <alignment horizontal="center"/>
    </xf>
    <xf numFmtId="0" fontId="30" fillId="0" borderId="0" xfId="5" applyFont="1" applyBorder="1"/>
    <xf numFmtId="170" fontId="30" fillId="0" borderId="0" xfId="7" applyNumberFormat="1" applyFont="1" applyBorder="1"/>
    <xf numFmtId="3" fontId="31" fillId="0" borderId="0" xfId="6" applyNumberFormat="1" applyFont="1" applyFill="1" applyBorder="1"/>
    <xf numFmtId="3" fontId="61" fillId="0" borderId="0" xfId="22" applyNumberFormat="1" applyFont="1" applyFill="1"/>
    <xf numFmtId="41" fontId="31" fillId="0" borderId="0" xfId="20" applyNumberFormat="1" applyFont="1" applyFill="1" applyAlignment="1">
      <alignment vertical="top" wrapText="1"/>
    </xf>
    <xf numFmtId="3" fontId="31" fillId="0" borderId="0" xfId="22" applyNumberFormat="1" applyFont="1" applyFill="1" applyBorder="1" applyAlignment="1">
      <alignment horizontal="left"/>
    </xf>
    <xf numFmtId="3" fontId="31" fillId="0" borderId="0" xfId="6" applyNumberFormat="1" applyFont="1" applyFill="1"/>
    <xf numFmtId="0" fontId="31" fillId="0" borderId="0" xfId="6" applyNumberFormat="1" applyFont="1" applyFill="1" applyAlignment="1">
      <alignment horizontal="center"/>
    </xf>
    <xf numFmtId="41" fontId="31" fillId="0" borderId="0" xfId="20" applyNumberFormat="1" applyFont="1" applyFill="1" applyAlignment="1">
      <alignment horizontal="center"/>
    </xf>
    <xf numFmtId="3" fontId="31" fillId="0" borderId="0" xfId="6" applyNumberFormat="1" applyFont="1" applyFill="1" applyAlignment="1">
      <alignment vertical="top" wrapText="1"/>
    </xf>
    <xf numFmtId="41" fontId="30" fillId="0" borderId="0" xfId="5" applyNumberFormat="1" applyFont="1" applyFill="1" applyBorder="1" applyAlignment="1">
      <alignment horizontal="center"/>
    </xf>
    <xf numFmtId="3" fontId="30" fillId="0" borderId="0" xfId="6" applyNumberFormat="1" applyFont="1" applyFill="1" applyAlignment="1">
      <alignment horizontal="center"/>
    </xf>
    <xf numFmtId="3" fontId="30" fillId="0" borderId="0" xfId="22" applyNumberFormat="1" applyFont="1" applyFill="1" applyAlignment="1">
      <alignment horizontal="center"/>
    </xf>
    <xf numFmtId="3" fontId="31" fillId="0" borderId="0" xfId="6" applyNumberFormat="1" applyFont="1" applyFill="1" applyBorder="1" applyAlignment="1">
      <alignment horizontal="center"/>
    </xf>
    <xf numFmtId="41" fontId="31" fillId="0" borderId="0" xfId="20" applyNumberFormat="1" applyFont="1" applyFill="1" applyAlignment="1">
      <alignment vertical="top"/>
    </xf>
    <xf numFmtId="3" fontId="31" fillId="0" borderId="10" xfId="6" applyNumberFormat="1" applyFont="1" applyFill="1" applyBorder="1" applyAlignment="1">
      <alignment horizontal="center" vertical="top" wrapText="1"/>
    </xf>
    <xf numFmtId="3" fontId="67" fillId="0" borderId="10" xfId="6" applyNumberFormat="1" applyFont="1" applyFill="1" applyBorder="1" applyAlignment="1"/>
    <xf numFmtId="41" fontId="31" fillId="0" borderId="1" xfId="22" applyNumberFormat="1" applyFont="1" applyFill="1" applyBorder="1" applyAlignment="1">
      <alignment horizontal="center"/>
    </xf>
    <xf numFmtId="41" fontId="31" fillId="0" borderId="1" xfId="20" applyNumberFormat="1" applyFont="1" applyFill="1" applyBorder="1" applyAlignment="1">
      <alignment horizontal="center"/>
    </xf>
    <xf numFmtId="41" fontId="31" fillId="0" borderId="0" xfId="4" applyNumberFormat="1" applyFont="1" applyFill="1" applyBorder="1" applyAlignment="1">
      <alignment horizontal="center"/>
    </xf>
    <xf numFmtId="41" fontId="31" fillId="0" borderId="2" xfId="20" applyNumberFormat="1" applyFont="1" applyFill="1" applyBorder="1" applyAlignment="1">
      <alignment horizontal="center"/>
    </xf>
    <xf numFmtId="41" fontId="31" fillId="0" borderId="5" xfId="22" applyNumberFormat="1" applyFont="1" applyFill="1" applyBorder="1" applyAlignment="1">
      <alignment horizontal="center"/>
    </xf>
    <xf numFmtId="3" fontId="31" fillId="0" borderId="5" xfId="5" applyNumberFormat="1" applyFont="1" applyFill="1" applyBorder="1" applyAlignment="1">
      <alignment horizontal="center"/>
    </xf>
    <xf numFmtId="41" fontId="31" fillId="0" borderId="5" xfId="20" applyNumberFormat="1" applyFont="1" applyFill="1" applyBorder="1" applyAlignment="1">
      <alignment horizontal="center"/>
    </xf>
    <xf numFmtId="3" fontId="31" fillId="0" borderId="5" xfId="6" applyNumberFormat="1" applyFont="1" applyFill="1" applyBorder="1" applyAlignment="1">
      <alignment horizontal="left"/>
    </xf>
    <xf numFmtId="41" fontId="31" fillId="0" borderId="7" xfId="20" applyNumberFormat="1" applyFont="1" applyFill="1" applyBorder="1" applyAlignment="1">
      <alignment horizontal="center"/>
    </xf>
    <xf numFmtId="41" fontId="31" fillId="0" borderId="0" xfId="20" applyNumberFormat="1" applyFont="1" applyFill="1" applyBorder="1" applyAlignment="1">
      <alignment horizontal="center"/>
    </xf>
    <xf numFmtId="41" fontId="31" fillId="0" borderId="8" xfId="22" applyNumberFormat="1" applyFont="1" applyFill="1" applyBorder="1" applyAlignment="1">
      <alignment horizontal="center"/>
    </xf>
    <xf numFmtId="3" fontId="31" fillId="0" borderId="8" xfId="5" applyNumberFormat="1" applyFont="1" applyFill="1" applyBorder="1" applyAlignment="1">
      <alignment horizontal="center"/>
    </xf>
    <xf numFmtId="41" fontId="31" fillId="0" borderId="11" xfId="20" applyNumberFormat="1" applyFont="1" applyFill="1" applyBorder="1" applyAlignment="1">
      <alignment horizontal="center"/>
    </xf>
    <xf numFmtId="41" fontId="31" fillId="0" borderId="10" xfId="20" applyNumberFormat="1" applyFont="1" applyFill="1" applyBorder="1" applyAlignment="1">
      <alignment horizontal="center"/>
    </xf>
    <xf numFmtId="4" fontId="31" fillId="0" borderId="0" xfId="6" applyNumberFormat="1" applyFont="1" applyFill="1" applyBorder="1" applyAlignment="1">
      <alignment horizontal="center"/>
    </xf>
    <xf numFmtId="42" fontId="30" fillId="0" borderId="0" xfId="4" applyNumberFormat="1" applyFont="1" applyFill="1" applyBorder="1"/>
    <xf numFmtId="42" fontId="31" fillId="0" borderId="0" xfId="6" applyNumberFormat="1" applyFont="1" applyFill="1" applyBorder="1"/>
    <xf numFmtId="41" fontId="31" fillId="0" borderId="0" xfId="6" applyNumberFormat="1" applyFont="1" applyFill="1" applyBorder="1"/>
    <xf numFmtId="41" fontId="30" fillId="0" borderId="0" xfId="6" applyNumberFormat="1" applyFont="1" applyFill="1" applyBorder="1"/>
    <xf numFmtId="173" fontId="30" fillId="0" borderId="0" xfId="1" applyNumberFormat="1" applyFont="1" applyFill="1"/>
    <xf numFmtId="41" fontId="30" fillId="0" borderId="10" xfId="6" applyNumberFormat="1" applyFont="1" applyFill="1" applyBorder="1"/>
    <xf numFmtId="42" fontId="30" fillId="0" borderId="12" xfId="6" applyNumberFormat="1" applyFont="1" applyFill="1" applyBorder="1"/>
    <xf numFmtId="41" fontId="31" fillId="0" borderId="0" xfId="4" applyNumberFormat="1" applyFont="1" applyFill="1"/>
    <xf numFmtId="42" fontId="31" fillId="0" borderId="0" xfId="4" applyNumberFormat="1" applyFont="1" applyFill="1"/>
    <xf numFmtId="41" fontId="31" fillId="0" borderId="10" xfId="4" applyNumberFormat="1" applyFont="1" applyFill="1" applyBorder="1"/>
    <xf numFmtId="173" fontId="30" fillId="0" borderId="0" xfId="1" applyNumberFormat="1" applyFont="1" applyFill="1" applyBorder="1"/>
    <xf numFmtId="41" fontId="30" fillId="0" borderId="15" xfId="6" applyNumberFormat="1" applyFont="1" applyFill="1" applyBorder="1"/>
    <xf numFmtId="42" fontId="31" fillId="0" borderId="12" xfId="6" applyNumberFormat="1" applyFont="1" applyFill="1" applyBorder="1"/>
    <xf numFmtId="3" fontId="61" fillId="0" borderId="0" xfId="6" applyNumberFormat="1" applyFont="1" applyFill="1" applyAlignment="1">
      <alignment horizontal="center"/>
    </xf>
    <xf numFmtId="3" fontId="61" fillId="0" borderId="0" xfId="22" applyNumberFormat="1" applyFont="1" applyFill="1" applyBorder="1"/>
    <xf numFmtId="0" fontId="31" fillId="0" borderId="0" xfId="6" applyFont="1" applyFill="1" applyAlignment="1">
      <alignment horizontal="center"/>
    </xf>
    <xf numFmtId="3" fontId="67" fillId="0" borderId="0" xfId="6" applyNumberFormat="1" applyFont="1" applyFill="1" applyAlignment="1">
      <alignment horizontal="center"/>
    </xf>
    <xf numFmtId="41" fontId="31" fillId="0" borderId="1" xfId="20" quotePrefix="1" applyNumberFormat="1" applyFont="1" applyFill="1" applyBorder="1" applyAlignment="1">
      <alignment horizontal="center"/>
    </xf>
    <xf numFmtId="0" fontId="31" fillId="0" borderId="1" xfId="6" applyNumberFormat="1" applyFont="1" applyFill="1" applyBorder="1" applyAlignment="1">
      <alignment horizontal="center"/>
    </xf>
    <xf numFmtId="0" fontId="31" fillId="0" borderId="2" xfId="6" applyFont="1" applyFill="1" applyBorder="1" applyAlignment="1">
      <alignment horizontal="center"/>
    </xf>
    <xf numFmtId="0" fontId="31" fillId="0" borderId="3" xfId="6" applyFont="1" applyFill="1" applyBorder="1" applyAlignment="1">
      <alignment horizontal="center"/>
    </xf>
    <xf numFmtId="0" fontId="30" fillId="0" borderId="4" xfId="6" applyFont="1" applyFill="1" applyBorder="1"/>
    <xf numFmtId="41" fontId="31" fillId="0" borderId="2" xfId="4" applyNumberFormat="1" applyFont="1" applyFill="1" applyBorder="1" applyAlignment="1">
      <alignment horizontal="center"/>
    </xf>
    <xf numFmtId="0" fontId="31" fillId="0" borderId="5" xfId="6" applyNumberFormat="1" applyFont="1" applyFill="1" applyBorder="1" applyAlignment="1">
      <alignment horizontal="center"/>
    </xf>
    <xf numFmtId="0" fontId="31" fillId="0" borderId="6" xfId="6" applyFont="1" applyFill="1" applyBorder="1" applyAlignment="1">
      <alignment horizontal="center"/>
    </xf>
    <xf numFmtId="0" fontId="31" fillId="0" borderId="0" xfId="6" applyFont="1" applyFill="1" applyBorder="1" applyAlignment="1">
      <alignment horizontal="center"/>
    </xf>
    <xf numFmtId="0" fontId="30" fillId="0" borderId="7" xfId="6" applyFont="1" applyFill="1" applyBorder="1"/>
    <xf numFmtId="41" fontId="31" fillId="0" borderId="6" xfId="20" applyNumberFormat="1" applyFont="1" applyFill="1" applyBorder="1" applyAlignment="1">
      <alignment horizontal="center"/>
    </xf>
    <xf numFmtId="0" fontId="31" fillId="0" borderId="8" xfId="6" applyNumberFormat="1" applyFont="1" applyFill="1" applyBorder="1" applyAlignment="1">
      <alignment horizontal="center"/>
    </xf>
    <xf numFmtId="0" fontId="31" fillId="0" borderId="9" xfId="6" applyFont="1" applyFill="1" applyBorder="1" applyAlignment="1">
      <alignment horizontal="center"/>
    </xf>
    <xf numFmtId="0" fontId="31" fillId="0" borderId="10" xfId="6" applyFont="1" applyFill="1" applyBorder="1" applyAlignment="1">
      <alignment horizontal="center"/>
    </xf>
    <xf numFmtId="0" fontId="31" fillId="0" borderId="11" xfId="6" applyFont="1" applyFill="1" applyBorder="1" applyAlignment="1">
      <alignment horizontal="center"/>
    </xf>
    <xf numFmtId="3" fontId="31" fillId="0" borderId="8" xfId="6" quotePrefix="1" applyNumberFormat="1" applyFont="1" applyFill="1" applyBorder="1" applyAlignment="1">
      <alignment horizontal="center"/>
    </xf>
    <xf numFmtId="3" fontId="31" fillId="0" borderId="9" xfId="6" applyNumberFormat="1" applyFont="1" applyFill="1" applyBorder="1" applyAlignment="1">
      <alignment horizontal="center"/>
    </xf>
    <xf numFmtId="41" fontId="31" fillId="0" borderId="8" xfId="20" applyNumberFormat="1" applyFont="1" applyFill="1" applyBorder="1" applyAlignment="1">
      <alignment horizontal="center"/>
    </xf>
    <xf numFmtId="0" fontId="30" fillId="0" borderId="0" xfId="6" applyFont="1" applyFill="1" applyAlignment="1">
      <alignment horizontal="left"/>
    </xf>
    <xf numFmtId="4" fontId="31" fillId="0" borderId="0" xfId="6" applyNumberFormat="1" applyFont="1" applyFill="1" applyAlignment="1">
      <alignment horizontal="center"/>
    </xf>
    <xf numFmtId="3" fontId="31" fillId="0" borderId="6" xfId="6" applyNumberFormat="1" applyFont="1" applyFill="1" applyBorder="1" applyAlignment="1">
      <alignment horizontal="center"/>
    </xf>
    <xf numFmtId="2" fontId="31" fillId="0" borderId="5" xfId="20" applyNumberFormat="1" applyFont="1" applyFill="1" applyBorder="1" applyAlignment="1">
      <alignment horizontal="center"/>
    </xf>
    <xf numFmtId="3" fontId="31" fillId="0" borderId="6" xfId="6" applyNumberFormat="1" applyFont="1" applyFill="1" applyBorder="1"/>
    <xf numFmtId="3" fontId="31" fillId="0" borderId="5" xfId="6" applyNumberFormat="1" applyFont="1" applyFill="1" applyBorder="1"/>
    <xf numFmtId="5" fontId="30" fillId="0" borderId="0" xfId="6" applyNumberFormat="1" applyFont="1" applyFill="1"/>
    <xf numFmtId="42" fontId="30" fillId="0" borderId="0" xfId="6" applyNumberFormat="1" applyFont="1" applyFill="1"/>
    <xf numFmtId="42" fontId="31" fillId="0" borderId="0" xfId="6" applyNumberFormat="1" applyFont="1" applyFill="1"/>
    <xf numFmtId="42" fontId="31" fillId="0" borderId="6" xfId="6" applyNumberFormat="1" applyFont="1" applyFill="1" applyBorder="1"/>
    <xf numFmtId="42" fontId="31" fillId="0" borderId="5" xfId="6" applyNumberFormat="1" applyFont="1" applyFill="1" applyBorder="1"/>
    <xf numFmtId="37" fontId="30" fillId="0" borderId="0" xfId="6" applyNumberFormat="1" applyFont="1" applyFill="1"/>
    <xf numFmtId="41" fontId="31" fillId="0" borderId="6" xfId="6" applyNumberFormat="1" applyFont="1" applyFill="1" applyBorder="1"/>
    <xf numFmtId="41" fontId="31" fillId="0" borderId="5" xfId="6" applyNumberFormat="1" applyFont="1" applyFill="1" applyBorder="1"/>
    <xf numFmtId="41" fontId="31" fillId="0" borderId="0" xfId="6" applyNumberFormat="1" applyFont="1" applyFill="1"/>
    <xf numFmtId="42" fontId="31" fillId="0" borderId="26" xfId="6" applyNumberFormat="1" applyFont="1" applyFill="1" applyBorder="1"/>
    <xf numFmtId="41" fontId="31" fillId="0" borderId="9" xfId="6" applyNumberFormat="1" applyFont="1" applyFill="1" applyBorder="1"/>
    <xf numFmtId="41" fontId="31" fillId="0" borderId="8" xfId="6" applyNumberFormat="1" applyFont="1" applyFill="1" applyBorder="1"/>
    <xf numFmtId="41" fontId="31" fillId="0" borderId="10" xfId="6" applyNumberFormat="1" applyFont="1" applyFill="1" applyBorder="1"/>
    <xf numFmtId="41" fontId="31" fillId="0" borderId="26" xfId="6" applyNumberFormat="1" applyFont="1" applyFill="1" applyBorder="1"/>
    <xf numFmtId="0" fontId="30" fillId="0" borderId="0" xfId="0" applyFont="1" applyFill="1"/>
    <xf numFmtId="42" fontId="31" fillId="0" borderId="36" xfId="6" applyNumberFormat="1" applyFont="1" applyFill="1" applyBorder="1"/>
    <xf numFmtId="42" fontId="31" fillId="0" borderId="31" xfId="6" applyNumberFormat="1" applyFont="1" applyFill="1" applyBorder="1"/>
    <xf numFmtId="41" fontId="31" fillId="0" borderId="15" xfId="6" applyNumberFormat="1" applyFont="1" applyFill="1" applyBorder="1"/>
    <xf numFmtId="41" fontId="31" fillId="0" borderId="13" xfId="6" applyNumberFormat="1" applyFont="1" applyFill="1" applyBorder="1"/>
    <xf numFmtId="41" fontId="31" fillId="0" borderId="32" xfId="6" applyNumberFormat="1" applyFont="1" applyFill="1" applyBorder="1"/>
    <xf numFmtId="37" fontId="30" fillId="0" borderId="0" xfId="6" applyNumberFormat="1" applyFont="1" applyFill="1" applyBorder="1"/>
    <xf numFmtId="5" fontId="31" fillId="0" borderId="0" xfId="6" applyNumberFormat="1" applyFont="1" applyFill="1"/>
    <xf numFmtId="37" fontId="30" fillId="0" borderId="0" xfId="20" applyNumberFormat="1" applyFont="1" applyAlignment="1">
      <alignment horizontal="center"/>
    </xf>
    <xf numFmtId="0" fontId="30" fillId="0" borderId="0" xfId="20" applyFont="1"/>
    <xf numFmtId="0" fontId="30" fillId="0" borderId="0" xfId="20" applyNumberFormat="1" applyFont="1" applyAlignment="1">
      <alignment horizontal="center"/>
    </xf>
    <xf numFmtId="41" fontId="30" fillId="0" borderId="0" xfId="7" applyNumberFormat="1" applyFont="1" applyFill="1"/>
    <xf numFmtId="0" fontId="55" fillId="0" borderId="0" xfId="0" applyFont="1" applyAlignment="1">
      <alignment horizontal="left" vertical="top" wrapText="1"/>
    </xf>
    <xf numFmtId="0" fontId="55" fillId="0" borderId="0" xfId="0" applyFont="1" applyAlignment="1">
      <alignment horizontal="left" vertical="top"/>
    </xf>
    <xf numFmtId="0" fontId="62" fillId="0" borderId="0" xfId="5" applyNumberFormat="1" applyFont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0" xfId="0" applyFont="1" applyFill="1"/>
    <xf numFmtId="37" fontId="33" fillId="0" borderId="0" xfId="20" applyNumberFormat="1" applyFont="1" applyFill="1"/>
    <xf numFmtId="41" fontId="57" fillId="0" borderId="0" xfId="7" applyNumberFormat="1" applyFont="1" applyFill="1"/>
    <xf numFmtId="37" fontId="33" fillId="0" borderId="22" xfId="5" applyNumberFormat="1" applyFont="1" applyFill="1" applyBorder="1" applyAlignment="1">
      <alignment horizontal="left"/>
    </xf>
    <xf numFmtId="0" fontId="33" fillId="0" borderId="22" xfId="0" applyFont="1" applyFill="1" applyBorder="1" applyAlignment="1">
      <alignment horizontal="left"/>
    </xf>
    <xf numFmtId="10" fontId="33" fillId="0" borderId="0" xfId="7" applyNumberFormat="1" applyFont="1" applyFill="1" applyBorder="1" applyAlignment="1">
      <alignment horizontal="right"/>
    </xf>
    <xf numFmtId="10" fontId="33" fillId="0" borderId="23" xfId="7" applyNumberFormat="1" applyFont="1" applyFill="1" applyBorder="1" applyAlignment="1">
      <alignment horizontal="right"/>
    </xf>
    <xf numFmtId="10" fontId="65" fillId="0" borderId="0" xfId="7" applyNumberFormat="1" applyFont="1" applyFill="1" applyBorder="1" applyAlignment="1">
      <alignment horizontal="right"/>
    </xf>
    <xf numFmtId="10" fontId="65" fillId="0" borderId="23" xfId="7" applyNumberFormat="1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0" fontId="33" fillId="0" borderId="23" xfId="0" applyFont="1" applyFill="1" applyBorder="1" applyAlignment="1">
      <alignment horizontal="right"/>
    </xf>
    <xf numFmtId="10" fontId="33" fillId="0" borderId="16" xfId="7" applyNumberFormat="1" applyFont="1" applyFill="1" applyBorder="1" applyAlignment="1">
      <alignment horizontal="right"/>
    </xf>
    <xf numFmtId="10" fontId="33" fillId="0" borderId="35" xfId="7" applyNumberFormat="1" applyFont="1" applyFill="1" applyBorder="1" applyAlignment="1">
      <alignment horizontal="right"/>
    </xf>
    <xf numFmtId="10" fontId="33" fillId="0" borderId="10" xfId="7" applyNumberFormat="1" applyFont="1" applyFill="1" applyBorder="1" applyAlignment="1">
      <alignment horizontal="right"/>
    </xf>
    <xf numFmtId="10" fontId="33" fillId="0" borderId="34" xfId="7" applyNumberFormat="1" applyFont="1" applyFill="1" applyBorder="1" applyAlignment="1">
      <alignment horizontal="right"/>
    </xf>
    <xf numFmtId="178" fontId="65" fillId="0" borderId="23" xfId="7" applyNumberFormat="1" applyFont="1" applyFill="1" applyBorder="1" applyAlignment="1">
      <alignment horizontal="right"/>
    </xf>
    <xf numFmtId="41" fontId="6" fillId="0" borderId="0" xfId="20" applyNumberFormat="1" applyFont="1" applyFill="1" applyBorder="1" applyAlignment="1"/>
    <xf numFmtId="41" fontId="6" fillId="9" borderId="0" xfId="20" applyNumberFormat="1" applyFont="1" applyFill="1" applyBorder="1" applyAlignment="1"/>
    <xf numFmtId="0" fontId="4" fillId="9" borderId="0" xfId="6" applyFont="1" applyFill="1" applyAlignment="1">
      <alignment horizontal="center"/>
    </xf>
    <xf numFmtId="41" fontId="6" fillId="9" borderId="0" xfId="20" quotePrefix="1" applyNumberFormat="1" applyFont="1" applyFill="1" applyBorder="1" applyAlignment="1">
      <alignment horizontal="center"/>
    </xf>
    <xf numFmtId="0" fontId="6" fillId="9" borderId="0" xfId="20" applyFont="1" applyFill="1" applyAlignment="1">
      <alignment horizontal="center"/>
    </xf>
    <xf numFmtId="0" fontId="6" fillId="9" borderId="0" xfId="20" applyFont="1" applyFill="1" applyAlignment="1">
      <alignment horizontal="right"/>
    </xf>
    <xf numFmtId="0" fontId="6" fillId="0" borderId="0" xfId="20" applyFont="1" applyFill="1" applyBorder="1" applyAlignment="1">
      <alignment horizontal="right"/>
    </xf>
    <xf numFmtId="0" fontId="6" fillId="0" borderId="0" xfId="20" applyFont="1" applyAlignment="1">
      <alignment horizontal="center"/>
    </xf>
    <xf numFmtId="0" fontId="4" fillId="0" borderId="0" xfId="20" applyFont="1"/>
    <xf numFmtId="0" fontId="6" fillId="0" borderId="0" xfId="6" applyFont="1" applyFill="1" applyBorder="1" applyAlignment="1">
      <alignment horizontal="center"/>
    </xf>
    <xf numFmtId="3" fontId="6" fillId="9" borderId="1" xfId="6" applyNumberFormat="1" applyFont="1" applyFill="1" applyBorder="1" applyAlignment="1">
      <alignment horizontal="center"/>
    </xf>
    <xf numFmtId="41" fontId="6" fillId="9" borderId="1" xfId="20" quotePrefix="1" applyNumberFormat="1" applyFont="1" applyFill="1" applyBorder="1" applyAlignment="1">
      <alignment horizontal="center"/>
    </xf>
    <xf numFmtId="3" fontId="6" fillId="9" borderId="4" xfId="6" applyNumberFormat="1" applyFont="1" applyFill="1" applyBorder="1" applyAlignment="1">
      <alignment horizontal="center"/>
    </xf>
    <xf numFmtId="3" fontId="6" fillId="9" borderId="5" xfId="6" applyNumberFormat="1" applyFont="1" applyFill="1" applyBorder="1" applyAlignment="1">
      <alignment horizontal="center"/>
    </xf>
    <xf numFmtId="41" fontId="6" fillId="9" borderId="5" xfId="20" applyNumberFormat="1" applyFont="1" applyFill="1" applyBorder="1" applyAlignment="1">
      <alignment horizontal="center"/>
    </xf>
    <xf numFmtId="3" fontId="6" fillId="9" borderId="7" xfId="6" applyNumberFormat="1" applyFont="1" applyFill="1" applyBorder="1" applyAlignment="1">
      <alignment horizontal="center"/>
    </xf>
    <xf numFmtId="3" fontId="6" fillId="9" borderId="8" xfId="6" applyNumberFormat="1" applyFont="1" applyFill="1" applyBorder="1" applyAlignment="1">
      <alignment horizontal="center"/>
    </xf>
    <xf numFmtId="41" fontId="6" fillId="9" borderId="8" xfId="20" applyNumberFormat="1" applyFont="1" applyFill="1" applyBorder="1" applyAlignment="1">
      <alignment horizontal="center"/>
    </xf>
    <xf numFmtId="3" fontId="6" fillId="9" borderId="11" xfId="6" applyNumberFormat="1" applyFont="1" applyFill="1" applyBorder="1" applyAlignment="1">
      <alignment horizontal="center"/>
    </xf>
    <xf numFmtId="2" fontId="6" fillId="6" borderId="5" xfId="20" applyNumberFormat="1" applyFont="1" applyFill="1" applyBorder="1" applyAlignment="1">
      <alignment horizontal="center"/>
    </xf>
    <xf numFmtId="3" fontId="6" fillId="6" borderId="5" xfId="6" applyNumberFormat="1" applyFont="1" applyFill="1" applyBorder="1" applyAlignment="1">
      <alignment horizontal="center"/>
    </xf>
    <xf numFmtId="2" fontId="6" fillId="0" borderId="0" xfId="20" applyNumberFormat="1" applyFont="1" applyAlignment="1">
      <alignment horizontal="center"/>
    </xf>
    <xf numFmtId="3" fontId="6" fillId="6" borderId="5" xfId="6" applyNumberFormat="1" applyFont="1" applyFill="1" applyBorder="1"/>
    <xf numFmtId="41" fontId="6" fillId="0" borderId="0" xfId="20" applyNumberFormat="1" applyFont="1" applyFill="1" applyBorder="1"/>
    <xf numFmtId="42" fontId="4" fillId="0" borderId="0" xfId="4" applyNumberFormat="1" applyFont="1" applyFill="1"/>
    <xf numFmtId="42" fontId="6" fillId="6" borderId="5" xfId="6" applyNumberFormat="1" applyFont="1" applyFill="1" applyBorder="1"/>
    <xf numFmtId="41" fontId="4" fillId="0" borderId="0" xfId="4" applyNumberFormat="1" applyFont="1" applyFill="1"/>
    <xf numFmtId="41" fontId="6" fillId="6" borderId="5" xfId="6" applyNumberFormat="1" applyFont="1" applyFill="1" applyBorder="1"/>
    <xf numFmtId="41" fontId="4" fillId="0" borderId="10" xfId="4" applyNumberFormat="1" applyFont="1" applyFill="1" applyBorder="1"/>
    <xf numFmtId="41" fontId="6" fillId="6" borderId="8" xfId="6" applyNumberFormat="1" applyFont="1" applyFill="1" applyBorder="1"/>
    <xf numFmtId="41" fontId="4" fillId="0" borderId="0" xfId="4" applyNumberFormat="1" applyFont="1" applyFill="1" applyBorder="1"/>
    <xf numFmtId="41" fontId="4" fillId="0" borderId="0" xfId="20" applyNumberFormat="1" applyFont="1"/>
    <xf numFmtId="41" fontId="4" fillId="0" borderId="0" xfId="20" applyNumberFormat="1" applyFont="1" applyFill="1"/>
    <xf numFmtId="173" fontId="4" fillId="0" borderId="0" xfId="20" applyNumberFormat="1" applyFont="1"/>
    <xf numFmtId="173" fontId="4" fillId="0" borderId="0" xfId="1" applyNumberFormat="1" applyFont="1" applyFill="1"/>
    <xf numFmtId="41" fontId="4" fillId="0" borderId="10" xfId="20" applyNumberFormat="1" applyFont="1" applyBorder="1"/>
    <xf numFmtId="42" fontId="4" fillId="0" borderId="12" xfId="6" applyNumberFormat="1" applyFont="1" applyFill="1" applyBorder="1"/>
    <xf numFmtId="42" fontId="6" fillId="6" borderId="31" xfId="6" applyNumberFormat="1" applyFont="1" applyFill="1" applyBorder="1"/>
    <xf numFmtId="41" fontId="4" fillId="0" borderId="15" xfId="6" applyNumberFormat="1" applyFont="1" applyFill="1" applyBorder="1"/>
    <xf numFmtId="41" fontId="6" fillId="6" borderId="32" xfId="6" applyNumberFormat="1" applyFont="1" applyFill="1" applyBorder="1"/>
    <xf numFmtId="41" fontId="4" fillId="0" borderId="0" xfId="6" applyNumberFormat="1" applyFont="1" applyFill="1" applyBorder="1"/>
    <xf numFmtId="41" fontId="4" fillId="0" borderId="10" xfId="20" applyNumberFormat="1" applyFont="1" applyFill="1" applyBorder="1"/>
    <xf numFmtId="173" fontId="4" fillId="0" borderId="0" xfId="20" applyNumberFormat="1" applyFont="1" applyFill="1"/>
    <xf numFmtId="42" fontId="6" fillId="0" borderId="12" xfId="6" applyNumberFormat="1" applyFont="1" applyFill="1" applyBorder="1"/>
    <xf numFmtId="41" fontId="29" fillId="0" borderId="0" xfId="20" applyNumberFormat="1" applyFont="1" applyFill="1" applyBorder="1" applyAlignment="1">
      <alignment horizontal="left" vertical="top" wrapText="1"/>
    </xf>
    <xf numFmtId="41" fontId="29" fillId="0" borderId="0" xfId="20" applyNumberFormat="1" applyFont="1" applyFill="1" applyBorder="1" applyAlignment="1">
      <alignment vertical="top" wrapText="1"/>
    </xf>
    <xf numFmtId="10" fontId="29" fillId="0" borderId="0" xfId="7" applyNumberFormat="1" applyFont="1" applyFill="1" applyBorder="1" applyAlignment="1">
      <alignment horizontal="left" vertical="top" wrapText="1"/>
    </xf>
    <xf numFmtId="10" fontId="29" fillId="0" borderId="0" xfId="7" applyNumberFormat="1" applyFont="1" applyFill="1" applyBorder="1" applyAlignment="1">
      <alignment vertical="top" wrapText="1"/>
    </xf>
    <xf numFmtId="41" fontId="4" fillId="0" borderId="0" xfId="7" applyNumberFormat="1" applyFont="1" applyFill="1"/>
    <xf numFmtId="41" fontId="4" fillId="0" borderId="0" xfId="7" applyNumberFormat="1" applyFont="1" applyFill="1" applyBorder="1"/>
    <xf numFmtId="0" fontId="4" fillId="0" borderId="0" xfId="20" applyFont="1" applyFill="1"/>
    <xf numFmtId="0" fontId="4" fillId="0" borderId="0" xfId="20" applyFont="1" applyBorder="1"/>
    <xf numFmtId="0" fontId="4" fillId="0" borderId="0" xfId="20" applyFont="1" applyFill="1" applyBorder="1"/>
    <xf numFmtId="41" fontId="69" fillId="0" borderId="0" xfId="6" applyNumberFormat="1" applyFont="1" applyFill="1"/>
    <xf numFmtId="41" fontId="70" fillId="0" borderId="0" xfId="6" applyNumberFormat="1" applyFont="1" applyFill="1"/>
    <xf numFmtId="41" fontId="70" fillId="0" borderId="0" xfId="5" applyNumberFormat="1" applyFont="1" applyFill="1"/>
    <xf numFmtId="41" fontId="69" fillId="0" borderId="0" xfId="7" applyNumberFormat="1" applyFont="1" applyFill="1"/>
    <xf numFmtId="0" fontId="4" fillId="0" borderId="0" xfId="5" applyFont="1" applyFill="1"/>
    <xf numFmtId="10" fontId="4" fillId="0" borderId="0" xfId="7" applyNumberFormat="1" applyFont="1" applyFill="1"/>
    <xf numFmtId="179" fontId="4" fillId="0" borderId="0" xfId="5" applyNumberFormat="1" applyFont="1" applyFill="1"/>
    <xf numFmtId="180" fontId="30" fillId="0" borderId="0" xfId="5" applyNumberFormat="1" applyFont="1" applyFill="1"/>
    <xf numFmtId="41" fontId="11" fillId="0" borderId="0" xfId="7" applyNumberFormat="1" applyFont="1" applyFill="1"/>
    <xf numFmtId="3" fontId="6" fillId="0" borderId="18" xfId="6" applyNumberFormat="1" applyFont="1" applyFill="1" applyBorder="1"/>
    <xf numFmtId="0" fontId="57" fillId="0" borderId="0" xfId="0" applyFont="1" applyAlignment="1">
      <alignment horizontal="center"/>
    </xf>
    <xf numFmtId="37" fontId="4" fillId="0" borderId="0" xfId="20" applyNumberFormat="1" applyFont="1"/>
    <xf numFmtId="3" fontId="4" fillId="0" borderId="0" xfId="20" applyNumberFormat="1" applyFont="1" applyBorder="1"/>
    <xf numFmtId="0" fontId="71" fillId="0" borderId="0" xfId="20" applyNumberFormat="1" applyFont="1" applyAlignment="1">
      <alignment horizontal="left"/>
    </xf>
    <xf numFmtId="0" fontId="4" fillId="0" borderId="0" xfId="22" applyFont="1"/>
    <xf numFmtId="0" fontId="2" fillId="0" borderId="0" xfId="17"/>
    <xf numFmtId="0" fontId="4" fillId="0" borderId="0" xfId="22" applyNumberFormat="1" applyFont="1" applyAlignment="1">
      <alignment horizontal="center"/>
    </xf>
    <xf numFmtId="0" fontId="4" fillId="0" borderId="0" xfId="22" applyNumberFormat="1" applyFont="1" applyAlignment="1">
      <alignment horizontal="left"/>
    </xf>
    <xf numFmtId="0" fontId="2" fillId="0" borderId="0" xfId="17" applyAlignment="1">
      <alignment horizontal="center"/>
    </xf>
    <xf numFmtId="42" fontId="73" fillId="0" borderId="0" xfId="17" applyNumberFormat="1" applyFont="1"/>
    <xf numFmtId="42" fontId="2" fillId="0" borderId="0" xfId="17" applyNumberFormat="1"/>
    <xf numFmtId="0" fontId="2" fillId="0" borderId="0" xfId="17" applyBorder="1"/>
    <xf numFmtId="0" fontId="73" fillId="0" borderId="0" xfId="17" applyFont="1"/>
    <xf numFmtId="42" fontId="2" fillId="0" borderId="0" xfId="17" applyNumberFormat="1" applyBorder="1"/>
    <xf numFmtId="42" fontId="2" fillId="0" borderId="15" xfId="17" applyNumberFormat="1" applyBorder="1"/>
    <xf numFmtId="0" fontId="74" fillId="0" borderId="0" xfId="17" applyFont="1"/>
    <xf numFmtId="41" fontId="57" fillId="0" borderId="0" xfId="7" applyNumberFormat="1" applyFont="1" applyFill="1" applyBorder="1"/>
    <xf numFmtId="42" fontId="73" fillId="0" borderId="16" xfId="17" applyNumberFormat="1" applyFont="1" applyBorder="1"/>
    <xf numFmtId="169" fontId="10" fillId="0" borderId="0" xfId="0" applyNumberFormat="1" applyFont="1"/>
    <xf numFmtId="169" fontId="10" fillId="6" borderId="0" xfId="17" applyNumberFormat="1" applyFont="1" applyFill="1"/>
    <xf numFmtId="169" fontId="10" fillId="0" borderId="0" xfId="17" applyNumberFormat="1" applyFont="1"/>
    <xf numFmtId="169" fontId="16" fillId="0" borderId="0" xfId="0" applyNumberFormat="1" applyFont="1"/>
    <xf numFmtId="169" fontId="10" fillId="0" borderId="15" xfId="0" applyNumberFormat="1" applyFont="1" applyBorder="1"/>
    <xf numFmtId="169" fontId="10" fillId="9" borderId="0" xfId="0" applyNumberFormat="1" applyFont="1" applyFill="1"/>
    <xf numFmtId="169" fontId="10" fillId="9" borderId="16" xfId="0" applyNumberFormat="1" applyFont="1" applyFill="1" applyBorder="1"/>
    <xf numFmtId="42" fontId="6" fillId="6" borderId="8" xfId="6" applyNumberFormat="1" applyFont="1" applyFill="1" applyBorder="1"/>
    <xf numFmtId="3" fontId="6" fillId="2" borderId="10" xfId="6" applyNumberFormat="1" applyFont="1" applyFill="1" applyBorder="1"/>
    <xf numFmtId="41" fontId="6" fillId="2" borderId="10" xfId="5" applyNumberFormat="1" applyFont="1" applyFill="1" applyBorder="1"/>
    <xf numFmtId="41" fontId="6" fillId="0" borderId="10" xfId="5" applyNumberFormat="1" applyFont="1" applyFill="1" applyBorder="1"/>
    <xf numFmtId="3" fontId="6" fillId="0" borderId="10" xfId="6" applyNumberFormat="1" applyFont="1" applyFill="1" applyBorder="1"/>
    <xf numFmtId="41" fontId="30" fillId="0" borderId="10" xfId="5" applyNumberFormat="1" applyFont="1" applyFill="1" applyBorder="1"/>
    <xf numFmtId="41" fontId="4" fillId="0" borderId="10" xfId="5" applyNumberFormat="1" applyFont="1" applyFill="1" applyBorder="1"/>
    <xf numFmtId="41" fontId="70" fillId="0" borderId="10" xfId="5" applyNumberFormat="1" applyFont="1" applyFill="1" applyBorder="1"/>
    <xf numFmtId="0" fontId="4" fillId="0" borderId="10" xfId="6" applyFont="1" applyFill="1" applyBorder="1"/>
    <xf numFmtId="41" fontId="70" fillId="0" borderId="10" xfId="6" applyNumberFormat="1" applyFont="1" applyFill="1" applyBorder="1"/>
    <xf numFmtId="41" fontId="6" fillId="0" borderId="10" xfId="6" applyNumberFormat="1" applyFont="1" applyFill="1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0" borderId="5" xfId="0" applyNumberFormat="1" applyBorder="1" applyAlignment="1">
      <alignment horizontal="center"/>
    </xf>
    <xf numFmtId="10" fontId="0" fillId="0" borderId="0" xfId="0" applyNumberFormat="1" applyFill="1"/>
    <xf numFmtId="173" fontId="0" fillId="0" borderId="8" xfId="0" applyNumberFormat="1" applyBorder="1" applyAlignment="1">
      <alignment horizontal="center"/>
    </xf>
    <xf numFmtId="173" fontId="0" fillId="0" borderId="0" xfId="0" applyNumberFormat="1" applyBorder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73" fontId="0" fillId="0" borderId="3" xfId="0" applyNumberFormat="1" applyBorder="1"/>
    <xf numFmtId="9" fontId="0" fillId="0" borderId="0" xfId="0" applyNumberFormat="1"/>
    <xf numFmtId="0" fontId="0" fillId="0" borderId="10" xfId="0" applyBorder="1"/>
    <xf numFmtId="173" fontId="0" fillId="0" borderId="10" xfId="0" applyNumberFormat="1" applyBorder="1" applyAlignment="1">
      <alignment horizontal="center"/>
    </xf>
    <xf numFmtId="173" fontId="0" fillId="0" borderId="0" xfId="0" applyNumberFormat="1" applyFill="1"/>
    <xf numFmtId="174" fontId="0" fillId="10" borderId="30" xfId="2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 applyAlignment="1">
      <alignment horizontal="right"/>
    </xf>
    <xf numFmtId="174" fontId="0" fillId="0" borderId="11" xfId="0" applyNumberFormat="1" applyBorder="1"/>
    <xf numFmtId="0" fontId="0" fillId="0" borderId="10" xfId="0" applyBorder="1" applyAlignment="1">
      <alignment horizontal="center"/>
    </xf>
    <xf numFmtId="0" fontId="75" fillId="0" borderId="0" xfId="0" applyFont="1"/>
    <xf numFmtId="42" fontId="75" fillId="0" borderId="0" xfId="0" applyNumberFormat="1" applyFont="1"/>
    <xf numFmtId="42" fontId="2" fillId="0" borderId="0" xfId="0" applyNumberFormat="1" applyFont="1"/>
    <xf numFmtId="0" fontId="73" fillId="0" borderId="0" xfId="0" applyFont="1"/>
    <xf numFmtId="0" fontId="2" fillId="0" borderId="26" xfId="17" applyBorder="1"/>
    <xf numFmtId="42" fontId="2" fillId="0" borderId="26" xfId="17" applyNumberFormat="1" applyBorder="1"/>
    <xf numFmtId="0" fontId="0" fillId="0" borderId="0" xfId="0" applyAlignment="1"/>
    <xf numFmtId="0" fontId="31" fillId="0" borderId="0" xfId="5" applyNumberFormat="1" applyFont="1" applyAlignment="1">
      <alignment horizontal="left"/>
    </xf>
    <xf numFmtId="42" fontId="73" fillId="0" borderId="16" xfId="17" applyNumberFormat="1" applyFont="1" applyFill="1" applyBorder="1"/>
    <xf numFmtId="173" fontId="1" fillId="0" borderId="0" xfId="1" applyNumberFormat="1" applyFont="1" applyFill="1"/>
    <xf numFmtId="10" fontId="1" fillId="0" borderId="0" xfId="0" applyNumberFormat="1" applyFont="1" applyFill="1"/>
    <xf numFmtId="0" fontId="56" fillId="0" borderId="0" xfId="17" applyFont="1"/>
    <xf numFmtId="0" fontId="0" fillId="0" borderId="0" xfId="0" applyBorder="1" applyAlignment="1">
      <alignment horizontal="center"/>
    </xf>
    <xf numFmtId="42" fontId="2" fillId="0" borderId="0" xfId="17" applyNumberFormat="1" applyBorder="1" applyAlignment="1">
      <alignment horizontal="right"/>
    </xf>
    <xf numFmtId="41" fontId="32" fillId="6" borderId="13" xfId="0" quotePrefix="1" applyNumberFormat="1" applyFont="1" applyFill="1" applyBorder="1" applyAlignment="1">
      <alignment horizontal="center"/>
    </xf>
    <xf numFmtId="41" fontId="32" fillId="6" borderId="15" xfId="0" quotePrefix="1" applyNumberFormat="1" applyFont="1" applyFill="1" applyBorder="1" applyAlignment="1">
      <alignment horizontal="center"/>
    </xf>
    <xf numFmtId="41" fontId="32" fillId="6" borderId="14" xfId="0" quotePrefix="1" applyNumberFormat="1" applyFont="1" applyFill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2" xfId="0" applyFont="1" applyBorder="1" applyAlignment="1">
      <alignment horizontal="center"/>
    </xf>
    <xf numFmtId="0" fontId="62" fillId="0" borderId="4" xfId="0" applyFont="1" applyBorder="1" applyAlignment="1">
      <alignment horizontal="center"/>
    </xf>
    <xf numFmtId="0" fontId="62" fillId="0" borderId="9" xfId="0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5" borderId="1" xfId="0" applyFont="1" applyFill="1" applyBorder="1" applyAlignment="1">
      <alignment horizontal="center" wrapText="1"/>
    </xf>
    <xf numFmtId="0" fontId="62" fillId="5" borderId="8" xfId="0" applyFont="1" applyFill="1" applyBorder="1" applyAlignment="1">
      <alignment horizontal="center" wrapText="1"/>
    </xf>
    <xf numFmtId="0" fontId="62" fillId="0" borderId="0" xfId="0" applyFont="1" applyFill="1" applyAlignment="1">
      <alignment horizontal="center"/>
    </xf>
    <xf numFmtId="0" fontId="62" fillId="0" borderId="0" xfId="5" applyNumberFormat="1" applyFont="1" applyAlignment="1">
      <alignment horizontal="center"/>
    </xf>
    <xf numFmtId="0" fontId="5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5" fillId="0" borderId="0" xfId="0" applyFont="1" applyAlignment="1">
      <alignment horizontal="left" vertical="top" wrapText="1"/>
    </xf>
    <xf numFmtId="41" fontId="29" fillId="0" borderId="0" xfId="20" applyNumberFormat="1" applyFont="1" applyFill="1" applyBorder="1" applyAlignment="1">
      <alignment horizontal="left" vertical="top" wrapText="1"/>
    </xf>
    <xf numFmtId="10" fontId="29" fillId="0" borderId="0" xfId="7" applyNumberFormat="1" applyFont="1" applyFill="1" applyBorder="1" applyAlignment="1">
      <alignment horizontal="left" vertical="top" wrapText="1"/>
    </xf>
    <xf numFmtId="0" fontId="72" fillId="0" borderId="0" xfId="17" applyFont="1" applyAlignment="1">
      <alignment horizontal="center"/>
    </xf>
    <xf numFmtId="0" fontId="73" fillId="0" borderId="26" xfId="17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55" fillId="0" borderId="10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7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8" xfId="13" applyFont="1" applyBorder="1" applyAlignment="1">
      <alignment horizontal="center"/>
    </xf>
    <xf numFmtId="0" fontId="10" fillId="0" borderId="29" xfId="13" applyFont="1" applyBorder="1" applyAlignment="1">
      <alignment horizontal="center"/>
    </xf>
    <xf numFmtId="0" fontId="10" fillId="0" borderId="30" xfId="13" applyFont="1" applyBorder="1" applyAlignment="1">
      <alignment horizontal="center"/>
    </xf>
    <xf numFmtId="4" fontId="36" fillId="0" borderId="0" xfId="13" applyNumberFormat="1" applyFont="1" applyBorder="1" applyAlignment="1">
      <alignment horizontal="center"/>
    </xf>
    <xf numFmtId="4" fontId="11" fillId="0" borderId="0" xfId="13" applyNumberFormat="1" applyFont="1" applyBorder="1" applyAlignment="1">
      <alignment horizontal="center"/>
    </xf>
    <xf numFmtId="4" fontId="37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1" fontId="26" fillId="6" borderId="13" xfId="0" quotePrefix="1" applyNumberFormat="1" applyFont="1" applyFill="1" applyBorder="1" applyAlignment="1">
      <alignment horizontal="center"/>
    </xf>
    <xf numFmtId="41" fontId="26" fillId="6" borderId="15" xfId="0" quotePrefix="1" applyNumberFormat="1" applyFont="1" applyFill="1" applyBorder="1" applyAlignment="1">
      <alignment horizontal="center"/>
    </xf>
    <xf numFmtId="41" fontId="26" fillId="6" borderId="14" xfId="0" quotePrefix="1" applyNumberFormat="1" applyFont="1" applyFill="1" applyBorder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101</xdr:row>
      <xdr:rowOff>144993</xdr:rowOff>
    </xdr:from>
    <xdr:to>
      <xdr:col>25</xdr:col>
      <xdr:colOff>38101</xdr:colOff>
      <xdr:row>115</xdr:row>
      <xdr:rowOff>63500</xdr:rowOff>
    </xdr:to>
    <xdr:sp macro="" textlink="">
      <xdr:nvSpPr>
        <xdr:cNvPr id="3" name="TextBox 2"/>
        <xdr:cNvSpPr txBox="1"/>
      </xdr:nvSpPr>
      <xdr:spPr>
        <a:xfrm>
          <a:off x="9182100" y="15359593"/>
          <a:ext cx="7429501" cy="19632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12/31/2016 Test Period Commission Basis results of operation on a normalized basis (CBR basis). Difference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exists due to inclusion of proposed cost of debt (pro forma versus CBR cost of debt) impacting Adjustment 2.15 above</a:t>
          </a:r>
          <a:endParaRPr lang="en-US" sz="6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xh%20JH-2%20Electric%20RR.%20TCJA%203-6-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JA"/>
      <sheetName val="PROPOSED RATES-2018"/>
      <sheetName val="RR SUMMARY"/>
      <sheetName val="CF "/>
      <sheetName val="Acerno_Cache_XXXXX"/>
      <sheetName val="ADJ DETAIL-INPUT"/>
      <sheetName val="COMPARISON"/>
      <sheetName val="LEAD SHEETS-DO NOT ENTER"/>
      <sheetName val="ADJ SUMMARY"/>
      <sheetName val="ROO INPUT"/>
      <sheetName val="DEBT CALC"/>
      <sheetName val="RETAIL REVENUE CREDIT-not used"/>
      <sheetName val="PROPOSED RATES-2019-not used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 xml:space="preserve">AVISTA UTILITIES  </v>
          </cell>
        </row>
        <row r="3">
          <cell r="A3" t="str">
            <v xml:space="preserve">WASHINGTON ELECTRIC RESULTS </v>
          </cell>
        </row>
        <row r="4">
          <cell r="A4" t="str">
            <v>TWELVE MONTHS ENDED DECEMBER 31, 2016</v>
          </cell>
        </row>
        <row r="5">
          <cell r="A5" t="str">
            <v xml:space="preserve">(000'S OF DOLLARS) 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Q119"/>
  <sheetViews>
    <sheetView zoomScaleNormal="100" zoomScaleSheetLayoutView="70" workbookViewId="0">
      <selection activeCell="F37" sqref="F37"/>
    </sheetView>
  </sheetViews>
  <sheetFormatPr defaultColWidth="9.21875" defaultRowHeight="13.2"/>
  <cols>
    <col min="1" max="1" width="4.77734375" style="61" customWidth="1"/>
    <col min="2" max="3" width="1.77734375" style="59" customWidth="1"/>
    <col min="4" max="4" width="2.77734375" style="59" customWidth="1"/>
    <col min="5" max="5" width="33.5546875" style="37" customWidth="1"/>
    <col min="6" max="6" width="18.77734375" style="37" customWidth="1"/>
    <col min="7" max="7" width="15.5546875" style="37" customWidth="1"/>
    <col min="8" max="8" width="16.21875" style="37" customWidth="1"/>
    <col min="9" max="9" width="17.44140625" style="37" customWidth="1"/>
    <col min="10" max="10" width="16.44140625" style="35" customWidth="1"/>
    <col min="11" max="12" width="9" style="35" customWidth="1"/>
    <col min="13" max="13" width="9.21875" style="35"/>
    <col min="14" max="14" width="9.77734375" style="35" bestFit="1" customWidth="1"/>
    <col min="15" max="16" width="9.21875" style="35"/>
    <col min="17" max="17" width="11.21875" style="35" bestFit="1" customWidth="1"/>
    <col min="18" max="30" width="9.21875" style="35"/>
    <col min="31" max="31" width="14.77734375" style="35" customWidth="1"/>
    <col min="32" max="32" width="13" style="35" customWidth="1"/>
    <col min="33" max="16384" width="9.21875" style="35"/>
  </cols>
  <sheetData>
    <row r="1" spans="1:43">
      <c r="A1" s="611"/>
      <c r="B1" s="612"/>
      <c r="C1" s="612"/>
      <c r="D1" s="612"/>
      <c r="E1" s="613"/>
      <c r="F1" s="613"/>
      <c r="G1" s="613"/>
      <c r="H1" s="613"/>
      <c r="I1" s="613"/>
      <c r="J1" s="439"/>
      <c r="K1" s="439"/>
      <c r="L1" s="439"/>
      <c r="M1" s="439"/>
      <c r="N1" s="439"/>
      <c r="O1" s="439"/>
      <c r="P1" s="439"/>
      <c r="Q1" s="439"/>
    </row>
    <row r="2" spans="1:43">
      <c r="A2" s="614" t="str">
        <f>'ROO INPUT'!A3:C3</f>
        <v>AVISTA UTILITIES</v>
      </c>
      <c r="B2" s="612"/>
      <c r="C2" s="612"/>
      <c r="D2" s="611"/>
      <c r="E2" s="613"/>
      <c r="F2" s="507"/>
      <c r="G2" s="507"/>
      <c r="H2" s="613"/>
      <c r="I2" s="613"/>
      <c r="J2" s="439"/>
      <c r="K2" s="439"/>
      <c r="L2" s="439"/>
      <c r="M2" s="439"/>
      <c r="N2" s="439"/>
      <c r="O2" s="439"/>
      <c r="P2" s="439"/>
      <c r="Q2" s="439"/>
    </row>
    <row r="3" spans="1:43" ht="15" customHeight="1">
      <c r="A3" s="614" t="str">
        <f>'ADJ DETAIL INPUT'!A3</f>
        <v>WASHINGTON NATURAL GAS RESULTS</v>
      </c>
      <c r="B3" s="612"/>
      <c r="C3" s="612"/>
      <c r="D3" s="611"/>
      <c r="E3" s="613"/>
      <c r="F3" s="613"/>
      <c r="G3" s="615"/>
      <c r="H3" s="616"/>
      <c r="I3" s="616"/>
      <c r="J3" s="449"/>
      <c r="K3" s="449"/>
      <c r="L3" s="449"/>
      <c r="M3" s="449"/>
      <c r="N3" s="449"/>
      <c r="O3" s="439"/>
      <c r="P3" s="439"/>
      <c r="Q3" s="439"/>
    </row>
    <row r="4" spans="1:43">
      <c r="A4" s="614" t="str">
        <f>'ROO INPUT'!A5:C5</f>
        <v>TWELVE MONTHS ENDED DECEMBER 31, 2016</v>
      </c>
      <c r="B4" s="612"/>
      <c r="C4" s="612"/>
      <c r="D4" s="611"/>
      <c r="E4" s="613"/>
      <c r="F4" s="613"/>
      <c r="G4" s="613"/>
      <c r="H4" s="613"/>
      <c r="I4" s="613"/>
      <c r="J4" s="439"/>
      <c r="K4" s="439"/>
      <c r="L4" s="439"/>
      <c r="M4" s="439"/>
      <c r="N4" s="439"/>
      <c r="O4" s="439"/>
      <c r="P4" s="439"/>
      <c r="Q4" s="439"/>
    </row>
    <row r="5" spans="1:43" ht="13.8" thickBot="1">
      <c r="A5" s="614" t="str">
        <f>'ROO INPUT'!A6:C6</f>
        <v xml:space="preserve">(000'S OF DOLLARS)   </v>
      </c>
      <c r="B5" s="612"/>
      <c r="C5" s="612"/>
      <c r="D5" s="611"/>
      <c r="E5" s="613"/>
      <c r="F5" s="613"/>
      <c r="G5" s="613"/>
      <c r="H5" s="613"/>
      <c r="I5" s="613"/>
      <c r="J5" s="439"/>
      <c r="K5" s="439"/>
      <c r="L5" s="439"/>
      <c r="M5" s="439"/>
      <c r="N5" s="439"/>
      <c r="O5" s="439"/>
      <c r="P5" s="439"/>
      <c r="Q5" s="439"/>
    </row>
    <row r="6" spans="1:43" ht="13.8">
      <c r="A6" s="617"/>
      <c r="B6" s="618"/>
      <c r="C6" s="618"/>
      <c r="D6" s="617"/>
      <c r="E6" s="619"/>
      <c r="F6" s="932" t="s">
        <v>538</v>
      </c>
      <c r="G6" s="933"/>
      <c r="H6" s="933"/>
      <c r="I6" s="933"/>
      <c r="J6" s="934"/>
      <c r="K6" s="439"/>
      <c r="L6" s="439"/>
      <c r="M6" s="439"/>
      <c r="N6" s="439"/>
      <c r="O6" s="439"/>
      <c r="P6" s="439"/>
      <c r="Q6" s="439"/>
      <c r="AD6" s="95"/>
      <c r="AE6" s="302"/>
      <c r="AF6" s="303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</row>
    <row r="7" spans="1:43" ht="13.8">
      <c r="A7" s="620"/>
      <c r="B7" s="620"/>
      <c r="C7" s="621"/>
      <c r="D7" s="621"/>
      <c r="E7" s="620"/>
      <c r="F7" s="622" t="s">
        <v>150</v>
      </c>
      <c r="G7" s="623"/>
      <c r="H7" s="624"/>
      <c r="I7" s="624" t="s">
        <v>539</v>
      </c>
      <c r="J7" s="624"/>
      <c r="K7" s="439"/>
      <c r="L7" s="439"/>
      <c r="M7" s="439"/>
      <c r="N7" s="439"/>
      <c r="O7" s="439"/>
      <c r="P7" s="449"/>
      <c r="Q7" s="439"/>
      <c r="Y7" s="95"/>
      <c r="Z7" s="95"/>
      <c r="AD7" s="95"/>
      <c r="AE7" s="308"/>
      <c r="AF7" s="309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</row>
    <row r="8" spans="1:43" ht="13.8">
      <c r="A8" s="625"/>
      <c r="B8" s="626"/>
      <c r="C8" s="627"/>
      <c r="D8" s="628"/>
      <c r="E8" s="629"/>
      <c r="F8" s="630" t="s">
        <v>151</v>
      </c>
      <c r="G8" s="630"/>
      <c r="H8" s="631" t="s">
        <v>540</v>
      </c>
      <c r="I8" s="630" t="s">
        <v>152</v>
      </c>
      <c r="J8" s="631" t="s">
        <v>493</v>
      </c>
      <c r="K8" s="439"/>
      <c r="L8" s="439"/>
      <c r="M8" s="439"/>
      <c r="N8" s="439"/>
      <c r="O8" s="439"/>
      <c r="P8" s="439"/>
      <c r="Q8" s="439"/>
      <c r="AE8" s="304"/>
      <c r="AF8" s="305"/>
    </row>
    <row r="9" spans="1:43" ht="13.8">
      <c r="A9" s="632" t="s">
        <v>7</v>
      </c>
      <c r="B9" s="633"/>
      <c r="C9" s="634"/>
      <c r="D9" s="635"/>
      <c r="E9" s="636"/>
      <c r="F9" s="637" t="s">
        <v>8</v>
      </c>
      <c r="G9" s="637" t="s">
        <v>26</v>
      </c>
      <c r="H9" s="637" t="s">
        <v>463</v>
      </c>
      <c r="I9" s="637" t="s">
        <v>153</v>
      </c>
      <c r="J9" s="637" t="s">
        <v>152</v>
      </c>
      <c r="K9" s="439"/>
      <c r="L9" s="439"/>
      <c r="M9" s="439"/>
      <c r="N9" s="439"/>
      <c r="O9" s="439"/>
      <c r="P9" s="439"/>
      <c r="Q9" s="439"/>
      <c r="AE9" s="304"/>
      <c r="AF9" s="305"/>
    </row>
    <row r="10" spans="1:43" ht="13.8">
      <c r="A10" s="638" t="s">
        <v>16</v>
      </c>
      <c r="B10" s="639"/>
      <c r="C10" s="640"/>
      <c r="D10" s="641"/>
      <c r="E10" s="642" t="s">
        <v>17</v>
      </c>
      <c r="F10" s="643" t="s">
        <v>18</v>
      </c>
      <c r="G10" s="643" t="s">
        <v>120</v>
      </c>
      <c r="H10" s="643" t="s">
        <v>502</v>
      </c>
      <c r="I10" s="643" t="s">
        <v>154</v>
      </c>
      <c r="J10" s="643" t="s">
        <v>26</v>
      </c>
      <c r="K10" s="439"/>
      <c r="L10" s="439"/>
      <c r="M10" s="439"/>
      <c r="N10" s="439"/>
      <c r="O10" s="439"/>
      <c r="P10" s="439"/>
      <c r="Q10" s="439"/>
      <c r="AE10" s="304"/>
      <c r="AF10" s="305"/>
    </row>
    <row r="11" spans="1:43" ht="13.8">
      <c r="A11" s="644"/>
      <c r="B11" s="644"/>
      <c r="C11" s="645"/>
      <c r="D11" s="645"/>
      <c r="E11" s="645" t="s">
        <v>27</v>
      </c>
      <c r="F11" s="646" t="s">
        <v>28</v>
      </c>
      <c r="G11" s="646" t="s">
        <v>29</v>
      </c>
      <c r="H11" s="646" t="s">
        <v>30</v>
      </c>
      <c r="I11" s="646" t="s">
        <v>31</v>
      </c>
      <c r="J11" s="646" t="s">
        <v>32</v>
      </c>
      <c r="K11" s="439"/>
      <c r="L11" s="439"/>
      <c r="M11" s="439"/>
      <c r="N11" s="439"/>
      <c r="O11" s="439"/>
      <c r="P11" s="439"/>
      <c r="Q11" s="439"/>
      <c r="AE11" s="304"/>
      <c r="AF11" s="305"/>
    </row>
    <row r="12" spans="1:43" ht="3.75" customHeight="1">
      <c r="A12" s="644"/>
      <c r="B12" s="644"/>
      <c r="C12" s="645"/>
      <c r="D12" s="645"/>
      <c r="E12" s="645"/>
      <c r="F12" s="646"/>
      <c r="G12" s="646"/>
      <c r="H12" s="646"/>
      <c r="I12" s="646"/>
      <c r="J12" s="646"/>
      <c r="K12" s="439"/>
      <c r="L12" s="439"/>
      <c r="M12" s="439"/>
      <c r="N12" s="439"/>
      <c r="O12" s="439"/>
      <c r="P12" s="439"/>
      <c r="Q12" s="439"/>
      <c r="AE12" s="304"/>
      <c r="AF12" s="305"/>
    </row>
    <row r="13" spans="1:43" ht="2.25" customHeight="1">
      <c r="A13" s="644"/>
      <c r="B13" s="644"/>
      <c r="C13" s="645"/>
      <c r="D13" s="645"/>
      <c r="E13" s="645"/>
      <c r="F13" s="646"/>
      <c r="G13" s="646"/>
      <c r="H13" s="646"/>
      <c r="I13" s="646"/>
      <c r="J13" s="646"/>
      <c r="K13" s="439"/>
      <c r="L13" s="439"/>
      <c r="M13" s="439"/>
      <c r="N13" s="439"/>
      <c r="O13" s="439"/>
      <c r="P13" s="439"/>
      <c r="Q13" s="439"/>
      <c r="AE13" s="304"/>
      <c r="AF13" s="305"/>
    </row>
    <row r="14" spans="1:43" ht="13.8">
      <c r="A14" s="647"/>
      <c r="B14" s="648" t="s">
        <v>33</v>
      </c>
      <c r="C14" s="648"/>
      <c r="D14" s="648"/>
      <c r="E14" s="648"/>
      <c r="F14" s="649"/>
      <c r="G14" s="649"/>
      <c r="H14" s="619"/>
      <c r="I14" s="619"/>
      <c r="J14" s="619"/>
      <c r="K14" s="439"/>
      <c r="L14" s="439"/>
      <c r="M14" s="439"/>
      <c r="N14" s="439"/>
      <c r="O14" s="439"/>
      <c r="P14" s="439"/>
      <c r="Q14" s="439"/>
      <c r="AE14" s="304"/>
      <c r="AF14" s="305"/>
    </row>
    <row r="15" spans="1:43" ht="13.8">
      <c r="A15" s="647">
        <v>1</v>
      </c>
      <c r="B15" s="650"/>
      <c r="C15" s="650" t="s">
        <v>34</v>
      </c>
      <c r="D15" s="650"/>
      <c r="E15" s="650"/>
      <c r="F15" s="651">
        <f>'ADJ DETAIL INPUT'!E15</f>
        <v>146098</v>
      </c>
      <c r="G15" s="651">
        <f>H15-F15</f>
        <v>-61799</v>
      </c>
      <c r="H15" s="651">
        <f>+'ADJ DETAIL INPUT'!AS15</f>
        <v>84299</v>
      </c>
      <c r="I15" s="652">
        <f>CF!J12</f>
        <v>-4135</v>
      </c>
      <c r="J15" s="651">
        <f>H15+I15</f>
        <v>80164</v>
      </c>
      <c r="K15" s="439"/>
      <c r="L15" s="439"/>
      <c r="M15" s="439"/>
      <c r="N15" s="439"/>
      <c r="O15" s="439"/>
      <c r="P15" s="439"/>
      <c r="Q15" s="439"/>
      <c r="AE15" s="304"/>
      <c r="AF15" s="305"/>
    </row>
    <row r="16" spans="1:43" ht="13.8">
      <c r="A16" s="647">
        <v>2</v>
      </c>
      <c r="B16" s="648"/>
      <c r="C16" s="434" t="s">
        <v>35</v>
      </c>
      <c r="D16" s="434"/>
      <c r="E16" s="434"/>
      <c r="F16" s="653">
        <f>'ADJ DETAIL INPUT'!E16</f>
        <v>4595</v>
      </c>
      <c r="G16" s="653">
        <f>H16-F16</f>
        <v>-62</v>
      </c>
      <c r="H16" s="651">
        <f>+'ADJ DETAIL INPUT'!AS16</f>
        <v>4533</v>
      </c>
      <c r="I16" s="653"/>
      <c r="J16" s="653">
        <f>H16+I16</f>
        <v>4533</v>
      </c>
      <c r="K16" s="439"/>
      <c r="L16" s="439"/>
      <c r="M16" s="439"/>
      <c r="N16" s="439"/>
      <c r="O16" s="439"/>
      <c r="P16" s="439"/>
      <c r="Q16" s="439"/>
      <c r="AE16" s="304"/>
      <c r="AF16" s="305"/>
    </row>
    <row r="17" spans="1:32" ht="13.8">
      <c r="A17" s="647">
        <v>3</v>
      </c>
      <c r="B17" s="648"/>
      <c r="C17" s="434" t="s">
        <v>36</v>
      </c>
      <c r="D17" s="434"/>
      <c r="E17" s="434"/>
      <c r="F17" s="654">
        <f>'ADJ DETAIL INPUT'!E17</f>
        <v>69723</v>
      </c>
      <c r="G17" s="654">
        <f>H17-F17</f>
        <v>-69479</v>
      </c>
      <c r="H17" s="655">
        <f>+'ADJ DETAIL INPUT'!AS17</f>
        <v>244</v>
      </c>
      <c r="I17" s="654"/>
      <c r="J17" s="654">
        <f>H17+I17</f>
        <v>244</v>
      </c>
      <c r="K17" s="439"/>
      <c r="L17" s="439"/>
      <c r="M17" s="439"/>
      <c r="N17" s="439"/>
      <c r="O17" s="439"/>
      <c r="P17" s="439"/>
      <c r="Q17" s="439"/>
      <c r="AE17" s="304"/>
      <c r="AF17" s="305"/>
    </row>
    <row r="18" spans="1:32" ht="13.8">
      <c r="A18" s="647">
        <v>4</v>
      </c>
      <c r="B18" s="648" t="s">
        <v>37</v>
      </c>
      <c r="C18" s="434"/>
      <c r="D18" s="434"/>
      <c r="E18" s="434"/>
      <c r="F18" s="653">
        <f>SUM(F15:F17)</f>
        <v>220416</v>
      </c>
      <c r="G18" s="653">
        <f t="shared" ref="G18:J18" si="0">SUM(G15:G17)</f>
        <v>-131340</v>
      </c>
      <c r="H18" s="653">
        <f t="shared" si="0"/>
        <v>89076</v>
      </c>
      <c r="I18" s="653">
        <f t="shared" si="0"/>
        <v>-4135</v>
      </c>
      <c r="J18" s="653">
        <f t="shared" si="0"/>
        <v>84941</v>
      </c>
      <c r="K18" s="439"/>
      <c r="L18" s="439"/>
      <c r="M18" s="439"/>
      <c r="N18" s="439"/>
      <c r="O18" s="439"/>
      <c r="P18" s="439"/>
      <c r="Q18" s="439"/>
      <c r="AE18" s="304"/>
      <c r="AF18" s="305"/>
    </row>
    <row r="19" spans="1:32" ht="4.5" customHeight="1">
      <c r="A19" s="647"/>
      <c r="B19" s="648"/>
      <c r="C19" s="434"/>
      <c r="D19" s="434"/>
      <c r="E19" s="434"/>
      <c r="F19" s="653"/>
      <c r="G19" s="653"/>
      <c r="H19" s="653"/>
      <c r="I19" s="653"/>
      <c r="J19" s="653"/>
      <c r="K19" s="439"/>
      <c r="L19" s="439"/>
      <c r="M19" s="439"/>
      <c r="N19" s="439"/>
      <c r="O19" s="439"/>
      <c r="P19" s="439"/>
      <c r="Q19" s="439"/>
      <c r="AE19" s="304"/>
      <c r="AF19" s="305"/>
    </row>
    <row r="20" spans="1:32" ht="13.8">
      <c r="A20" s="647"/>
      <c r="B20" s="648" t="s">
        <v>38</v>
      </c>
      <c r="C20" s="434"/>
      <c r="D20" s="434"/>
      <c r="E20" s="434"/>
      <c r="F20" s="653"/>
      <c r="G20" s="653"/>
      <c r="H20" s="653"/>
      <c r="I20" s="653"/>
      <c r="J20" s="653"/>
      <c r="K20" s="439"/>
      <c r="L20" s="439"/>
      <c r="M20" s="439"/>
      <c r="N20" s="439"/>
      <c r="O20" s="439"/>
      <c r="P20" s="439"/>
      <c r="Q20" s="439"/>
      <c r="AE20" s="304"/>
      <c r="AF20" s="305"/>
    </row>
    <row r="21" spans="1:32" ht="13.8">
      <c r="A21" s="647"/>
      <c r="B21" s="648"/>
      <c r="C21" s="434" t="s">
        <v>254</v>
      </c>
      <c r="D21" s="434"/>
      <c r="E21" s="434"/>
      <c r="F21" s="653"/>
      <c r="G21" s="653"/>
      <c r="H21" s="653"/>
      <c r="I21" s="653"/>
      <c r="J21" s="653"/>
      <c r="K21" s="439"/>
      <c r="L21" s="439"/>
      <c r="M21" s="439"/>
      <c r="N21" s="439"/>
      <c r="O21" s="439"/>
      <c r="P21" s="439"/>
      <c r="Q21" s="439"/>
      <c r="AE21" s="304"/>
      <c r="AF21" s="305"/>
    </row>
    <row r="22" spans="1:32" ht="13.8">
      <c r="A22" s="647">
        <v>5</v>
      </c>
      <c r="B22" s="648"/>
      <c r="C22" s="434"/>
      <c r="D22" s="434" t="s">
        <v>39</v>
      </c>
      <c r="E22" s="434"/>
      <c r="F22" s="653">
        <f>'ADJ DETAIL INPUT'!E22</f>
        <v>112605</v>
      </c>
      <c r="G22" s="653">
        <f>H22-F22</f>
        <v>-112605</v>
      </c>
      <c r="H22" s="651">
        <f>+'ADJ DETAIL INPUT'!AS22</f>
        <v>0</v>
      </c>
      <c r="I22" s="653"/>
      <c r="J22" s="653">
        <f>H22+I22</f>
        <v>0</v>
      </c>
      <c r="K22" s="439"/>
      <c r="L22" s="439"/>
      <c r="M22" s="439"/>
      <c r="N22" s="439"/>
      <c r="O22" s="439"/>
      <c r="P22" s="439"/>
      <c r="Q22" s="439"/>
      <c r="AE22" s="304"/>
      <c r="AF22" s="305"/>
    </row>
    <row r="23" spans="1:32" ht="13.8">
      <c r="A23" s="647">
        <v>6</v>
      </c>
      <c r="B23" s="648"/>
      <c r="C23" s="434"/>
      <c r="D23" s="434" t="s">
        <v>40</v>
      </c>
      <c r="E23" s="434"/>
      <c r="F23" s="653">
        <f>'ADJ DETAIL INPUT'!E23</f>
        <v>988</v>
      </c>
      <c r="G23" s="653">
        <f>H23-F23</f>
        <v>31</v>
      </c>
      <c r="H23" s="651">
        <f>+'ADJ DETAIL INPUT'!AS23</f>
        <v>1019</v>
      </c>
      <c r="I23" s="653"/>
      <c r="J23" s="653">
        <f>H23+I23</f>
        <v>1019</v>
      </c>
      <c r="K23" s="439"/>
      <c r="L23" s="439"/>
      <c r="M23" s="439"/>
      <c r="N23" s="439"/>
      <c r="O23" s="439"/>
      <c r="P23" s="439"/>
      <c r="Q23" s="439"/>
      <c r="AE23" s="304"/>
      <c r="AF23" s="305"/>
    </row>
    <row r="24" spans="1:32" ht="13.8">
      <c r="A24" s="647">
        <v>7</v>
      </c>
      <c r="B24" s="648"/>
      <c r="C24" s="434"/>
      <c r="D24" s="434" t="s">
        <v>41</v>
      </c>
      <c r="E24" s="434"/>
      <c r="F24" s="654">
        <f>'ADJ DETAIL INPUT'!E24</f>
        <v>2932</v>
      </c>
      <c r="G24" s="654">
        <f>H24-F24</f>
        <v>-2932</v>
      </c>
      <c r="H24" s="655">
        <f>+'ADJ DETAIL INPUT'!AS24</f>
        <v>0</v>
      </c>
      <c r="I24" s="654"/>
      <c r="J24" s="654">
        <f>H24+I24</f>
        <v>0</v>
      </c>
      <c r="K24" s="439"/>
      <c r="L24" s="439"/>
      <c r="M24" s="439"/>
      <c r="N24" s="439"/>
      <c r="O24" s="439"/>
      <c r="P24" s="439"/>
      <c r="Q24" s="439"/>
      <c r="AE24" s="304"/>
      <c r="AF24" s="305"/>
    </row>
    <row r="25" spans="1:32" ht="13.8">
      <c r="A25" s="647">
        <v>8</v>
      </c>
      <c r="B25" s="648"/>
      <c r="C25" s="434"/>
      <c r="D25" s="434"/>
      <c r="E25" s="434" t="s">
        <v>42</v>
      </c>
      <c r="F25" s="653">
        <f>SUM(F22:F24)</f>
        <v>116525</v>
      </c>
      <c r="G25" s="653">
        <f t="shared" ref="G25:J25" si="1">SUM(G22:G24)</f>
        <v>-115506</v>
      </c>
      <c r="H25" s="653">
        <f t="shared" si="1"/>
        <v>1019</v>
      </c>
      <c r="I25" s="653">
        <f t="shared" si="1"/>
        <v>0</v>
      </c>
      <c r="J25" s="653">
        <f t="shared" si="1"/>
        <v>1019</v>
      </c>
      <c r="K25" s="439"/>
      <c r="L25" s="439"/>
      <c r="M25" s="439"/>
      <c r="N25" s="439"/>
      <c r="O25" s="439"/>
      <c r="P25" s="439"/>
      <c r="Q25" s="439"/>
      <c r="AE25" s="304"/>
      <c r="AF25" s="305"/>
    </row>
    <row r="26" spans="1:32" ht="5.25" customHeight="1">
      <c r="A26" s="647"/>
      <c r="B26" s="648"/>
      <c r="C26" s="434"/>
      <c r="D26" s="434"/>
      <c r="E26" s="434"/>
      <c r="F26" s="653"/>
      <c r="G26" s="653"/>
      <c r="H26" s="656"/>
      <c r="I26" s="653"/>
      <c r="J26" s="653"/>
      <c r="K26" s="439"/>
      <c r="L26" s="439"/>
      <c r="M26" s="439"/>
      <c r="N26" s="439"/>
      <c r="O26" s="439"/>
      <c r="P26" s="439"/>
      <c r="Q26" s="439"/>
      <c r="AE26" s="304"/>
      <c r="AF26" s="305"/>
    </row>
    <row r="27" spans="1:32" ht="13.8">
      <c r="A27" s="647"/>
      <c r="B27" s="648"/>
      <c r="C27" s="434" t="s">
        <v>43</v>
      </c>
      <c r="D27" s="434"/>
      <c r="E27" s="434"/>
      <c r="F27" s="653"/>
      <c r="G27" s="653"/>
      <c r="H27" s="653"/>
      <c r="I27" s="653"/>
      <c r="J27" s="653"/>
      <c r="K27" s="439"/>
      <c r="L27" s="439"/>
      <c r="M27" s="439"/>
      <c r="N27" s="439"/>
      <c r="O27" s="439"/>
      <c r="P27" s="439"/>
      <c r="Q27" s="439"/>
      <c r="AE27" s="304"/>
      <c r="AF27" s="305"/>
    </row>
    <row r="28" spans="1:32" ht="13.8">
      <c r="A28" s="647">
        <v>9</v>
      </c>
      <c r="B28" s="648"/>
      <c r="C28" s="434"/>
      <c r="D28" s="434" t="s">
        <v>44</v>
      </c>
      <c r="E28" s="434"/>
      <c r="F28" s="653">
        <f>'ADJ DETAIL INPUT'!E28</f>
        <v>974</v>
      </c>
      <c r="G28" s="653">
        <f>H28-F28</f>
        <v>0</v>
      </c>
      <c r="H28" s="651">
        <f>+'ADJ DETAIL INPUT'!AS28</f>
        <v>974</v>
      </c>
      <c r="I28" s="653"/>
      <c r="J28" s="653">
        <f>H28+I28</f>
        <v>974</v>
      </c>
      <c r="K28" s="439"/>
      <c r="L28" s="439"/>
      <c r="M28" s="439"/>
      <c r="N28" s="439"/>
      <c r="O28" s="439"/>
      <c r="P28" s="439"/>
      <c r="Q28" s="439"/>
      <c r="AE28" s="304"/>
      <c r="AF28" s="305"/>
    </row>
    <row r="29" spans="1:32" ht="13.8">
      <c r="A29" s="647">
        <v>10</v>
      </c>
      <c r="B29" s="648"/>
      <c r="C29" s="434"/>
      <c r="D29" s="434" t="s">
        <v>45</v>
      </c>
      <c r="E29" s="434"/>
      <c r="F29" s="653">
        <f>'ADJ DETAIL INPUT'!E29</f>
        <v>492</v>
      </c>
      <c r="G29" s="653">
        <f>H29-F29</f>
        <v>0</v>
      </c>
      <c r="H29" s="651">
        <f>+'ADJ DETAIL INPUT'!AS29</f>
        <v>492</v>
      </c>
      <c r="I29" s="653"/>
      <c r="J29" s="653">
        <f>H29+I29</f>
        <v>492</v>
      </c>
      <c r="K29" s="439"/>
      <c r="L29" s="439"/>
      <c r="M29" s="439"/>
      <c r="N29" s="439"/>
      <c r="O29" s="439"/>
      <c r="P29" s="439"/>
      <c r="Q29" s="439"/>
      <c r="AE29" s="304"/>
      <c r="AF29" s="305"/>
    </row>
    <row r="30" spans="1:32" ht="13.8">
      <c r="A30" s="657">
        <v>11</v>
      </c>
      <c r="B30" s="648"/>
      <c r="C30" s="434"/>
      <c r="D30" s="434" t="s">
        <v>21</v>
      </c>
      <c r="E30" s="434"/>
      <c r="F30" s="654">
        <f>'ADJ DETAIL INPUT'!E30</f>
        <v>210</v>
      </c>
      <c r="G30" s="654">
        <f>H30-F30</f>
        <v>39</v>
      </c>
      <c r="H30" s="655">
        <f>+'ADJ DETAIL INPUT'!AS30</f>
        <v>249</v>
      </c>
      <c r="I30" s="654"/>
      <c r="J30" s="654">
        <f>H30+I30</f>
        <v>249</v>
      </c>
      <c r="K30" s="439"/>
      <c r="L30" s="439"/>
      <c r="M30" s="439"/>
      <c r="N30" s="439"/>
      <c r="O30" s="439"/>
      <c r="P30" s="439"/>
      <c r="Q30" s="439"/>
      <c r="AE30" s="304"/>
      <c r="AF30" s="305"/>
    </row>
    <row r="31" spans="1:32" ht="13.8">
      <c r="A31" s="647">
        <v>12</v>
      </c>
      <c r="B31" s="648"/>
      <c r="C31" s="434"/>
      <c r="D31" s="434"/>
      <c r="E31" s="434" t="s">
        <v>46</v>
      </c>
      <c r="F31" s="653">
        <f>SUM(F28:F30)</f>
        <v>1676</v>
      </c>
      <c r="G31" s="653">
        <f>SUM(G28:G30)</f>
        <v>39</v>
      </c>
      <c r="H31" s="653">
        <f>SUM(H28:H30)</f>
        <v>1715</v>
      </c>
      <c r="I31" s="653">
        <f>SUM(I28:I30)</f>
        <v>0</v>
      </c>
      <c r="J31" s="653">
        <f>SUM(J28:J30)</f>
        <v>1715</v>
      </c>
      <c r="K31" s="439"/>
      <c r="L31" s="439"/>
      <c r="M31" s="439"/>
      <c r="N31" s="439"/>
      <c r="O31" s="439"/>
      <c r="P31" s="439"/>
      <c r="Q31" s="439"/>
      <c r="AE31" s="304"/>
      <c r="AF31" s="305"/>
    </row>
    <row r="32" spans="1:32" ht="3" customHeight="1">
      <c r="A32" s="647"/>
      <c r="B32" s="648"/>
      <c r="C32" s="434"/>
      <c r="D32" s="434"/>
      <c r="E32" s="434"/>
      <c r="F32" s="653"/>
      <c r="G32" s="653"/>
      <c r="H32" s="656"/>
      <c r="I32" s="653"/>
      <c r="J32" s="653"/>
      <c r="K32" s="439"/>
      <c r="L32" s="439"/>
      <c r="M32" s="439"/>
      <c r="N32" s="439"/>
      <c r="O32" s="439"/>
      <c r="P32" s="439"/>
      <c r="Q32" s="439"/>
      <c r="AE32" s="304"/>
      <c r="AF32" s="305"/>
    </row>
    <row r="33" spans="1:32" ht="13.8">
      <c r="A33" s="647"/>
      <c r="B33" s="648"/>
      <c r="C33" s="434" t="s">
        <v>47</v>
      </c>
      <c r="D33" s="434"/>
      <c r="E33" s="434"/>
      <c r="F33" s="653"/>
      <c r="G33" s="653"/>
      <c r="H33" s="653"/>
      <c r="I33" s="653"/>
      <c r="J33" s="653"/>
      <c r="K33" s="439"/>
      <c r="L33" s="439"/>
      <c r="M33" s="439"/>
      <c r="N33" s="439"/>
      <c r="O33" s="439"/>
      <c r="P33" s="439"/>
      <c r="Q33" s="439"/>
      <c r="AE33" s="304"/>
      <c r="AF33" s="305"/>
    </row>
    <row r="34" spans="1:32" ht="13.8">
      <c r="A34" s="647">
        <v>13</v>
      </c>
      <c r="B34" s="648"/>
      <c r="C34" s="434"/>
      <c r="D34" s="434" t="s">
        <v>44</v>
      </c>
      <c r="E34" s="434"/>
      <c r="F34" s="653">
        <f>'ADJ DETAIL INPUT'!E34</f>
        <v>12049</v>
      </c>
      <c r="G34" s="653">
        <f>H34-F34</f>
        <v>644</v>
      </c>
      <c r="H34" s="651">
        <f>+'ADJ DETAIL INPUT'!AS34</f>
        <v>12693</v>
      </c>
      <c r="I34" s="653"/>
      <c r="J34" s="653">
        <f>H34+I34</f>
        <v>12693</v>
      </c>
      <c r="K34" s="439"/>
      <c r="L34" s="439"/>
      <c r="M34" s="439"/>
      <c r="N34" s="439"/>
      <c r="O34" s="439"/>
      <c r="P34" s="439"/>
      <c r="Q34" s="439"/>
      <c r="AE34" s="304"/>
      <c r="AF34" s="305"/>
    </row>
    <row r="35" spans="1:32" ht="13.8">
      <c r="A35" s="647">
        <v>14</v>
      </c>
      <c r="B35" s="648"/>
      <c r="C35" s="434"/>
      <c r="D35" s="434" t="s">
        <v>45</v>
      </c>
      <c r="E35" s="434"/>
      <c r="F35" s="653">
        <f>'ADJ DETAIL INPUT'!E35</f>
        <v>9866</v>
      </c>
      <c r="G35" s="653">
        <f>H35-F35</f>
        <v>197</v>
      </c>
      <c r="H35" s="651">
        <f>+'ADJ DETAIL INPUT'!AS35</f>
        <v>10063</v>
      </c>
      <c r="I35" s="653"/>
      <c r="J35" s="653">
        <f>H35+I35</f>
        <v>10063</v>
      </c>
      <c r="K35" s="439"/>
      <c r="L35" s="439"/>
      <c r="M35" s="439"/>
      <c r="N35" s="439"/>
      <c r="O35" s="439"/>
      <c r="P35" s="439"/>
      <c r="Q35" s="439"/>
      <c r="AE35" s="304"/>
      <c r="AF35" s="305"/>
    </row>
    <row r="36" spans="1:32" ht="13.8">
      <c r="A36" s="647">
        <v>15</v>
      </c>
      <c r="B36" s="648"/>
      <c r="C36" s="434"/>
      <c r="D36" s="434" t="s">
        <v>21</v>
      </c>
      <c r="E36" s="434"/>
      <c r="F36" s="658">
        <f>'ADJ DETAIL INPUT'!E36</f>
        <v>12807</v>
      </c>
      <c r="G36" s="654">
        <f>H36-F36</f>
        <v>-6700</v>
      </c>
      <c r="H36" s="655">
        <f>+'ADJ DETAIL INPUT'!AS36</f>
        <v>6107</v>
      </c>
      <c r="I36" s="654">
        <f>CF!J19</f>
        <v>-158</v>
      </c>
      <c r="J36" s="654">
        <f>H36+I36</f>
        <v>5949</v>
      </c>
      <c r="K36" s="439"/>
      <c r="L36" s="439"/>
      <c r="M36" s="439"/>
      <c r="N36" s="439"/>
      <c r="O36" s="439"/>
      <c r="P36" s="439"/>
      <c r="Q36" s="439"/>
      <c r="AE36" s="304"/>
      <c r="AF36" s="305"/>
    </row>
    <row r="37" spans="1:32" ht="13.8">
      <c r="A37" s="647">
        <v>16</v>
      </c>
      <c r="B37" s="648"/>
      <c r="C37" s="434"/>
      <c r="D37" s="434"/>
      <c r="E37" s="434" t="s">
        <v>48</v>
      </c>
      <c r="F37" s="653">
        <f>SUM(F34:F36)</f>
        <v>34722</v>
      </c>
      <c r="G37" s="653">
        <f t="shared" ref="G37:J37" si="2">SUM(G34:G36)</f>
        <v>-5859</v>
      </c>
      <c r="H37" s="653">
        <f t="shared" si="2"/>
        <v>28863</v>
      </c>
      <c r="I37" s="653">
        <f t="shared" si="2"/>
        <v>-158</v>
      </c>
      <c r="J37" s="653">
        <f t="shared" si="2"/>
        <v>28705</v>
      </c>
      <c r="K37" s="439"/>
      <c r="L37" s="439"/>
      <c r="M37" s="439"/>
      <c r="N37" s="439"/>
      <c r="O37" s="439"/>
      <c r="P37" s="439"/>
      <c r="Q37" s="439"/>
      <c r="AE37" s="304"/>
      <c r="AF37" s="305"/>
    </row>
    <row r="38" spans="1:32" ht="5.25" customHeight="1">
      <c r="A38" s="647"/>
      <c r="B38" s="648"/>
      <c r="C38" s="434"/>
      <c r="D38" s="434"/>
      <c r="E38" s="434"/>
      <c r="F38" s="653"/>
      <c r="G38" s="653"/>
      <c r="H38" s="653"/>
      <c r="I38" s="653"/>
      <c r="J38" s="653"/>
      <c r="K38" s="439"/>
      <c r="L38" s="439"/>
      <c r="M38" s="439"/>
      <c r="N38" s="439"/>
      <c r="O38" s="439"/>
      <c r="P38" s="439"/>
      <c r="Q38" s="439"/>
      <c r="AE38" s="304"/>
      <c r="AF38" s="305"/>
    </row>
    <row r="39" spans="1:32" ht="13.8">
      <c r="A39" s="647">
        <v>17</v>
      </c>
      <c r="B39" s="648" t="s">
        <v>49</v>
      </c>
      <c r="C39" s="434"/>
      <c r="D39" s="434"/>
      <c r="E39" s="434"/>
      <c r="F39" s="653">
        <f>'ADJ DETAIL INPUT'!E39</f>
        <v>7352</v>
      </c>
      <c r="G39" s="653">
        <f>H39-F39</f>
        <v>-573</v>
      </c>
      <c r="H39" s="651">
        <f>+'ADJ DETAIL INPUT'!AS39</f>
        <v>6779</v>
      </c>
      <c r="I39" s="653">
        <f>CF!J15</f>
        <v>-26</v>
      </c>
      <c r="J39" s="653">
        <f>H39+I39</f>
        <v>6753</v>
      </c>
      <c r="K39" s="439"/>
      <c r="L39" s="439"/>
      <c r="M39" s="439"/>
      <c r="N39" s="439"/>
      <c r="O39" s="439"/>
      <c r="P39" s="439"/>
      <c r="Q39" s="439"/>
      <c r="AE39" s="304"/>
      <c r="AF39" s="305"/>
    </row>
    <row r="40" spans="1:32" ht="13.8">
      <c r="A40" s="647">
        <v>18</v>
      </c>
      <c r="B40" s="648" t="s">
        <v>50</v>
      </c>
      <c r="C40" s="434"/>
      <c r="D40" s="434"/>
      <c r="E40" s="434"/>
      <c r="F40" s="653">
        <f>'ADJ DETAIL INPUT'!E40</f>
        <v>7595</v>
      </c>
      <c r="G40" s="653">
        <f>H40-F40</f>
        <v>-6618</v>
      </c>
      <c r="H40" s="651">
        <f>+'ADJ DETAIL INPUT'!AS40</f>
        <v>977</v>
      </c>
      <c r="I40" s="653"/>
      <c r="J40" s="653">
        <f>H40+I40</f>
        <v>977</v>
      </c>
      <c r="K40" s="439"/>
      <c r="L40" s="439"/>
      <c r="M40" s="439"/>
      <c r="N40" s="439"/>
      <c r="O40" s="439"/>
      <c r="P40" s="439"/>
      <c r="Q40" s="439"/>
      <c r="AE40" s="304"/>
      <c r="AF40" s="305"/>
    </row>
    <row r="41" spans="1:32" ht="13.8">
      <c r="A41" s="647">
        <v>19</v>
      </c>
      <c r="B41" s="648" t="s">
        <v>51</v>
      </c>
      <c r="C41" s="434"/>
      <c r="D41" s="434"/>
      <c r="E41" s="434"/>
      <c r="F41" s="653">
        <f>'ADJ DETAIL INPUT'!E41</f>
        <v>0</v>
      </c>
      <c r="G41" s="653">
        <f>H41-F41</f>
        <v>0</v>
      </c>
      <c r="H41" s="651">
        <f>+'ADJ DETAIL INPUT'!AS41</f>
        <v>0</v>
      </c>
      <c r="I41" s="653"/>
      <c r="J41" s="653">
        <f>H41+I41</f>
        <v>0</v>
      </c>
      <c r="K41" s="439"/>
      <c r="L41" s="439"/>
      <c r="M41" s="439"/>
      <c r="N41" s="439"/>
      <c r="O41" s="439"/>
      <c r="P41" s="439"/>
      <c r="Q41" s="439"/>
      <c r="AE41" s="304"/>
      <c r="AF41" s="305"/>
    </row>
    <row r="42" spans="1:32" ht="4.5" customHeight="1">
      <c r="A42" s="647"/>
      <c r="B42" s="648"/>
      <c r="C42" s="434"/>
      <c r="D42" s="434"/>
      <c r="E42" s="434"/>
      <c r="F42" s="653"/>
      <c r="G42" s="653"/>
      <c r="H42" s="659"/>
      <c r="I42" s="653"/>
      <c r="J42" s="653"/>
      <c r="K42" s="439"/>
      <c r="L42" s="439"/>
      <c r="M42" s="439"/>
      <c r="N42" s="439"/>
      <c r="O42" s="439"/>
      <c r="P42" s="439"/>
      <c r="Q42" s="439"/>
      <c r="AE42" s="304"/>
      <c r="AF42" s="305"/>
    </row>
    <row r="43" spans="1:32" ht="13.8">
      <c r="A43" s="647"/>
      <c r="B43" s="648" t="s">
        <v>52</v>
      </c>
      <c r="C43" s="434"/>
      <c r="D43" s="434"/>
      <c r="E43" s="434"/>
      <c r="F43" s="653"/>
      <c r="G43" s="653"/>
      <c r="H43" s="653"/>
      <c r="I43" s="653"/>
      <c r="J43" s="653"/>
      <c r="K43" s="439"/>
      <c r="L43" s="439"/>
      <c r="M43" s="439"/>
      <c r="N43" s="439"/>
      <c r="O43" s="439"/>
      <c r="P43" s="439"/>
      <c r="Q43" s="439"/>
      <c r="AE43" s="304"/>
      <c r="AF43" s="305"/>
    </row>
    <row r="44" spans="1:32" ht="13.8">
      <c r="A44" s="647">
        <v>20</v>
      </c>
      <c r="B44" s="648"/>
      <c r="C44" s="434" t="s">
        <v>44</v>
      </c>
      <c r="D44" s="434"/>
      <c r="E44" s="434"/>
      <c r="F44" s="653">
        <f>'ADJ DETAIL INPUT'!E44</f>
        <v>13763</v>
      </c>
      <c r="G44" s="653">
        <f>H44-F44</f>
        <v>-139</v>
      </c>
      <c r="H44" s="651">
        <f>+'ADJ DETAIL INPUT'!AS44</f>
        <v>13624</v>
      </c>
      <c r="I44" s="653">
        <f>CF!J17</f>
        <v>-8</v>
      </c>
      <c r="J44" s="653">
        <f>H44+I44</f>
        <v>13616</v>
      </c>
      <c r="K44" s="439"/>
      <c r="L44" s="439"/>
      <c r="M44" s="439"/>
      <c r="N44" s="439"/>
      <c r="O44" s="439"/>
      <c r="P44" s="439"/>
      <c r="Q44" s="439"/>
      <c r="AE44" s="304"/>
      <c r="AF44" s="305"/>
    </row>
    <row r="45" spans="1:32" ht="13.8">
      <c r="A45" s="647">
        <v>21</v>
      </c>
      <c r="B45" s="648"/>
      <c r="C45" s="434" t="s">
        <v>214</v>
      </c>
      <c r="D45" s="434"/>
      <c r="E45" s="434"/>
      <c r="F45" s="653">
        <f>'ADJ DETAIL INPUT'!E45</f>
        <v>6260</v>
      </c>
      <c r="G45" s="653">
        <f>H45-F45</f>
        <v>280</v>
      </c>
      <c r="H45" s="651">
        <f>+'ADJ DETAIL INPUT'!AS45</f>
        <v>6540</v>
      </c>
      <c r="I45" s="653"/>
      <c r="J45" s="653">
        <f>H45+I45</f>
        <v>6540</v>
      </c>
      <c r="K45" s="439"/>
      <c r="L45" s="439"/>
      <c r="M45" s="439"/>
      <c r="N45" s="439"/>
      <c r="O45" s="439"/>
      <c r="P45" s="439"/>
      <c r="Q45" s="439"/>
      <c r="AE45" s="304"/>
      <c r="AF45" s="305"/>
    </row>
    <row r="46" spans="1:32" ht="13.8">
      <c r="A46" s="647">
        <v>22</v>
      </c>
      <c r="B46" s="648"/>
      <c r="C46" s="660" t="s">
        <v>428</v>
      </c>
      <c r="D46" s="434"/>
      <c r="E46" s="434"/>
      <c r="F46" s="653">
        <f>'ADJ DETAIL INPUT'!E46</f>
        <v>0</v>
      </c>
      <c r="G46" s="653">
        <f>H46-F46</f>
        <v>584</v>
      </c>
      <c r="H46" s="651">
        <f>+'ADJ DETAIL INPUT'!AS46</f>
        <v>584</v>
      </c>
      <c r="I46" s="653"/>
      <c r="J46" s="653">
        <f>H46+I46</f>
        <v>584</v>
      </c>
      <c r="K46" s="439"/>
      <c r="L46" s="439"/>
      <c r="M46" s="439"/>
      <c r="N46" s="439"/>
      <c r="O46" s="439"/>
      <c r="P46" s="439"/>
      <c r="Q46" s="439"/>
      <c r="AE46" s="304"/>
      <c r="AF46" s="305"/>
    </row>
    <row r="47" spans="1:32" ht="13.8">
      <c r="A47" s="647">
        <v>23</v>
      </c>
      <c r="B47" s="648"/>
      <c r="C47" s="434" t="s">
        <v>21</v>
      </c>
      <c r="D47" s="434"/>
      <c r="E47" s="434"/>
      <c r="F47" s="654">
        <f>'ADJ DETAIL INPUT'!E47</f>
        <v>0</v>
      </c>
      <c r="G47" s="654">
        <f>H47-F47</f>
        <v>0</v>
      </c>
      <c r="H47" s="651">
        <f>+'ADJ DETAIL INPUT'!AS47</f>
        <v>0</v>
      </c>
      <c r="I47" s="654"/>
      <c r="J47" s="654">
        <f>H47+I47</f>
        <v>0</v>
      </c>
      <c r="K47" s="439"/>
      <c r="L47" s="439"/>
      <c r="M47" s="439"/>
      <c r="N47" s="439"/>
      <c r="O47" s="439"/>
      <c r="P47" s="439"/>
      <c r="Q47" s="439"/>
      <c r="AE47" s="304"/>
      <c r="AF47" s="305"/>
    </row>
    <row r="48" spans="1:32" ht="13.8">
      <c r="A48" s="647">
        <v>24</v>
      </c>
      <c r="B48" s="648"/>
      <c r="C48" s="434"/>
      <c r="D48" s="434" t="s">
        <v>53</v>
      </c>
      <c r="E48" s="660"/>
      <c r="F48" s="661">
        <f>SUM(F44:F47)</f>
        <v>20023</v>
      </c>
      <c r="G48" s="661">
        <f t="shared" ref="G48:J48" si="3">SUM(G44:G47)</f>
        <v>725</v>
      </c>
      <c r="H48" s="661">
        <f t="shared" si="3"/>
        <v>20748</v>
      </c>
      <c r="I48" s="661">
        <f t="shared" si="3"/>
        <v>-8</v>
      </c>
      <c r="J48" s="661">
        <f t="shared" si="3"/>
        <v>20740</v>
      </c>
      <c r="K48" s="439"/>
      <c r="L48" s="439"/>
      <c r="M48" s="439"/>
      <c r="N48" s="439"/>
      <c r="O48" s="439"/>
      <c r="P48" s="439"/>
      <c r="Q48" s="439"/>
      <c r="AE48" s="304"/>
      <c r="AF48" s="305"/>
    </row>
    <row r="49" spans="1:32" ht="13.8">
      <c r="A49" s="647">
        <v>25</v>
      </c>
      <c r="B49" s="648" t="s">
        <v>54</v>
      </c>
      <c r="C49" s="434"/>
      <c r="D49" s="434"/>
      <c r="E49" s="434"/>
      <c r="F49" s="654">
        <f>F48+F37+F31+F25+F39+F40+F41</f>
        <v>187893</v>
      </c>
      <c r="G49" s="654">
        <f>G48+G37+G31+G25+G39+G40+G41</f>
        <v>-127792</v>
      </c>
      <c r="H49" s="654">
        <f>H48+H37+H31+H25+H39+H40+H41</f>
        <v>60101</v>
      </c>
      <c r="I49" s="654">
        <f>I48+I37+I31+I25+I39+I40+I41</f>
        <v>-192</v>
      </c>
      <c r="J49" s="654">
        <f>J48+J37+J31+J25+J39+J40+J41</f>
        <v>59909</v>
      </c>
      <c r="K49" s="439"/>
      <c r="L49" s="439"/>
      <c r="M49" s="439"/>
      <c r="N49" s="439"/>
      <c r="O49" s="439"/>
      <c r="P49" s="439"/>
      <c r="Q49" s="439"/>
      <c r="AE49" s="304"/>
      <c r="AF49" s="305"/>
    </row>
    <row r="50" spans="1:32" ht="8.25" customHeight="1">
      <c r="A50" s="647"/>
      <c r="B50" s="648"/>
      <c r="C50" s="434"/>
      <c r="D50" s="434"/>
      <c r="E50" s="434"/>
      <c r="F50" s="653"/>
      <c r="G50" s="653"/>
      <c r="H50" s="653"/>
      <c r="I50" s="653"/>
      <c r="J50" s="653"/>
      <c r="K50" s="439"/>
      <c r="L50" s="439"/>
      <c r="M50" s="439"/>
      <c r="N50" s="439"/>
      <c r="O50" s="439"/>
      <c r="P50" s="439"/>
      <c r="Q50" s="439"/>
      <c r="AE50" s="304"/>
      <c r="AF50" s="305"/>
    </row>
    <row r="51" spans="1:32" ht="13.8">
      <c r="A51" s="647">
        <v>26</v>
      </c>
      <c r="B51" s="648" t="s">
        <v>55</v>
      </c>
      <c r="C51" s="434"/>
      <c r="D51" s="434"/>
      <c r="E51" s="434"/>
      <c r="F51" s="653">
        <f>F18-F49</f>
        <v>32523</v>
      </c>
      <c r="G51" s="653">
        <f>G18-G49</f>
        <v>-3548</v>
      </c>
      <c r="H51" s="653">
        <f>H18-H49</f>
        <v>28975</v>
      </c>
      <c r="I51" s="653">
        <f>I18-I49</f>
        <v>-3943</v>
      </c>
      <c r="J51" s="653">
        <f>J18-J49</f>
        <v>25032</v>
      </c>
      <c r="K51" s="439"/>
      <c r="L51" s="439"/>
      <c r="M51" s="439"/>
      <c r="N51" s="439"/>
      <c r="O51" s="439"/>
      <c r="P51" s="439"/>
      <c r="Q51" s="439"/>
      <c r="AE51" s="304"/>
      <c r="AF51" s="305"/>
    </row>
    <row r="52" spans="1:32" ht="6.75" customHeight="1">
      <c r="A52" s="647"/>
      <c r="B52" s="648"/>
      <c r="C52" s="434"/>
      <c r="D52" s="434"/>
      <c r="E52" s="434"/>
      <c r="F52" s="653"/>
      <c r="G52" s="653"/>
      <c r="H52" s="653"/>
      <c r="I52" s="653"/>
      <c r="J52" s="653"/>
      <c r="K52" s="439"/>
      <c r="L52" s="439"/>
      <c r="M52" s="439"/>
      <c r="N52" s="439"/>
      <c r="O52" s="439"/>
      <c r="P52" s="439"/>
      <c r="Q52" s="439"/>
      <c r="AE52" s="304"/>
      <c r="AF52" s="305"/>
    </row>
    <row r="53" spans="1:32" ht="13.8">
      <c r="A53" s="647"/>
      <c r="B53" s="648" t="s">
        <v>56</v>
      </c>
      <c r="C53" s="434"/>
      <c r="D53" s="434"/>
      <c r="E53" s="434"/>
      <c r="F53" s="653"/>
      <c r="G53" s="653"/>
      <c r="H53" s="653"/>
      <c r="I53" s="653"/>
      <c r="J53" s="653"/>
      <c r="K53" s="439"/>
      <c r="L53" s="439"/>
      <c r="M53" s="439"/>
      <c r="N53" s="662"/>
      <c r="O53" s="439"/>
      <c r="P53" s="439"/>
      <c r="Q53" s="439"/>
      <c r="AE53" s="304"/>
      <c r="AF53" s="305"/>
    </row>
    <row r="54" spans="1:32" ht="13.8">
      <c r="A54" s="647">
        <v>27</v>
      </c>
      <c r="B54" s="648"/>
      <c r="C54" s="434" t="s">
        <v>57</v>
      </c>
      <c r="D54" s="434"/>
      <c r="E54" s="434"/>
      <c r="F54" s="653">
        <f>'ADJ DETAIL INPUT'!E54</f>
        <v>-841</v>
      </c>
      <c r="G54" s="653">
        <f>H54-F54</f>
        <v>-448.88000000000034</v>
      </c>
      <c r="H54" s="651">
        <f>+'ADJ DETAIL INPUT'!AS54</f>
        <v>-1289.8800000000003</v>
      </c>
      <c r="I54" s="653">
        <f>CF!J25</f>
        <v>-1380</v>
      </c>
      <c r="J54" s="653">
        <f>H54+I54</f>
        <v>-2669.88</v>
      </c>
      <c r="K54" s="439"/>
      <c r="L54" s="439"/>
      <c r="M54" s="439"/>
      <c r="N54" s="546"/>
      <c r="O54" s="439"/>
      <c r="P54" s="439"/>
      <c r="Q54" s="546"/>
      <c r="AE54" s="304"/>
      <c r="AF54" s="305"/>
    </row>
    <row r="55" spans="1:32" ht="13.8">
      <c r="A55" s="647">
        <v>28</v>
      </c>
      <c r="B55" s="648"/>
      <c r="C55" s="434" t="s">
        <v>195</v>
      </c>
      <c r="D55" s="434"/>
      <c r="E55" s="434"/>
      <c r="F55" s="653">
        <f>'ADJ DETAIL INPUT'!E55</f>
        <v>0</v>
      </c>
      <c r="G55" s="653">
        <f>H55-F55</f>
        <v>-116.16940864199998</v>
      </c>
      <c r="H55" s="651">
        <f>+'ADJ DETAIL INPUT'!AS55</f>
        <v>-116.16940864199998</v>
      </c>
      <c r="I55" s="653">
        <f>CF!J26</f>
        <v>0</v>
      </c>
      <c r="J55" s="653">
        <f>H55+I55</f>
        <v>-116.16940864199998</v>
      </c>
      <c r="K55" s="439"/>
      <c r="L55" s="439"/>
      <c r="M55" s="439"/>
      <c r="N55" s="662"/>
      <c r="O55" s="439"/>
      <c r="P55" s="439"/>
      <c r="Q55" s="439"/>
      <c r="AE55" s="304"/>
      <c r="AF55" s="305"/>
    </row>
    <row r="56" spans="1:32" ht="13.8">
      <c r="A56" s="647">
        <v>29</v>
      </c>
      <c r="B56" s="648"/>
      <c r="C56" s="434" t="s">
        <v>58</v>
      </c>
      <c r="D56" s="434"/>
      <c r="E56" s="434"/>
      <c r="F56" s="653">
        <f>'ADJ DETAIL INPUT'!E56</f>
        <v>9923</v>
      </c>
      <c r="G56" s="653">
        <f>H56-F56</f>
        <v>-4790.9666666666662</v>
      </c>
      <c r="H56" s="651">
        <f>+'ADJ DETAIL INPUT'!AS56</f>
        <v>5132.0333333333338</v>
      </c>
      <c r="I56" s="653"/>
      <c r="J56" s="653">
        <f>H56+I56</f>
        <v>5132.0333333333338</v>
      </c>
      <c r="K56" s="439"/>
      <c r="L56" s="439"/>
      <c r="M56" s="439"/>
      <c r="N56" s="439"/>
      <c r="O56" s="439"/>
      <c r="P56" s="439"/>
      <c r="Q56" s="439"/>
      <c r="AE56" s="304"/>
      <c r="AF56" s="305"/>
    </row>
    <row r="57" spans="1:32" ht="13.8">
      <c r="A57" s="647">
        <v>30</v>
      </c>
      <c r="B57" s="648"/>
      <c r="C57" s="434" t="s">
        <v>59</v>
      </c>
      <c r="D57" s="434"/>
      <c r="E57" s="434"/>
      <c r="F57" s="654">
        <f>'ADJ DETAIL INPUT'!E57</f>
        <v>-17</v>
      </c>
      <c r="G57" s="654">
        <f>H57-F57</f>
        <v>0</v>
      </c>
      <c r="H57" s="655">
        <f>+'ADJ DETAIL INPUT'!AS57</f>
        <v>-17</v>
      </c>
      <c r="I57" s="654"/>
      <c r="J57" s="654">
        <f>H57+I57</f>
        <v>-17</v>
      </c>
      <c r="K57" s="439"/>
      <c r="L57" s="439"/>
      <c r="M57" s="439"/>
      <c r="N57" s="446"/>
      <c r="O57" s="439"/>
      <c r="P57" s="439"/>
      <c r="Q57" s="439"/>
      <c r="AE57" s="304"/>
      <c r="AF57" s="305"/>
    </row>
    <row r="58" spans="1:32" ht="6" customHeight="1">
      <c r="A58" s="647"/>
      <c r="B58" s="648"/>
      <c r="C58" s="648"/>
      <c r="D58" s="648"/>
      <c r="E58" s="648"/>
      <c r="F58" s="653"/>
      <c r="G58" s="653"/>
      <c r="H58" s="653"/>
      <c r="I58" s="663"/>
      <c r="J58" s="653"/>
      <c r="K58" s="439"/>
      <c r="L58" s="439"/>
      <c r="M58" s="439"/>
      <c r="N58" s="439"/>
      <c r="O58" s="439"/>
      <c r="P58" s="439"/>
      <c r="Q58" s="439"/>
      <c r="AE58" s="304"/>
      <c r="AF58" s="305"/>
    </row>
    <row r="59" spans="1:32" ht="14.4" thickBot="1">
      <c r="A59" s="647">
        <v>31</v>
      </c>
      <c r="B59" s="650" t="s">
        <v>60</v>
      </c>
      <c r="C59" s="650"/>
      <c r="D59" s="650"/>
      <c r="E59" s="650"/>
      <c r="F59" s="664">
        <f>F51-SUM(F54:F57)</f>
        <v>23458</v>
      </c>
      <c r="G59" s="664">
        <f>G51-SUM(G54:G57)</f>
        <v>1808.0160753086666</v>
      </c>
      <c r="H59" s="664">
        <f>H51-SUM(H54:H57)</f>
        <v>25266.016075308667</v>
      </c>
      <c r="I59" s="664">
        <f>I51-SUM(I54:I57)</f>
        <v>-2563</v>
      </c>
      <c r="J59" s="664">
        <f>J51-SUM(J54:J57)</f>
        <v>22703.016075308667</v>
      </c>
      <c r="K59" s="439"/>
      <c r="L59" s="439"/>
      <c r="M59" s="439"/>
      <c r="N59" s="481"/>
      <c r="O59" s="439"/>
      <c r="P59" s="439"/>
      <c r="Q59" s="439"/>
      <c r="AE59" s="304"/>
      <c r="AF59" s="305"/>
    </row>
    <row r="60" spans="1:32" ht="7.5" customHeight="1" thickTop="1">
      <c r="A60" s="647"/>
      <c r="B60" s="648"/>
      <c r="C60" s="648"/>
      <c r="D60" s="648"/>
      <c r="E60" s="648"/>
      <c r="F60" s="653"/>
      <c r="G60" s="653"/>
      <c r="H60" s="653"/>
      <c r="I60" s="653"/>
      <c r="J60" s="653"/>
      <c r="K60" s="439"/>
      <c r="L60" s="439"/>
      <c r="M60" s="439"/>
      <c r="N60" s="439"/>
      <c r="O60" s="439"/>
      <c r="P60" s="439"/>
      <c r="Q60" s="439"/>
      <c r="AE60" s="304"/>
      <c r="AF60" s="305"/>
    </row>
    <row r="61" spans="1:32" ht="13.8" hidden="1">
      <c r="A61" s="647"/>
      <c r="B61" s="648"/>
      <c r="C61" s="648"/>
      <c r="D61" s="648"/>
      <c r="E61" s="648"/>
      <c r="F61" s="653"/>
      <c r="G61" s="653"/>
      <c r="H61" s="653"/>
      <c r="I61" s="653"/>
      <c r="J61" s="653"/>
      <c r="K61" s="439"/>
      <c r="L61" s="439"/>
      <c r="M61" s="439"/>
      <c r="N61" s="439"/>
      <c r="O61" s="439"/>
      <c r="P61" s="439"/>
      <c r="Q61" s="439"/>
      <c r="AE61" s="304"/>
      <c r="AF61" s="305"/>
    </row>
    <row r="62" spans="1:32" ht="13.8">
      <c r="A62" s="647"/>
      <c r="B62" s="648" t="s">
        <v>61</v>
      </c>
      <c r="C62" s="648"/>
      <c r="D62" s="648"/>
      <c r="E62" s="648"/>
      <c r="F62" s="653"/>
      <c r="G62" s="653"/>
      <c r="H62" s="653"/>
      <c r="I62" s="653"/>
      <c r="J62" s="653"/>
      <c r="K62" s="439"/>
      <c r="L62" s="439"/>
      <c r="M62" s="439"/>
      <c r="N62" s="439"/>
      <c r="O62" s="439"/>
      <c r="P62" s="439"/>
      <c r="Q62" s="439"/>
      <c r="AE62" s="304"/>
      <c r="AF62" s="305"/>
    </row>
    <row r="63" spans="1:32" ht="13.8">
      <c r="A63" s="647">
        <v>32</v>
      </c>
      <c r="B63" s="434"/>
      <c r="C63" s="434" t="s">
        <v>43</v>
      </c>
      <c r="D63" s="434"/>
      <c r="E63" s="434"/>
      <c r="F63" s="653">
        <f>'ADJ DETAIL INPUT'!E63</f>
        <v>26868</v>
      </c>
      <c r="G63" s="653">
        <f>H63-F63</f>
        <v>275</v>
      </c>
      <c r="H63" s="651">
        <f>+'ADJ DETAIL INPUT'!AS63</f>
        <v>27143</v>
      </c>
      <c r="I63" s="653"/>
      <c r="J63" s="653">
        <f>H63+I63</f>
        <v>27143</v>
      </c>
      <c r="K63" s="439"/>
      <c r="L63" s="439"/>
      <c r="M63" s="439"/>
      <c r="N63" s="439"/>
      <c r="O63" s="439"/>
      <c r="P63" s="439"/>
      <c r="Q63" s="439"/>
      <c r="AE63" s="304"/>
      <c r="AF63" s="305"/>
    </row>
    <row r="64" spans="1:32" ht="13.8">
      <c r="A64" s="647">
        <v>33</v>
      </c>
      <c r="B64" s="434"/>
      <c r="C64" s="434" t="s">
        <v>62</v>
      </c>
      <c r="D64" s="434"/>
      <c r="E64" s="434"/>
      <c r="F64" s="653">
        <f>'ADJ DETAIL INPUT'!E64</f>
        <v>390508</v>
      </c>
      <c r="G64" s="653">
        <f>H64-F64</f>
        <v>26410</v>
      </c>
      <c r="H64" s="651">
        <f>+'ADJ DETAIL INPUT'!AS64</f>
        <v>416918</v>
      </c>
      <c r="I64" s="653"/>
      <c r="J64" s="653">
        <f>H64+I64</f>
        <v>416918</v>
      </c>
      <c r="K64" s="439"/>
      <c r="L64" s="439"/>
      <c r="M64" s="439"/>
      <c r="N64" s="439"/>
      <c r="O64" s="439"/>
      <c r="P64" s="439"/>
      <c r="Q64" s="439"/>
      <c r="AE64" s="304"/>
      <c r="AF64" s="305"/>
    </row>
    <row r="65" spans="1:32" ht="13.8">
      <c r="A65" s="647">
        <v>34</v>
      </c>
      <c r="B65" s="434"/>
      <c r="C65" s="434" t="s">
        <v>63</v>
      </c>
      <c r="D65" s="434"/>
      <c r="E65" s="434"/>
      <c r="F65" s="654">
        <f>'ADJ DETAIL INPUT'!E65</f>
        <v>82624</v>
      </c>
      <c r="G65" s="654">
        <f>H65-F65</f>
        <v>5808</v>
      </c>
      <c r="H65" s="655">
        <f>+'ADJ DETAIL INPUT'!AS65</f>
        <v>88432</v>
      </c>
      <c r="I65" s="654"/>
      <c r="J65" s="654">
        <f>H65+I65</f>
        <v>88432</v>
      </c>
      <c r="K65" s="439"/>
      <c r="L65" s="439"/>
      <c r="M65" s="439"/>
      <c r="N65" s="439"/>
      <c r="O65" s="439"/>
      <c r="P65" s="439"/>
      <c r="Q65" s="439"/>
      <c r="AE65" s="304"/>
      <c r="AF65" s="305"/>
    </row>
    <row r="66" spans="1:32" ht="13.8">
      <c r="A66" s="647">
        <v>35</v>
      </c>
      <c r="B66" s="434"/>
      <c r="C66" s="434"/>
      <c r="D66" s="434"/>
      <c r="E66" s="434" t="s">
        <v>64</v>
      </c>
      <c r="F66" s="665">
        <f>SUM(F63:F65)</f>
        <v>500000</v>
      </c>
      <c r="G66" s="665">
        <f t="shared" ref="G66:J66" si="4">SUM(G63:G65)</f>
        <v>32493</v>
      </c>
      <c r="H66" s="665">
        <f t="shared" si="4"/>
        <v>532493</v>
      </c>
      <c r="I66" s="665">
        <f t="shared" si="4"/>
        <v>0</v>
      </c>
      <c r="J66" s="665">
        <f t="shared" si="4"/>
        <v>532493</v>
      </c>
      <c r="K66" s="439"/>
      <c r="L66" s="439"/>
      <c r="M66" s="439"/>
      <c r="N66" s="439"/>
      <c r="O66" s="439"/>
      <c r="P66" s="439"/>
      <c r="Q66" s="439"/>
      <c r="AE66" s="304"/>
      <c r="AF66" s="305"/>
    </row>
    <row r="67" spans="1:32" ht="5.25" customHeight="1">
      <c r="A67" s="647"/>
      <c r="B67" s="434"/>
      <c r="C67" s="434"/>
      <c r="D67" s="434"/>
      <c r="E67" s="434"/>
      <c r="F67" s="665"/>
      <c r="G67" s="665"/>
      <c r="H67" s="665"/>
      <c r="I67" s="665"/>
      <c r="J67" s="665"/>
      <c r="K67" s="439"/>
      <c r="L67" s="439"/>
      <c r="M67" s="439"/>
      <c r="N67" s="439"/>
      <c r="O67" s="439"/>
      <c r="P67" s="439"/>
      <c r="Q67" s="439"/>
      <c r="AE67" s="304"/>
      <c r="AF67" s="305"/>
    </row>
    <row r="68" spans="1:32" ht="13.8">
      <c r="A68" s="647"/>
      <c r="B68" s="434" t="s">
        <v>433</v>
      </c>
      <c r="C68" s="434"/>
      <c r="D68" s="434"/>
      <c r="E68" s="434"/>
      <c r="F68" s="653"/>
      <c r="G68" s="653"/>
      <c r="H68" s="653"/>
      <c r="I68" s="653"/>
      <c r="J68" s="653"/>
      <c r="K68" s="439"/>
      <c r="L68" s="439"/>
      <c r="M68" s="439"/>
      <c r="N68" s="439"/>
      <c r="O68" s="439"/>
      <c r="P68" s="439"/>
      <c r="Q68" s="439"/>
      <c r="AE68" s="304"/>
      <c r="AF68" s="305"/>
    </row>
    <row r="69" spans="1:32" ht="13.8">
      <c r="A69" s="647">
        <v>36</v>
      </c>
      <c r="B69" s="434"/>
      <c r="C69" s="434" t="s">
        <v>43</v>
      </c>
      <c r="D69" s="434"/>
      <c r="E69" s="434"/>
      <c r="F69" s="653">
        <f>'ADJ DETAIL INPUT'!E69</f>
        <v>-10317</v>
      </c>
      <c r="G69" s="653">
        <f t="shared" ref="G69:G79" si="5">H69-F69</f>
        <v>-155</v>
      </c>
      <c r="H69" s="651">
        <f>+'ADJ DETAIL INPUT'!AS69</f>
        <v>-10472</v>
      </c>
      <c r="I69" s="653"/>
      <c r="J69" s="653">
        <f t="shared" ref="J69:J79" si="6">H69+I69</f>
        <v>-10472</v>
      </c>
      <c r="K69" s="439"/>
      <c r="L69" s="439"/>
      <c r="M69" s="439"/>
      <c r="N69" s="439"/>
      <c r="O69" s="439"/>
      <c r="P69" s="439"/>
      <c r="Q69" s="439"/>
      <c r="AE69" s="304"/>
      <c r="AF69" s="305"/>
    </row>
    <row r="70" spans="1:32" ht="13.8">
      <c r="A70" s="647">
        <v>37</v>
      </c>
      <c r="B70" s="434"/>
      <c r="C70" s="434" t="s">
        <v>62</v>
      </c>
      <c r="D70" s="434"/>
      <c r="E70" s="434"/>
      <c r="F70" s="653">
        <f>'ADJ DETAIL INPUT'!E70</f>
        <v>-129098</v>
      </c>
      <c r="G70" s="653">
        <f t="shared" si="5"/>
        <v>-3798</v>
      </c>
      <c r="H70" s="651">
        <f>+'ADJ DETAIL INPUT'!AS70</f>
        <v>-132896</v>
      </c>
      <c r="I70" s="653"/>
      <c r="J70" s="653">
        <f t="shared" si="6"/>
        <v>-132896</v>
      </c>
      <c r="K70" s="439"/>
      <c r="L70" s="439"/>
      <c r="M70" s="439"/>
      <c r="N70" s="439"/>
      <c r="O70" s="439"/>
      <c r="P70" s="439"/>
      <c r="Q70" s="439"/>
      <c r="AE70" s="304"/>
      <c r="AF70" s="305"/>
    </row>
    <row r="71" spans="1:32" ht="13.8">
      <c r="A71" s="647">
        <v>38</v>
      </c>
      <c r="B71" s="434"/>
      <c r="C71" s="434" t="s">
        <v>63</v>
      </c>
      <c r="D71" s="434"/>
      <c r="E71" s="434"/>
      <c r="F71" s="654">
        <f>'ADJ DETAIL INPUT'!E71</f>
        <v>-23473</v>
      </c>
      <c r="G71" s="654">
        <f t="shared" si="5"/>
        <v>-1552</v>
      </c>
      <c r="H71" s="651">
        <f>+'ADJ DETAIL INPUT'!AS71</f>
        <v>-25025</v>
      </c>
      <c r="I71" s="654"/>
      <c r="J71" s="654">
        <f t="shared" si="6"/>
        <v>-25025</v>
      </c>
      <c r="K71" s="439"/>
      <c r="L71" s="439"/>
      <c r="M71" s="439"/>
      <c r="N71" s="439"/>
      <c r="O71" s="439"/>
      <c r="P71" s="439"/>
      <c r="Q71" s="439"/>
      <c r="AE71" s="304"/>
      <c r="AF71" s="305"/>
    </row>
    <row r="72" spans="1:32" ht="13.8">
      <c r="A72" s="647">
        <v>39</v>
      </c>
      <c r="B72" s="434" t="s">
        <v>434</v>
      </c>
      <c r="C72" s="434"/>
      <c r="D72" s="434"/>
      <c r="E72" s="660"/>
      <c r="F72" s="661">
        <f>SUM(F69:F71)</f>
        <v>-162888</v>
      </c>
      <c r="G72" s="661">
        <f t="shared" ref="G72:J72" si="7">SUM(G69:G71)</f>
        <v>-5505</v>
      </c>
      <c r="H72" s="661">
        <f t="shared" si="7"/>
        <v>-168393</v>
      </c>
      <c r="I72" s="661">
        <f t="shared" si="7"/>
        <v>0</v>
      </c>
      <c r="J72" s="661">
        <f t="shared" si="7"/>
        <v>-168393</v>
      </c>
      <c r="K72" s="439"/>
      <c r="L72" s="439"/>
      <c r="M72" s="439"/>
      <c r="N72" s="439"/>
      <c r="O72" s="439"/>
      <c r="P72" s="439"/>
      <c r="Q72" s="439"/>
      <c r="AE72" s="304"/>
      <c r="AF72" s="305"/>
    </row>
    <row r="73" spans="1:32" ht="13.8">
      <c r="A73" s="647">
        <v>40</v>
      </c>
      <c r="B73" s="434" t="s">
        <v>186</v>
      </c>
      <c r="C73" s="434"/>
      <c r="D73" s="434"/>
      <c r="E73" s="434"/>
      <c r="F73" s="665">
        <f>F66+F72</f>
        <v>337112</v>
      </c>
      <c r="G73" s="665">
        <f t="shared" ref="G73:J73" si="8">G66+G72</f>
        <v>26988</v>
      </c>
      <c r="H73" s="665">
        <f t="shared" si="8"/>
        <v>364100</v>
      </c>
      <c r="I73" s="665">
        <f t="shared" si="8"/>
        <v>0</v>
      </c>
      <c r="J73" s="665">
        <f t="shared" si="8"/>
        <v>364100</v>
      </c>
      <c r="K73" s="439"/>
      <c r="L73" s="439"/>
      <c r="M73" s="439"/>
      <c r="N73" s="439"/>
      <c r="O73" s="439"/>
      <c r="P73" s="439"/>
      <c r="Q73" s="439"/>
      <c r="AE73" s="304"/>
      <c r="AF73" s="305"/>
    </row>
    <row r="74" spans="1:32" ht="13.8">
      <c r="A74" s="666">
        <v>41</v>
      </c>
      <c r="B74" s="435" t="s">
        <v>66</v>
      </c>
      <c r="C74" s="435"/>
      <c r="D74" s="435"/>
      <c r="E74" s="435"/>
      <c r="F74" s="654">
        <f>'ADJ DETAIL INPUT'!E74</f>
        <v>-73856</v>
      </c>
      <c r="G74" s="654">
        <f t="shared" si="5"/>
        <v>-4431</v>
      </c>
      <c r="H74" s="655">
        <f>+'ADJ DETAIL INPUT'!AS74</f>
        <v>-78287</v>
      </c>
      <c r="I74" s="654"/>
      <c r="J74" s="654">
        <f>H74+I74</f>
        <v>-78287</v>
      </c>
      <c r="K74" s="439"/>
      <c r="L74" s="439"/>
      <c r="M74" s="439"/>
      <c r="N74" s="439"/>
      <c r="O74" s="439"/>
      <c r="P74" s="439"/>
      <c r="Q74" s="439"/>
      <c r="AE74" s="304"/>
      <c r="AF74" s="305"/>
    </row>
    <row r="75" spans="1:32" ht="13.8">
      <c r="A75" s="666">
        <v>42</v>
      </c>
      <c r="B75" s="435"/>
      <c r="C75" s="435" t="s">
        <v>217</v>
      </c>
      <c r="D75" s="435"/>
      <c r="E75" s="435"/>
      <c r="F75" s="653">
        <f>F73+F74</f>
        <v>263256</v>
      </c>
      <c r="G75" s="653">
        <f t="shared" ref="G75:J75" si="9">G73+G74</f>
        <v>22557</v>
      </c>
      <c r="H75" s="651">
        <f>+'ADJ DETAIL INPUT'!AS75</f>
        <v>285813</v>
      </c>
      <c r="I75" s="653">
        <f t="shared" si="9"/>
        <v>0</v>
      </c>
      <c r="J75" s="653">
        <f t="shared" si="9"/>
        <v>285813</v>
      </c>
      <c r="K75" s="439"/>
      <c r="L75" s="439"/>
      <c r="M75" s="439"/>
      <c r="N75" s="439"/>
      <c r="O75" s="439"/>
      <c r="P75" s="439"/>
      <c r="Q75" s="439"/>
      <c r="AE75" s="304"/>
      <c r="AF75" s="305"/>
    </row>
    <row r="76" spans="1:32" ht="12" customHeight="1">
      <c r="A76" s="647">
        <v>43</v>
      </c>
      <c r="B76" s="667" t="s">
        <v>67</v>
      </c>
      <c r="C76" s="667"/>
      <c r="D76" s="667"/>
      <c r="E76" s="667"/>
      <c r="F76" s="668">
        <f>'ADJ DETAIL INPUT'!E76</f>
        <v>9116</v>
      </c>
      <c r="G76" s="668">
        <f t="shared" si="5"/>
        <v>0</v>
      </c>
      <c r="H76" s="651">
        <f>+'ADJ DETAIL INPUT'!AS76</f>
        <v>9116</v>
      </c>
      <c r="I76" s="668"/>
      <c r="J76" s="668">
        <f t="shared" si="6"/>
        <v>9116</v>
      </c>
      <c r="K76" s="439"/>
      <c r="L76" s="439"/>
      <c r="M76" s="439"/>
      <c r="N76" s="439"/>
      <c r="O76" s="439"/>
      <c r="P76" s="439"/>
      <c r="Q76" s="439"/>
      <c r="AE76" s="304"/>
      <c r="AF76" s="305"/>
    </row>
    <row r="77" spans="1:32" ht="13.8">
      <c r="A77" s="647">
        <v>44</v>
      </c>
      <c r="B77" s="667" t="s">
        <v>68</v>
      </c>
      <c r="C77" s="667"/>
      <c r="D77" s="667"/>
      <c r="E77" s="667"/>
      <c r="F77" s="668">
        <f>'ADJ DETAIL INPUT'!E77</f>
        <v>0</v>
      </c>
      <c r="G77" s="668">
        <f>H77-F77</f>
        <v>0</v>
      </c>
      <c r="H77" s="651">
        <f>+'ADJ DETAIL INPUT'!AS77</f>
        <v>0</v>
      </c>
      <c r="I77" s="668"/>
      <c r="J77" s="668">
        <f t="shared" ref="J77" si="10">H77+I77</f>
        <v>0</v>
      </c>
      <c r="K77" s="439"/>
      <c r="L77" s="439"/>
      <c r="M77" s="439"/>
      <c r="N77" s="439"/>
      <c r="O77" s="439"/>
      <c r="P77" s="439"/>
      <c r="Q77" s="439"/>
      <c r="AE77" s="304"/>
      <c r="AF77" s="305"/>
    </row>
    <row r="78" spans="1:32" ht="13.8">
      <c r="A78" s="647">
        <v>45</v>
      </c>
      <c r="B78" s="667" t="s">
        <v>435</v>
      </c>
      <c r="C78" s="667"/>
      <c r="D78" s="667"/>
      <c r="E78" s="667"/>
      <c r="F78" s="668">
        <f>'ADJ DETAIL INPUT'!E78</f>
        <v>-249</v>
      </c>
      <c r="G78" s="668">
        <f t="shared" ref="G78" si="11">H78-F78</f>
        <v>1474</v>
      </c>
      <c r="H78" s="651">
        <f>+'ADJ DETAIL INPUT'!AS78</f>
        <v>1225</v>
      </c>
      <c r="I78" s="668"/>
      <c r="J78" s="668">
        <f t="shared" ref="J78" si="12">H78+I78</f>
        <v>1225</v>
      </c>
      <c r="K78" s="439"/>
      <c r="L78" s="439"/>
      <c r="M78" s="439"/>
      <c r="N78" s="439"/>
      <c r="O78" s="439"/>
      <c r="P78" s="439"/>
      <c r="Q78" s="439"/>
      <c r="AE78" s="304"/>
      <c r="AF78" s="305"/>
    </row>
    <row r="79" spans="1:32" ht="13.8">
      <c r="A79" s="647">
        <v>46</v>
      </c>
      <c r="B79" s="667" t="s">
        <v>190</v>
      </c>
      <c r="C79" s="667"/>
      <c r="D79" s="667"/>
      <c r="E79" s="667"/>
      <c r="F79" s="658">
        <f>'ADJ DETAIL INPUT'!E79</f>
        <v>15664</v>
      </c>
      <c r="G79" s="658">
        <f t="shared" si="5"/>
        <v>-4182</v>
      </c>
      <c r="H79" s="655">
        <f>+'ADJ DETAIL INPUT'!AS79</f>
        <v>11482</v>
      </c>
      <c r="I79" s="658"/>
      <c r="J79" s="658">
        <f t="shared" si="6"/>
        <v>11482</v>
      </c>
      <c r="K79" s="439"/>
      <c r="L79" s="439"/>
      <c r="M79" s="439"/>
      <c r="N79" s="439"/>
      <c r="O79" s="439"/>
      <c r="P79" s="439"/>
      <c r="Q79" s="439"/>
      <c r="AE79" s="304"/>
      <c r="AF79" s="305"/>
    </row>
    <row r="80" spans="1:32" ht="3" customHeight="1">
      <c r="A80" s="647"/>
      <c r="B80" s="648"/>
      <c r="C80" s="648"/>
      <c r="D80" s="648"/>
      <c r="E80" s="648"/>
      <c r="F80" s="649"/>
      <c r="G80" s="649"/>
      <c r="H80" s="669"/>
      <c r="I80" s="649"/>
      <c r="J80" s="649"/>
      <c r="K80" s="439"/>
      <c r="L80" s="439"/>
      <c r="M80" s="439"/>
      <c r="N80" s="439"/>
      <c r="O80" s="439"/>
      <c r="P80" s="439"/>
      <c r="Q80" s="439"/>
      <c r="AE80" s="304"/>
      <c r="AF80" s="305"/>
    </row>
    <row r="81" spans="1:32" ht="14.4" thickBot="1">
      <c r="A81" s="647">
        <v>47</v>
      </c>
      <c r="B81" s="650" t="s">
        <v>69</v>
      </c>
      <c r="C81" s="650"/>
      <c r="D81" s="650"/>
      <c r="E81" s="650"/>
      <c r="F81" s="670">
        <f>F79+F77+F76+F75+F78</f>
        <v>287787</v>
      </c>
      <c r="G81" s="670">
        <f>G79+G77+G76+G75</f>
        <v>18375</v>
      </c>
      <c r="H81" s="670">
        <f>H79+H77+H76+H75+H78</f>
        <v>307636</v>
      </c>
      <c r="I81" s="670">
        <f>I79+I77+I76+I75</f>
        <v>0</v>
      </c>
      <c r="J81" s="670">
        <f>J79+J77+J76+J75+J78</f>
        <v>307636</v>
      </c>
      <c r="K81" s="439"/>
      <c r="L81" s="439"/>
      <c r="M81" s="439"/>
      <c r="N81" s="439"/>
      <c r="O81" s="439"/>
      <c r="P81" s="439"/>
      <c r="Q81" s="439"/>
      <c r="AE81" s="304"/>
      <c r="AF81" s="305"/>
    </row>
    <row r="82" spans="1:32" ht="14.4" thickTop="1">
      <c r="A82" s="647">
        <v>48</v>
      </c>
      <c r="B82" s="648" t="s">
        <v>479</v>
      </c>
      <c r="C82" s="648"/>
      <c r="D82" s="648"/>
      <c r="E82" s="648"/>
      <c r="F82" s="671">
        <f>ROUND(F59/F81,4)</f>
        <v>8.1500000000000003E-2</v>
      </c>
      <c r="G82" s="672"/>
      <c r="H82" s="671">
        <f>ROUND(H59/H81,4)</f>
        <v>8.2100000000000006E-2</v>
      </c>
      <c r="I82" s="673"/>
      <c r="J82" s="671">
        <f>ROUND(J59/J81,4)</f>
        <v>7.3800000000000004E-2</v>
      </c>
      <c r="K82" s="439"/>
      <c r="L82" s="439"/>
      <c r="M82" s="439"/>
      <c r="N82" s="439"/>
      <c r="O82" s="439"/>
      <c r="P82" s="439"/>
      <c r="Q82" s="439"/>
      <c r="AE82" s="304"/>
      <c r="AF82" s="305"/>
    </row>
    <row r="83" spans="1:32" ht="7.5" customHeight="1">
      <c r="A83" s="674"/>
      <c r="B83" s="674"/>
      <c r="C83" s="674"/>
      <c r="D83" s="674"/>
      <c r="E83" s="674"/>
      <c r="F83" s="674"/>
      <c r="G83" s="674"/>
      <c r="H83" s="674"/>
      <c r="I83" s="674"/>
      <c r="J83" s="674"/>
      <c r="K83" s="439"/>
      <c r="L83" s="439"/>
      <c r="M83" s="439"/>
      <c r="N83" s="439"/>
      <c r="O83" s="439"/>
      <c r="P83" s="439"/>
      <c r="Q83" s="439"/>
      <c r="AE83" s="310"/>
      <c r="AF83" s="311"/>
    </row>
    <row r="84" spans="1:32" ht="13.8" thickBot="1">
      <c r="A84" s="675"/>
      <c r="B84" s="676"/>
      <c r="C84" s="676"/>
      <c r="D84" s="676"/>
      <c r="E84" s="677"/>
      <c r="F84" s="677"/>
      <c r="G84" s="677"/>
      <c r="H84" s="677"/>
      <c r="I84" s="677"/>
      <c r="J84" s="677"/>
      <c r="K84" s="439"/>
      <c r="L84" s="439"/>
      <c r="M84" s="439"/>
      <c r="N84" s="439"/>
      <c r="O84" s="439"/>
      <c r="P84" s="439"/>
      <c r="Q84" s="439"/>
      <c r="AE84" s="306"/>
      <c r="AF84" s="307"/>
    </row>
    <row r="85" spans="1:32">
      <c r="A85" s="611"/>
      <c r="B85" s="612"/>
      <c r="C85" s="612"/>
      <c r="D85" s="612"/>
      <c r="E85" s="613"/>
      <c r="F85" s="613"/>
      <c r="G85" s="613"/>
      <c r="H85" s="613"/>
      <c r="I85" s="613"/>
      <c r="J85" s="439"/>
      <c r="K85" s="439"/>
      <c r="L85" s="439"/>
      <c r="M85" s="439"/>
      <c r="N85" s="439"/>
      <c r="O85" s="439"/>
      <c r="P85" s="439"/>
      <c r="Q85" s="439"/>
    </row>
    <row r="86" spans="1:32">
      <c r="A86" s="611"/>
      <c r="B86" s="612"/>
      <c r="C86" s="612"/>
      <c r="D86" s="612"/>
      <c r="E86" s="613"/>
      <c r="F86" s="613"/>
      <c r="G86" s="613"/>
      <c r="H86" s="613"/>
      <c r="I86" s="613"/>
      <c r="J86" s="439"/>
      <c r="K86" s="439"/>
      <c r="L86" s="439"/>
      <c r="M86" s="439"/>
      <c r="N86" s="439"/>
      <c r="O86" s="439"/>
      <c r="P86" s="439"/>
      <c r="Q86" s="439"/>
    </row>
    <row r="87" spans="1:32">
      <c r="A87" s="611"/>
      <c r="B87" s="612"/>
      <c r="C87" s="612"/>
      <c r="D87" s="612"/>
      <c r="E87" s="613"/>
      <c r="F87" s="613"/>
      <c r="G87" s="613"/>
      <c r="H87" s="613"/>
      <c r="I87" s="613"/>
      <c r="J87" s="439"/>
      <c r="K87" s="439"/>
      <c r="L87" s="439"/>
      <c r="M87" s="439"/>
      <c r="N87" s="439"/>
      <c r="O87" s="439"/>
      <c r="P87" s="439"/>
      <c r="Q87" s="439"/>
    </row>
    <row r="88" spans="1:32">
      <c r="A88" s="611"/>
      <c r="B88" s="612"/>
      <c r="C88" s="612"/>
      <c r="D88" s="612"/>
      <c r="E88" s="613"/>
      <c r="F88" s="613"/>
      <c r="G88" s="613"/>
      <c r="H88" s="613"/>
      <c r="I88" s="613"/>
      <c r="J88" s="439"/>
      <c r="K88" s="439"/>
      <c r="L88" s="439"/>
      <c r="M88" s="439"/>
      <c r="N88" s="439"/>
      <c r="O88" s="439"/>
      <c r="P88" s="439"/>
      <c r="Q88" s="439"/>
    </row>
    <row r="89" spans="1:32">
      <c r="A89" s="611"/>
      <c r="B89" s="612"/>
      <c r="C89" s="612"/>
      <c r="D89" s="612"/>
      <c r="E89" s="613"/>
      <c r="F89" s="613"/>
      <c r="G89" s="613"/>
      <c r="H89" s="613"/>
      <c r="I89" s="613"/>
      <c r="J89" s="439"/>
      <c r="K89" s="439"/>
      <c r="L89" s="439"/>
      <c r="M89" s="439"/>
      <c r="N89" s="439"/>
      <c r="O89" s="439"/>
      <c r="P89" s="439"/>
      <c r="Q89" s="439"/>
    </row>
    <row r="90" spans="1:32">
      <c r="A90" s="611"/>
      <c r="B90" s="612"/>
      <c r="C90" s="612"/>
      <c r="D90" s="612"/>
      <c r="E90" s="613"/>
      <c r="F90" s="613"/>
      <c r="G90" s="613"/>
      <c r="H90" s="613"/>
      <c r="I90" s="613"/>
      <c r="J90" s="439"/>
      <c r="K90" s="439"/>
      <c r="L90" s="439"/>
      <c r="M90" s="439"/>
      <c r="N90" s="439"/>
      <c r="O90" s="439"/>
      <c r="P90" s="439"/>
      <c r="Q90" s="439"/>
    </row>
    <row r="91" spans="1:32">
      <c r="A91" s="611"/>
      <c r="B91" s="612"/>
      <c r="C91" s="612"/>
      <c r="D91" s="612"/>
      <c r="E91" s="613"/>
      <c r="F91" s="613"/>
      <c r="G91" s="613"/>
      <c r="H91" s="613"/>
      <c r="I91" s="613"/>
      <c r="J91" s="439"/>
      <c r="K91" s="439"/>
      <c r="L91" s="439"/>
      <c r="M91" s="439"/>
      <c r="N91" s="439"/>
      <c r="O91" s="439"/>
      <c r="P91" s="439"/>
      <c r="Q91" s="439"/>
    </row>
    <row r="92" spans="1:32">
      <c r="A92" s="611"/>
      <c r="B92" s="612"/>
      <c r="C92" s="612"/>
      <c r="D92" s="612"/>
      <c r="E92" s="613"/>
      <c r="F92" s="613"/>
      <c r="G92" s="613"/>
      <c r="H92" s="613"/>
      <c r="I92" s="613"/>
      <c r="J92" s="439"/>
      <c r="K92" s="439"/>
      <c r="L92" s="439"/>
      <c r="M92" s="439"/>
      <c r="N92" s="439"/>
      <c r="O92" s="439"/>
      <c r="P92" s="439"/>
      <c r="Q92" s="439"/>
    </row>
    <row r="93" spans="1:32">
      <c r="A93" s="611"/>
      <c r="B93" s="612"/>
      <c r="C93" s="612"/>
      <c r="D93" s="612"/>
      <c r="E93" s="613"/>
      <c r="F93" s="613"/>
      <c r="G93" s="613"/>
      <c r="H93" s="613"/>
      <c r="I93" s="613"/>
      <c r="J93" s="439"/>
      <c r="K93" s="439"/>
      <c r="L93" s="439"/>
      <c r="M93" s="439"/>
      <c r="N93" s="439"/>
      <c r="O93" s="439"/>
      <c r="P93" s="439"/>
      <c r="Q93" s="439"/>
    </row>
    <row r="94" spans="1:32">
      <c r="A94" s="611"/>
      <c r="B94" s="612"/>
      <c r="C94" s="612"/>
      <c r="D94" s="612"/>
      <c r="E94" s="613"/>
      <c r="F94" s="613"/>
      <c r="G94" s="613"/>
      <c r="H94" s="613"/>
      <c r="I94" s="613"/>
      <c r="J94" s="439"/>
      <c r="K94" s="439"/>
      <c r="L94" s="439"/>
      <c r="M94" s="439"/>
      <c r="N94" s="439"/>
      <c r="O94" s="439"/>
      <c r="P94" s="439"/>
      <c r="Q94" s="439"/>
    </row>
    <row r="95" spans="1:32">
      <c r="A95" s="611"/>
      <c r="B95" s="612"/>
      <c r="C95" s="612"/>
      <c r="D95" s="612"/>
      <c r="E95" s="613"/>
      <c r="F95" s="613"/>
      <c r="G95" s="613"/>
      <c r="H95" s="613"/>
      <c r="I95" s="613"/>
      <c r="J95" s="439"/>
      <c r="K95" s="439"/>
      <c r="L95" s="439"/>
      <c r="M95" s="439"/>
      <c r="N95" s="439"/>
      <c r="O95" s="439"/>
      <c r="P95" s="439"/>
      <c r="Q95" s="439"/>
    </row>
    <row r="96" spans="1:32">
      <c r="A96" s="611"/>
      <c r="B96" s="612"/>
      <c r="C96" s="612"/>
      <c r="D96" s="612"/>
      <c r="E96" s="613"/>
      <c r="F96" s="613"/>
      <c r="G96" s="613"/>
      <c r="H96" s="613"/>
      <c r="I96" s="613"/>
      <c r="J96" s="439"/>
      <c r="K96" s="439"/>
      <c r="L96" s="439"/>
      <c r="M96" s="439"/>
      <c r="N96" s="439"/>
      <c r="O96" s="439"/>
      <c r="P96" s="439"/>
      <c r="Q96" s="439"/>
    </row>
    <row r="97" spans="1:17">
      <c r="A97" s="611"/>
      <c r="B97" s="612"/>
      <c r="C97" s="612"/>
      <c r="D97" s="612"/>
      <c r="E97" s="613"/>
      <c r="F97" s="613"/>
      <c r="G97" s="613"/>
      <c r="H97" s="613"/>
      <c r="I97" s="613"/>
      <c r="J97" s="439"/>
      <c r="K97" s="439"/>
      <c r="L97" s="439"/>
      <c r="M97" s="439"/>
      <c r="N97" s="439"/>
      <c r="O97" s="439"/>
      <c r="P97" s="439"/>
      <c r="Q97" s="439"/>
    </row>
    <row r="98" spans="1:17">
      <c r="A98" s="611"/>
      <c r="B98" s="612"/>
      <c r="C98" s="612"/>
      <c r="D98" s="612"/>
      <c r="E98" s="613"/>
      <c r="F98" s="613"/>
      <c r="G98" s="613"/>
      <c r="H98" s="613"/>
      <c r="I98" s="613"/>
      <c r="J98" s="439"/>
      <c r="K98" s="439"/>
      <c r="L98" s="439"/>
      <c r="M98" s="439"/>
      <c r="N98" s="439"/>
      <c r="O98" s="439"/>
      <c r="P98" s="439"/>
      <c r="Q98" s="439"/>
    </row>
    <row r="99" spans="1:17">
      <c r="A99" s="611"/>
      <c r="B99" s="612"/>
      <c r="C99" s="612"/>
      <c r="D99" s="612"/>
      <c r="E99" s="613"/>
      <c r="F99" s="613"/>
      <c r="G99" s="613"/>
      <c r="H99" s="613"/>
      <c r="I99" s="613"/>
      <c r="J99" s="439"/>
      <c r="K99" s="439"/>
      <c r="L99" s="439"/>
      <c r="M99" s="439"/>
      <c r="N99" s="439"/>
      <c r="O99" s="439"/>
      <c r="P99" s="439"/>
      <c r="Q99" s="439"/>
    </row>
    <row r="100" spans="1:17">
      <c r="A100" s="611"/>
      <c r="B100" s="612"/>
      <c r="C100" s="612"/>
      <c r="D100" s="612"/>
      <c r="E100" s="613"/>
      <c r="F100" s="613"/>
      <c r="G100" s="613"/>
      <c r="H100" s="613"/>
      <c r="I100" s="613"/>
      <c r="J100" s="439"/>
      <c r="K100" s="439"/>
      <c r="L100" s="439"/>
      <c r="M100" s="439"/>
      <c r="N100" s="439"/>
      <c r="O100" s="439"/>
      <c r="P100" s="439"/>
      <c r="Q100" s="439"/>
    </row>
    <row r="101" spans="1:17">
      <c r="A101" s="611"/>
      <c r="B101" s="612"/>
      <c r="C101" s="612"/>
      <c r="D101" s="612"/>
      <c r="E101" s="613"/>
      <c r="F101" s="613"/>
      <c r="G101" s="613"/>
      <c r="H101" s="613"/>
      <c r="I101" s="613"/>
      <c r="J101" s="439"/>
      <c r="K101" s="439"/>
      <c r="L101" s="439"/>
      <c r="M101" s="439"/>
      <c r="N101" s="439"/>
      <c r="O101" s="439"/>
      <c r="P101" s="439"/>
      <c r="Q101" s="439"/>
    </row>
    <row r="102" spans="1:17">
      <c r="A102" s="611"/>
      <c r="B102" s="612"/>
      <c r="C102" s="612"/>
      <c r="D102" s="612"/>
      <c r="E102" s="613"/>
      <c r="F102" s="613"/>
      <c r="G102" s="613"/>
      <c r="H102" s="613"/>
      <c r="I102" s="613"/>
      <c r="J102" s="439"/>
      <c r="K102" s="439"/>
      <c r="L102" s="439"/>
      <c r="M102" s="439"/>
      <c r="N102" s="439"/>
      <c r="O102" s="439"/>
      <c r="P102" s="439"/>
      <c r="Q102" s="439"/>
    </row>
    <row r="103" spans="1:17">
      <c r="A103" s="611"/>
      <c r="B103" s="612"/>
      <c r="C103" s="612"/>
      <c r="D103" s="612"/>
      <c r="E103" s="613"/>
      <c r="F103" s="613"/>
      <c r="G103" s="613"/>
      <c r="H103" s="613"/>
      <c r="I103" s="613"/>
      <c r="J103" s="439"/>
      <c r="K103" s="439"/>
      <c r="L103" s="439"/>
      <c r="M103" s="439"/>
      <c r="N103" s="439"/>
      <c r="O103" s="439"/>
      <c r="P103" s="439"/>
      <c r="Q103" s="439"/>
    </row>
    <row r="104" spans="1:17">
      <c r="A104" s="611"/>
      <c r="B104" s="612"/>
      <c r="C104" s="612"/>
      <c r="D104" s="612"/>
      <c r="E104" s="613"/>
      <c r="F104" s="613"/>
      <c r="G104" s="613"/>
      <c r="H104" s="613"/>
      <c r="I104" s="613"/>
      <c r="J104" s="439"/>
      <c r="K104" s="439"/>
      <c r="L104" s="439"/>
      <c r="M104" s="439"/>
      <c r="N104" s="439"/>
      <c r="O104" s="439"/>
      <c r="P104" s="439"/>
      <c r="Q104" s="439"/>
    </row>
    <row r="105" spans="1:17">
      <c r="A105" s="611"/>
      <c r="B105" s="612"/>
      <c r="C105" s="612"/>
      <c r="D105" s="612"/>
      <c r="E105" s="613"/>
      <c r="F105" s="613"/>
      <c r="G105" s="613"/>
      <c r="H105" s="613"/>
      <c r="I105" s="613"/>
      <c r="J105" s="439"/>
      <c r="K105" s="439"/>
      <c r="L105" s="439"/>
      <c r="M105" s="439"/>
      <c r="N105" s="439"/>
      <c r="O105" s="439"/>
      <c r="P105" s="439"/>
      <c r="Q105" s="439"/>
    </row>
    <row r="106" spans="1:17">
      <c r="A106" s="611"/>
      <c r="B106" s="612"/>
      <c r="C106" s="612"/>
      <c r="D106" s="612"/>
      <c r="E106" s="613"/>
      <c r="F106" s="613"/>
      <c r="G106" s="613"/>
      <c r="H106" s="613"/>
      <c r="I106" s="613"/>
      <c r="J106" s="439"/>
      <c r="K106" s="439"/>
      <c r="L106" s="439"/>
      <c r="M106" s="439"/>
      <c r="N106" s="439"/>
      <c r="O106" s="439"/>
      <c r="P106" s="439"/>
      <c r="Q106" s="439"/>
    </row>
    <row r="107" spans="1:17">
      <c r="A107" s="611"/>
      <c r="B107" s="612"/>
      <c r="C107" s="612"/>
      <c r="D107" s="612"/>
      <c r="E107" s="613"/>
      <c r="F107" s="613"/>
      <c r="G107" s="613"/>
      <c r="H107" s="613"/>
      <c r="I107" s="613"/>
      <c r="J107" s="439"/>
      <c r="K107" s="439"/>
      <c r="L107" s="439"/>
      <c r="M107" s="439"/>
      <c r="N107" s="439"/>
      <c r="O107" s="439"/>
      <c r="P107" s="439"/>
      <c r="Q107" s="439"/>
    </row>
    <row r="108" spans="1:17">
      <c r="A108" s="611"/>
      <c r="B108" s="612"/>
      <c r="C108" s="612"/>
      <c r="D108" s="612"/>
      <c r="E108" s="613"/>
      <c r="F108" s="613"/>
      <c r="G108" s="613"/>
      <c r="H108" s="613"/>
      <c r="I108" s="613"/>
      <c r="J108" s="439"/>
      <c r="K108" s="439"/>
      <c r="L108" s="439"/>
      <c r="M108" s="439"/>
      <c r="N108" s="439"/>
      <c r="O108" s="439"/>
      <c r="P108" s="439"/>
      <c r="Q108" s="439"/>
    </row>
    <row r="109" spans="1:17">
      <c r="A109" s="611"/>
      <c r="B109" s="612"/>
      <c r="C109" s="612"/>
      <c r="D109" s="612"/>
      <c r="E109" s="613"/>
      <c r="F109" s="613"/>
      <c r="G109" s="613"/>
      <c r="H109" s="613"/>
      <c r="I109" s="613"/>
      <c r="J109" s="439"/>
      <c r="K109" s="439"/>
      <c r="L109" s="439"/>
      <c r="M109" s="439"/>
      <c r="N109" s="439"/>
      <c r="O109" s="439"/>
      <c r="P109" s="439"/>
      <c r="Q109" s="439"/>
    </row>
    <row r="110" spans="1:17">
      <c r="A110" s="611"/>
      <c r="B110" s="612"/>
      <c r="C110" s="612"/>
      <c r="D110" s="612"/>
      <c r="E110" s="613"/>
      <c r="F110" s="613"/>
      <c r="G110" s="613"/>
      <c r="H110" s="613"/>
      <c r="I110" s="613"/>
      <c r="J110" s="439"/>
      <c r="K110" s="439"/>
      <c r="L110" s="439"/>
      <c r="M110" s="439"/>
      <c r="N110" s="439"/>
      <c r="O110" s="439"/>
      <c r="P110" s="439"/>
      <c r="Q110" s="439"/>
    </row>
    <row r="111" spans="1:17">
      <c r="A111" s="611"/>
      <c r="B111" s="612"/>
      <c r="C111" s="612"/>
      <c r="D111" s="612"/>
      <c r="E111" s="613"/>
      <c r="F111" s="613"/>
      <c r="G111" s="613"/>
      <c r="H111" s="613"/>
      <c r="I111" s="613"/>
      <c r="J111" s="439"/>
      <c r="K111" s="439"/>
      <c r="L111" s="439"/>
      <c r="M111" s="439"/>
      <c r="N111" s="439"/>
      <c r="O111" s="439"/>
      <c r="P111" s="439"/>
      <c r="Q111" s="439"/>
    </row>
    <row r="112" spans="1:17">
      <c r="A112" s="611"/>
      <c r="B112" s="612"/>
      <c r="C112" s="612"/>
      <c r="D112" s="612"/>
      <c r="E112" s="613"/>
      <c r="F112" s="613"/>
      <c r="G112" s="613"/>
      <c r="H112" s="613"/>
      <c r="I112" s="613"/>
      <c r="J112" s="439"/>
      <c r="K112" s="439"/>
      <c r="L112" s="439"/>
      <c r="M112" s="439"/>
      <c r="N112" s="439"/>
      <c r="O112" s="439"/>
      <c r="P112" s="439"/>
      <c r="Q112" s="439"/>
    </row>
    <row r="113" spans="1:17">
      <c r="A113" s="611"/>
      <c r="B113" s="612"/>
      <c r="C113" s="612"/>
      <c r="D113" s="612"/>
      <c r="E113" s="613"/>
      <c r="F113" s="613"/>
      <c r="G113" s="613"/>
      <c r="H113" s="613"/>
      <c r="I113" s="613"/>
      <c r="J113" s="439"/>
      <c r="K113" s="439"/>
      <c r="L113" s="439"/>
      <c r="M113" s="439"/>
      <c r="N113" s="439"/>
      <c r="O113" s="439"/>
      <c r="P113" s="439"/>
      <c r="Q113" s="439"/>
    </row>
    <row r="114" spans="1:17">
      <c r="A114" s="611"/>
      <c r="B114" s="612"/>
      <c r="C114" s="612"/>
      <c r="D114" s="612"/>
      <c r="E114" s="613"/>
      <c r="F114" s="613"/>
      <c r="G114" s="613"/>
      <c r="H114" s="613"/>
      <c r="I114" s="613"/>
      <c r="J114" s="439"/>
      <c r="K114" s="439"/>
      <c r="L114" s="439"/>
      <c r="M114" s="439"/>
      <c r="N114" s="439"/>
      <c r="O114" s="439"/>
      <c r="P114" s="439"/>
      <c r="Q114" s="439"/>
    </row>
    <row r="115" spans="1:17">
      <c r="A115" s="611"/>
      <c r="B115" s="612"/>
      <c r="C115" s="612"/>
      <c r="D115" s="612"/>
      <c r="E115" s="613"/>
      <c r="F115" s="613"/>
      <c r="G115" s="613"/>
      <c r="H115" s="613"/>
      <c r="I115" s="613"/>
      <c r="J115" s="439"/>
      <c r="K115" s="439"/>
      <c r="L115" s="439"/>
      <c r="M115" s="439"/>
      <c r="N115" s="439"/>
      <c r="O115" s="439"/>
      <c r="P115" s="439"/>
      <c r="Q115" s="439"/>
    </row>
    <row r="116" spans="1:17">
      <c r="A116" s="611"/>
      <c r="B116" s="612"/>
      <c r="C116" s="612"/>
      <c r="D116" s="612"/>
      <c r="E116" s="613"/>
      <c r="F116" s="613"/>
      <c r="G116" s="613"/>
      <c r="H116" s="613"/>
      <c r="I116" s="613"/>
      <c r="J116" s="439"/>
      <c r="K116" s="439"/>
      <c r="L116" s="439"/>
      <c r="M116" s="439"/>
      <c r="N116" s="439"/>
      <c r="O116" s="439"/>
      <c r="P116" s="439"/>
      <c r="Q116" s="439"/>
    </row>
    <row r="117" spans="1:17">
      <c r="A117" s="611"/>
      <c r="B117" s="612"/>
      <c r="C117" s="612"/>
      <c r="D117" s="612"/>
      <c r="E117" s="613"/>
      <c r="F117" s="613"/>
      <c r="G117" s="613"/>
      <c r="H117" s="613"/>
      <c r="I117" s="613"/>
      <c r="J117" s="439"/>
      <c r="K117" s="439"/>
      <c r="L117" s="439"/>
      <c r="M117" s="439"/>
      <c r="N117" s="439"/>
      <c r="O117" s="439"/>
      <c r="P117" s="439"/>
      <c r="Q117" s="439"/>
    </row>
    <row r="118" spans="1:17">
      <c r="A118" s="611"/>
      <c r="B118" s="612"/>
      <c r="C118" s="612"/>
      <c r="D118" s="612"/>
      <c r="E118" s="613"/>
      <c r="F118" s="613"/>
      <c r="G118" s="613"/>
      <c r="H118" s="613"/>
      <c r="I118" s="613"/>
      <c r="J118" s="439"/>
      <c r="K118" s="439"/>
      <c r="L118" s="439"/>
      <c r="M118" s="439"/>
      <c r="N118" s="439"/>
      <c r="O118" s="439"/>
      <c r="P118" s="439"/>
      <c r="Q118" s="439"/>
    </row>
    <row r="119" spans="1:17">
      <c r="A119" s="611"/>
      <c r="B119" s="612"/>
      <c r="C119" s="612"/>
      <c r="D119" s="612"/>
      <c r="E119" s="613"/>
      <c r="F119" s="613"/>
      <c r="G119" s="613"/>
      <c r="H119" s="613"/>
      <c r="I119" s="613"/>
      <c r="J119" s="439"/>
      <c r="K119" s="439"/>
      <c r="L119" s="439"/>
      <c r="M119" s="439"/>
      <c r="N119" s="439"/>
      <c r="O119" s="439"/>
      <c r="P119" s="439"/>
      <c r="Q119" s="439"/>
    </row>
  </sheetData>
  <mergeCells count="1">
    <mergeCell ref="F6:J6"/>
  </mergeCells>
  <phoneticPr fontId="0" type="noConversion"/>
  <pageMargins left="0.7" right="0.7" top="0.75" bottom="0.75" header="0.3" footer="0.3"/>
  <pageSetup scale="71" orientation="portrait" r:id="rId1"/>
  <headerFooter>
    <oddHeader>&amp;RExhibit No. JH-3
Dockets UE-170485/UG-170486
Page &amp;P of &amp;N</oddHeader>
    <oddFooter>&amp;LBench Request No.9 - Attachment B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0"/>
  <sheetViews>
    <sheetView view="pageBreakPreview" topLeftCell="A4" zoomScale="115" zoomScaleNormal="100" zoomScaleSheetLayoutView="115" workbookViewId="0">
      <selection activeCell="D30" sqref="D30:D43"/>
    </sheetView>
  </sheetViews>
  <sheetFormatPr defaultColWidth="11.44140625" defaultRowHeight="13.2"/>
  <cols>
    <col min="1" max="1" width="6.44140625" style="35" customWidth="1"/>
    <col min="2" max="2" width="12.5546875" style="230" customWidth="1"/>
    <col min="3" max="3" width="41.77734375" style="35" customWidth="1"/>
    <col min="4" max="5" width="11.44140625" style="35" customWidth="1"/>
    <col min="6" max="6" width="7.77734375" style="316" customWidth="1"/>
    <col min="7" max="7" width="7.21875" style="315" hidden="1" customWidth="1"/>
    <col min="8" max="8" width="10.5546875" style="316" hidden="1" customWidth="1"/>
    <col min="9" max="9" width="7.21875" style="394" bestFit="1" customWidth="1"/>
    <col min="10" max="10" width="8.44140625" style="412" hidden="1" customWidth="1"/>
    <col min="11" max="11" width="9" style="35" customWidth="1"/>
    <col min="12" max="12" width="11.44140625" style="35" customWidth="1"/>
    <col min="13" max="16384" width="11.44140625" style="35"/>
  </cols>
  <sheetData>
    <row r="1" spans="1:15">
      <c r="A1" s="945" t="str">
        <f>'ADJ DETAIL INPUT'!A2</f>
        <v>AVISTA UTILITIES</v>
      </c>
      <c r="B1" s="945"/>
      <c r="C1" s="945"/>
      <c r="D1" s="945"/>
      <c r="E1" s="945"/>
      <c r="F1" s="945"/>
      <c r="G1" s="102"/>
      <c r="H1" s="35"/>
      <c r="I1" s="393"/>
      <c r="K1" s="101"/>
      <c r="L1" s="43"/>
    </row>
    <row r="2" spans="1:15">
      <c r="A2" s="957" t="s">
        <v>71</v>
      </c>
      <c r="B2" s="957"/>
      <c r="C2" s="957"/>
      <c r="D2" s="957"/>
      <c r="E2" s="957"/>
      <c r="F2" s="957"/>
      <c r="G2" s="102"/>
      <c r="H2" s="35"/>
      <c r="K2" s="101"/>
      <c r="L2" s="42"/>
    </row>
    <row r="3" spans="1:15" s="42" customFormat="1">
      <c r="A3" s="956" t="s">
        <v>155</v>
      </c>
      <c r="B3" s="956"/>
      <c r="C3" s="956"/>
      <c r="D3" s="956"/>
      <c r="E3" s="956"/>
      <c r="F3" s="956"/>
      <c r="G3" s="315"/>
      <c r="H3" s="316"/>
      <c r="I3" s="395"/>
      <c r="J3" s="413"/>
      <c r="K3" s="44"/>
      <c r="L3" s="45"/>
    </row>
    <row r="4" spans="1:15" s="42" customFormat="1">
      <c r="A4" s="956" t="str">
        <f>'PROP0SED RATES-2018'!A4</f>
        <v>TWELVE MONTHS ENDED DECEMBER 31, 2016</v>
      </c>
      <c r="B4" s="956"/>
      <c r="C4" s="956"/>
      <c r="D4" s="956"/>
      <c r="E4" s="956"/>
      <c r="F4" s="956"/>
      <c r="G4" s="315"/>
      <c r="H4" s="316"/>
      <c r="I4" s="395"/>
      <c r="J4" s="413"/>
      <c r="K4" s="44"/>
      <c r="L4" s="45"/>
    </row>
    <row r="5" spans="1:15" s="42" customFormat="1">
      <c r="A5" s="35"/>
      <c r="B5" s="230"/>
      <c r="C5" s="35"/>
      <c r="D5" s="318"/>
      <c r="E5" s="318" t="s">
        <v>71</v>
      </c>
      <c r="F5" s="316"/>
      <c r="G5" s="315"/>
      <c r="H5" s="316"/>
      <c r="I5" s="395"/>
      <c r="J5" s="413"/>
      <c r="K5" s="44"/>
      <c r="L5" s="46"/>
    </row>
    <row r="6" spans="1:15">
      <c r="A6" s="318" t="s">
        <v>72</v>
      </c>
      <c r="B6" s="318" t="s">
        <v>249</v>
      </c>
      <c r="C6" s="318" t="s">
        <v>73</v>
      </c>
      <c r="D6" s="318" t="s">
        <v>74</v>
      </c>
      <c r="E6" s="318" t="s">
        <v>19</v>
      </c>
      <c r="F6" s="52" t="s">
        <v>75</v>
      </c>
      <c r="G6" s="113" t="s">
        <v>125</v>
      </c>
      <c r="H6" s="318" t="s">
        <v>126</v>
      </c>
      <c r="I6" s="396" t="s">
        <v>192</v>
      </c>
      <c r="J6" s="414" t="s">
        <v>193</v>
      </c>
      <c r="K6" s="314" t="s">
        <v>436</v>
      </c>
      <c r="L6" s="317"/>
    </row>
    <row r="7" spans="1:15">
      <c r="A7" s="384" t="s">
        <v>487</v>
      </c>
      <c r="B7" s="317"/>
      <c r="C7" s="317"/>
      <c r="D7" s="317"/>
      <c r="E7" s="317"/>
      <c r="F7" s="317"/>
      <c r="G7" s="312"/>
      <c r="H7" s="317"/>
      <c r="I7" s="395"/>
      <c r="J7" s="413"/>
      <c r="K7" s="42"/>
      <c r="L7" s="317"/>
    </row>
    <row r="8" spans="1:15">
      <c r="A8" s="336">
        <f>'ADJ DETAIL INPUT'!E$11</f>
        <v>1</v>
      </c>
      <c r="B8" s="232" t="str">
        <f>'ADJ DETAIL INPUT'!E$12</f>
        <v>G-ROO</v>
      </c>
      <c r="C8" s="48" t="str">
        <f>TRIM(CONCATENATE('ADJ DETAIL INPUT'!E$8," ",'ADJ DETAIL INPUT'!E$9," ",'ADJ DETAIL INPUT'!E$10))</f>
        <v>Per Results Report</v>
      </c>
      <c r="D8" s="49">
        <f>'ADJ DETAIL INPUT'!E$59</f>
        <v>23458</v>
      </c>
      <c r="E8" s="49">
        <f>'ADJ DETAIL INPUT'!E$82</f>
        <v>287787</v>
      </c>
      <c r="G8" s="315" t="s">
        <v>185</v>
      </c>
      <c r="I8" s="394" t="s">
        <v>135</v>
      </c>
      <c r="K8" s="410" t="s">
        <v>127</v>
      </c>
      <c r="L8" s="94"/>
      <c r="M8" s="383"/>
      <c r="N8" s="383"/>
      <c r="O8" s="383"/>
    </row>
    <row r="9" spans="1:15">
      <c r="A9" s="336">
        <f>'ADJ DETAIL INPUT'!F$11</f>
        <v>1.01</v>
      </c>
      <c r="B9" s="232" t="str">
        <f>'ADJ DETAIL INPUT'!F$12</f>
        <v>G-DFIT</v>
      </c>
      <c r="C9" s="48" t="str">
        <f>TRIM(CONCATENATE('ADJ DETAIL INPUT'!F$8," ",'ADJ DETAIL INPUT'!F$9," ",'ADJ DETAIL INPUT'!F$10))</f>
        <v>Deferred FIT Rate Base</v>
      </c>
      <c r="D9" s="117">
        <f>'ADJ DETAIL INPUT'!F$59</f>
        <v>-3.1701897499999996</v>
      </c>
      <c r="E9" s="117">
        <f>'ADJ DETAIL INPUT'!F$82</f>
        <v>-325</v>
      </c>
      <c r="G9" s="315" t="s">
        <v>131</v>
      </c>
      <c r="H9" s="35"/>
      <c r="I9" s="394" t="s">
        <v>476</v>
      </c>
      <c r="K9" s="410" t="s">
        <v>127</v>
      </c>
      <c r="L9" s="94"/>
      <c r="M9" s="383"/>
      <c r="N9" s="383"/>
      <c r="O9" s="383"/>
    </row>
    <row r="10" spans="1:15">
      <c r="A10" s="336">
        <f>'ADJ DETAIL INPUT'!G$11</f>
        <v>1.02</v>
      </c>
      <c r="B10" s="232" t="str">
        <f>'ADJ DETAIL INPUT'!G$12</f>
        <v>G-DDC</v>
      </c>
      <c r="C10" s="48" t="str">
        <f>TRIM(CONCATENATE('ADJ DETAIL INPUT'!G$8," ",'ADJ DETAIL INPUT'!G$9," ",'ADJ DETAIL INPUT'!G$10))</f>
        <v>Deferred Debits and Credits</v>
      </c>
      <c r="D10" s="117">
        <f>'ADJ DETAIL INPUT'!G$59</f>
        <v>-1.3</v>
      </c>
      <c r="E10" s="117">
        <f>'ADJ DETAIL INPUT'!G$82</f>
        <v>0</v>
      </c>
      <c r="G10" s="315" t="s">
        <v>185</v>
      </c>
      <c r="I10" s="394" t="s">
        <v>509</v>
      </c>
      <c r="K10" s="410" t="s">
        <v>127</v>
      </c>
      <c r="L10" s="94"/>
      <c r="M10" s="383"/>
      <c r="N10" s="383"/>
      <c r="O10" s="383"/>
    </row>
    <row r="11" spans="1:15">
      <c r="A11" s="336">
        <f>'ADJ DETAIL INPUT'!H$11</f>
        <v>1.03</v>
      </c>
      <c r="B11" s="232" t="str">
        <f>'ADJ DETAIL INPUT'!H$12</f>
        <v>G-WC</v>
      </c>
      <c r="C11" s="48" t="str">
        <f>TRIM(CONCATENATE('ADJ DETAIL INPUT'!H$8," ",'ADJ DETAIL INPUT'!H$9," ",'ADJ DETAIL INPUT'!H$10))</f>
        <v>Working Capital</v>
      </c>
      <c r="D11" s="117">
        <f>'ADJ DETAIL INPUT'!H$59</f>
        <v>-40.793026259999991</v>
      </c>
      <c r="E11" s="117">
        <f>'ADJ DETAIL INPUT'!H$82</f>
        <v>-4182</v>
      </c>
      <c r="G11" s="315" t="s">
        <v>185</v>
      </c>
      <c r="I11" s="394" t="s">
        <v>135</v>
      </c>
      <c r="K11" s="410" t="s">
        <v>127</v>
      </c>
      <c r="L11" s="45"/>
    </row>
    <row r="12" spans="1:15">
      <c r="A12" s="336">
        <f>'ADJ DETAIL INPUT'!I$11</f>
        <v>2.0099999999999998</v>
      </c>
      <c r="B12" s="232" t="str">
        <f>'ADJ DETAIL INPUT'!I$12</f>
        <v>G-EBO</v>
      </c>
      <c r="C12" s="48" t="str">
        <f>TRIM(CONCATENATE('ADJ DETAIL INPUT'!I$8," ",'ADJ DETAIL INPUT'!I$9," ",'ADJ DETAIL INPUT'!I$10))</f>
        <v>Eliminate B &amp; O Taxes</v>
      </c>
      <c r="D12" s="117">
        <f>'ADJ DETAIL INPUT'!I$59</f>
        <v>-20.8</v>
      </c>
      <c r="E12" s="117">
        <f>'ADJ DETAIL INPUT'!I$82</f>
        <v>0</v>
      </c>
      <c r="G12" s="315" t="s">
        <v>185</v>
      </c>
      <c r="I12" s="394" t="s">
        <v>476</v>
      </c>
      <c r="K12" s="410" t="s">
        <v>127</v>
      </c>
      <c r="L12" s="45"/>
    </row>
    <row r="13" spans="1:15">
      <c r="A13" s="336">
        <f>'ADJ DETAIL INPUT'!J$11</f>
        <v>2.0199999999999996</v>
      </c>
      <c r="B13" s="232" t="str">
        <f>'ADJ DETAIL INPUT'!J$12</f>
        <v>G-RPT</v>
      </c>
      <c r="C13" s="48" t="str">
        <f>TRIM(CONCATENATE('ADJ DETAIL INPUT'!J$8," ",'ADJ DETAIL INPUT'!J$9," ",'ADJ DETAIL INPUT'!J$10))</f>
        <v>Restate Property Tax</v>
      </c>
      <c r="D13" s="117">
        <f>'ADJ DETAIL INPUT'!J$59</f>
        <v>-168.35000000000002</v>
      </c>
      <c r="E13" s="117">
        <f>'ADJ DETAIL INPUT'!J$82</f>
        <v>0</v>
      </c>
      <c r="G13" s="315" t="s">
        <v>185</v>
      </c>
      <c r="I13" s="394" t="s">
        <v>135</v>
      </c>
      <c r="K13" s="410" t="s">
        <v>127</v>
      </c>
      <c r="L13" s="45"/>
    </row>
    <row r="14" spans="1:15">
      <c r="A14" s="336">
        <f>'ADJ DETAIL INPUT'!K$11</f>
        <v>2.0299999999999994</v>
      </c>
      <c r="B14" s="232" t="str">
        <f>'ADJ DETAIL INPUT'!K$12</f>
        <v>G-UE</v>
      </c>
      <c r="C14" s="48" t="str">
        <f>TRIM(CONCATENATE('ADJ DETAIL INPUT'!K$8," ",'ADJ DETAIL INPUT'!K$9," ",'ADJ DETAIL INPUT'!K$10))</f>
        <v>Uncollectible Expense</v>
      </c>
      <c r="D14" s="117">
        <f>'ADJ DETAIL INPUT'!K$59</f>
        <v>250.9</v>
      </c>
      <c r="E14" s="117">
        <f>'ADJ DETAIL INPUT'!K$82</f>
        <v>0</v>
      </c>
      <c r="G14" s="315" t="s">
        <v>185</v>
      </c>
      <c r="I14" s="394" t="s">
        <v>456</v>
      </c>
      <c r="K14" s="410" t="s">
        <v>127</v>
      </c>
      <c r="L14" s="45"/>
    </row>
    <row r="15" spans="1:15">
      <c r="A15" s="336">
        <f>'ADJ DETAIL INPUT'!L$11</f>
        <v>2.0399999999999991</v>
      </c>
      <c r="B15" s="232" t="str">
        <f>'ADJ DETAIL INPUT'!L$12</f>
        <v>G-RE</v>
      </c>
      <c r="C15" s="48" t="str">
        <f>TRIM(CONCATENATE('ADJ DETAIL INPUT'!L$8," ",'ADJ DETAIL INPUT'!L$9," ",'ADJ DETAIL INPUT'!L$10))</f>
        <v>Regulatory Expense</v>
      </c>
      <c r="D15" s="117">
        <f>'ADJ DETAIL INPUT'!L$59</f>
        <v>1.9500000000000002</v>
      </c>
      <c r="E15" s="117">
        <f>'ADJ DETAIL INPUT'!L$82</f>
        <v>0</v>
      </c>
      <c r="G15" s="315" t="s">
        <v>169</v>
      </c>
      <c r="I15" s="394" t="s">
        <v>509</v>
      </c>
      <c r="K15" s="410" t="s">
        <v>127</v>
      </c>
      <c r="L15" s="45"/>
    </row>
    <row r="16" spans="1:15">
      <c r="A16" s="336">
        <f>'ADJ DETAIL INPUT'!M$11</f>
        <v>2.0499999999999989</v>
      </c>
      <c r="B16" s="232" t="str">
        <f>'ADJ DETAIL INPUT'!M$12</f>
        <v>G-ID</v>
      </c>
      <c r="C16" s="48" t="str">
        <f>TRIM(CONCATENATE('ADJ DETAIL INPUT'!M$8," ",'ADJ DETAIL INPUT'!M$9," ",'ADJ DETAIL INPUT'!M$10))</f>
        <v>Injuries &amp; Damages</v>
      </c>
      <c r="D16" s="117">
        <f>'ADJ DETAIL INPUT'!M$59</f>
        <v>-49.400000000000006</v>
      </c>
      <c r="E16" s="117">
        <f>'ADJ DETAIL INPUT'!M$82</f>
        <v>0</v>
      </c>
      <c r="G16" s="315" t="s">
        <v>169</v>
      </c>
      <c r="I16" s="394" t="s">
        <v>509</v>
      </c>
      <c r="K16" s="410" t="s">
        <v>127</v>
      </c>
      <c r="L16" s="45"/>
    </row>
    <row r="17" spans="1:13">
      <c r="A17" s="336">
        <f>'ADJ DETAIL INPUT'!N$11</f>
        <v>2.0599999999999987</v>
      </c>
      <c r="B17" s="232" t="str">
        <f>'ADJ DETAIL INPUT'!N$12</f>
        <v>G-FIT</v>
      </c>
      <c r="C17" s="48" t="str">
        <f>TRIM(CONCATENATE('ADJ DETAIL INPUT'!N$8," ",'ADJ DETAIL INPUT'!N$9," ",'ADJ DETAIL INPUT'!N$10))</f>
        <v>FIT / DFIT Expense</v>
      </c>
      <c r="D17" s="337">
        <f>'ADJ DETAIL INPUT'!N$59</f>
        <v>0</v>
      </c>
      <c r="E17" s="117">
        <f>'ADJ DETAIL INPUT'!N$82</f>
        <v>0</v>
      </c>
      <c r="G17" s="315" t="s">
        <v>131</v>
      </c>
      <c r="H17" s="35"/>
      <c r="I17" s="394" t="s">
        <v>476</v>
      </c>
      <c r="K17" s="410" t="s">
        <v>127</v>
      </c>
      <c r="L17" s="45"/>
    </row>
    <row r="18" spans="1:13">
      <c r="A18" s="336">
        <f>'ADJ DETAIL INPUT'!O$11</f>
        <v>2.0699999999999985</v>
      </c>
      <c r="B18" s="232" t="str">
        <f>'ADJ DETAIL INPUT'!O$12</f>
        <v>G-OSC</v>
      </c>
      <c r="C18" s="48" t="str">
        <f>TRIM(CONCATENATE('ADJ DETAIL INPUT'!O$8," ",'ADJ DETAIL INPUT'!O$9," ",'ADJ DETAIL INPUT'!O$10))</f>
        <v>Office Space Charges to Subs</v>
      </c>
      <c r="D18" s="117">
        <f>'ADJ DETAIL INPUT'!O$59</f>
        <v>5.85</v>
      </c>
      <c r="E18" s="117">
        <f>'ADJ DETAIL INPUT'!O$82</f>
        <v>0</v>
      </c>
      <c r="G18" s="315" t="s">
        <v>185</v>
      </c>
      <c r="H18" s="35"/>
      <c r="I18" s="394" t="s">
        <v>456</v>
      </c>
      <c r="K18" s="410" t="s">
        <v>127</v>
      </c>
      <c r="L18" s="45"/>
    </row>
    <row r="19" spans="1:13">
      <c r="A19" s="336">
        <f>'ADJ DETAIL INPUT'!P$11</f>
        <v>2.0799999999999983</v>
      </c>
      <c r="B19" s="232" t="str">
        <f>'ADJ DETAIL INPUT'!P$12</f>
        <v>G-RET</v>
      </c>
      <c r="C19" s="48" t="str">
        <f>TRIM(CONCATENATE('ADJ DETAIL INPUT'!P$8," ",'ADJ DETAIL INPUT'!P$9," ",'ADJ DETAIL INPUT'!P$10))</f>
        <v>Restate Excise Taxes</v>
      </c>
      <c r="D19" s="117">
        <f>'ADJ DETAIL INPUT'!P$59</f>
        <v>-1.3</v>
      </c>
      <c r="E19" s="117">
        <f>'ADJ DETAIL INPUT'!P$82</f>
        <v>0</v>
      </c>
      <c r="G19" s="315" t="s">
        <v>185</v>
      </c>
      <c r="H19" s="35"/>
      <c r="I19" s="394" t="s">
        <v>476</v>
      </c>
      <c r="K19" s="410" t="s">
        <v>127</v>
      </c>
      <c r="L19" s="45"/>
    </row>
    <row r="20" spans="1:13">
      <c r="A20" s="336">
        <f>'ADJ DETAIL INPUT'!Q$11</f>
        <v>2.0899999999999981</v>
      </c>
      <c r="B20" s="232" t="str">
        <f>'ADJ DETAIL INPUT'!Q$12</f>
        <v>G-NGL</v>
      </c>
      <c r="C20" s="48" t="str">
        <f>TRIM(CONCATENATE('ADJ DETAIL INPUT'!Q$8," ",'ADJ DETAIL INPUT'!Q$9," ",'ADJ DETAIL INPUT'!Q$10))</f>
        <v>Net Gains &amp; Losses</v>
      </c>
      <c r="D20" s="117">
        <f>'ADJ DETAIL INPUT'!Q$59</f>
        <v>8.4499999999999993</v>
      </c>
      <c r="E20" s="117">
        <f>'ADJ DETAIL INPUT'!Q$82</f>
        <v>0</v>
      </c>
      <c r="G20" s="315" t="s">
        <v>169</v>
      </c>
      <c r="I20" s="394" t="s">
        <v>509</v>
      </c>
      <c r="K20" s="410" t="s">
        <v>127</v>
      </c>
      <c r="L20" s="45"/>
    </row>
    <row r="21" spans="1:13">
      <c r="A21" s="336">
        <f>'ADJ DETAIL INPUT'!R$11</f>
        <v>2.0999999999999979</v>
      </c>
      <c r="B21" s="232" t="str">
        <f>'ADJ DETAIL INPUT'!R$12</f>
        <v>G-WNGC</v>
      </c>
      <c r="C21" s="48" t="str">
        <f>TRIM(CONCATENATE('ADJ DETAIL INPUT'!R$8," ",'ADJ DETAIL INPUT'!R$9," ",'ADJ DETAIL INPUT'!R$10))</f>
        <v>Weather Normalization / Gas Cost Adjust</v>
      </c>
      <c r="D21" s="117">
        <f>'ADJ DETAIL INPUT'!R$59</f>
        <v>-11.7</v>
      </c>
      <c r="E21" s="117">
        <f>'ADJ DETAIL INPUT'!R$82</f>
        <v>0</v>
      </c>
      <c r="G21" s="315" t="s">
        <v>188</v>
      </c>
      <c r="H21" s="35"/>
      <c r="I21" s="394" t="s">
        <v>476</v>
      </c>
      <c r="K21" s="410" t="s">
        <v>127</v>
      </c>
      <c r="L21" s="45"/>
    </row>
    <row r="22" spans="1:13" s="354" customFormat="1">
      <c r="A22" s="365">
        <f>'ADJ DETAIL INPUT'!S$11</f>
        <v>2.1099999999999977</v>
      </c>
      <c r="B22" s="366" t="str">
        <f>'ADJ DETAIL INPUT'!S$12</f>
        <v>G-EAS</v>
      </c>
      <c r="C22" s="360" t="str">
        <f>TRIM(CONCATENATE('ADJ DETAIL INPUT'!S$8," ",'ADJ DETAIL INPUT'!S$9," ",'ADJ DETAIL INPUT'!S$10))</f>
        <v>Eliminate Adder Schedules</v>
      </c>
      <c r="D22" s="361">
        <f>'ADJ DETAIL INPUT'!S$59</f>
        <v>-309.39999999999998</v>
      </c>
      <c r="E22" s="361">
        <f>'ADJ DETAIL INPUT'!S$82</f>
        <v>0</v>
      </c>
      <c r="F22" s="357"/>
      <c r="G22" s="355" t="s">
        <v>188</v>
      </c>
      <c r="I22" s="394" t="s">
        <v>509</v>
      </c>
      <c r="J22" s="415"/>
      <c r="K22" s="410" t="s">
        <v>127</v>
      </c>
      <c r="L22" s="359"/>
    </row>
    <row r="23" spans="1:13" s="95" customFormat="1">
      <c r="A23" s="336">
        <f>'ADJ DETAIL INPUT'!T$11</f>
        <v>2.1199999999999974</v>
      </c>
      <c r="B23" s="232" t="str">
        <f>'ADJ DETAIL INPUT'!T$12</f>
        <v>G-MR</v>
      </c>
      <c r="C23" s="338" t="str">
        <f>TRIM(CONCATENATE('ADJ DETAIL INPUT'!T$8," ",'ADJ DETAIL INPUT'!T$9," ",'ADJ DETAIL INPUT'!T$10))</f>
        <v>Misc. Restating Non-Util / Non- Recurring Expenses</v>
      </c>
      <c r="D23" s="337">
        <f>'ADJ DETAIL INPUT'!T$59</f>
        <v>204.75</v>
      </c>
      <c r="E23" s="337">
        <f>'ADJ DETAIL INPUT'!T$82</f>
        <v>0</v>
      </c>
      <c r="F23" s="50"/>
      <c r="G23" s="315" t="s">
        <v>187</v>
      </c>
      <c r="H23" s="316"/>
      <c r="I23" s="394" t="s">
        <v>509</v>
      </c>
      <c r="J23" s="412"/>
      <c r="K23" s="417" t="s">
        <v>127</v>
      </c>
      <c r="L23" s="94"/>
    </row>
    <row r="24" spans="1:13" ht="13.5" customHeight="1">
      <c r="A24" s="336">
        <f>'ADJ DETAIL INPUT'!U$11</f>
        <v>2.1299999999999972</v>
      </c>
      <c r="B24" s="232" t="str">
        <f>'ADJ DETAIL INPUT'!U$12</f>
        <v>G-CD</v>
      </c>
      <c r="C24" s="48" t="str">
        <f>TRIM(CONCATENATE('ADJ DETAIL INPUT'!U$8," ",'ADJ DETAIL INPUT'!U$9," ",'ADJ DETAIL INPUT'!U$10))</f>
        <v>Project Compass Deferral</v>
      </c>
      <c r="D24" s="117">
        <f>'ADJ DETAIL INPUT'!U$59</f>
        <v>-701.35</v>
      </c>
      <c r="E24" s="117">
        <f>'ADJ DETAIL INPUT'!U$82</f>
        <v>0</v>
      </c>
      <c r="G24" s="315" t="s">
        <v>185</v>
      </c>
      <c r="H24" s="35"/>
      <c r="I24" s="394" t="s">
        <v>127</v>
      </c>
      <c r="K24" s="410" t="s">
        <v>127</v>
      </c>
      <c r="L24" s="45"/>
    </row>
    <row r="25" spans="1:13" s="379" customFormat="1" ht="13.5" customHeight="1">
      <c r="A25" s="386">
        <f>'ADJ DETAIL INPUT'!V$11</f>
        <v>2.139999999999997</v>
      </c>
      <c r="B25" s="387" t="str">
        <f>'ADJ DETAIL INPUT'!V$12</f>
        <v>G-RI</v>
      </c>
      <c r="C25" s="360" t="str">
        <f>TRIM(CONCATENATE('ADJ DETAIL INPUT'!V$8," ",'ADJ DETAIL INPUT'!V$9," ",'ADJ DETAIL INPUT'!V$10))</f>
        <v>Restating Incentives</v>
      </c>
      <c r="D25" s="382">
        <f>'ADJ DETAIL INPUT'!V$59</f>
        <v>108.55000000000001</v>
      </c>
      <c r="E25" s="382">
        <f>'ADJ DETAIL INPUT'!V$82</f>
        <v>0</v>
      </c>
      <c r="F25" s="420"/>
      <c r="G25" s="419" t="s">
        <v>185</v>
      </c>
      <c r="I25" s="394" t="s">
        <v>252</v>
      </c>
      <c r="J25" s="412"/>
      <c r="K25" s="427" t="s">
        <v>127</v>
      </c>
      <c r="L25" s="359"/>
    </row>
    <row r="26" spans="1:13" s="95" customFormat="1" ht="13.5" customHeight="1">
      <c r="A26" s="336">
        <f>'ADJ DETAIL INPUT'!W$11</f>
        <v>2.1499999999999968</v>
      </c>
      <c r="B26" s="232" t="str">
        <f>'ADJ DETAIL INPUT'!W$12</f>
        <v>G-DI</v>
      </c>
      <c r="C26" s="338" t="str">
        <f>TRIM(CONCATENATE('ADJ DETAIL INPUT'!W$8," ",'ADJ DETAIL INPUT'!W$9," ",'ADJ DETAIL INPUT'!W$10))</f>
        <v>Restate Debt Interest</v>
      </c>
      <c r="D26" s="337">
        <f>'ADJ DETAIL INPUT'!W$59</f>
        <v>67</v>
      </c>
      <c r="E26" s="337">
        <f>'ADJ DETAIL INPUT'!W$82</f>
        <v>0</v>
      </c>
      <c r="F26" s="50"/>
      <c r="G26" s="114"/>
      <c r="H26" s="50" t="s">
        <v>127</v>
      </c>
      <c r="I26" s="394" t="s">
        <v>127</v>
      </c>
      <c r="J26" s="412"/>
      <c r="K26" s="427" t="s">
        <v>127</v>
      </c>
    </row>
    <row r="27" spans="1:13" ht="13.5" customHeight="1">
      <c r="A27" s="336"/>
      <c r="B27" s="232"/>
      <c r="C27" s="48"/>
      <c r="D27" s="117"/>
      <c r="E27" s="117"/>
      <c r="K27" s="42"/>
      <c r="L27" s="45"/>
    </row>
    <row r="28" spans="1:13" ht="13.8" thickBot="1">
      <c r="A28" s="163"/>
      <c r="B28" s="231"/>
      <c r="C28" s="35" t="s">
        <v>77</v>
      </c>
      <c r="D28" s="51">
        <f>SUM(D8:D27)</f>
        <v>22797.886783990005</v>
      </c>
      <c r="E28" s="51">
        <f>SUM(E8:E27)</f>
        <v>283280</v>
      </c>
      <c r="F28" s="409"/>
      <c r="H28" s="339">
        <f>'ADJ DETAIL INPUT'!Y83</f>
        <v>0</v>
      </c>
      <c r="J28" s="413"/>
      <c r="K28" s="42"/>
      <c r="L28" s="45"/>
    </row>
    <row r="29" spans="1:13" ht="13.5" customHeight="1" thickTop="1">
      <c r="A29" s="116" t="s">
        <v>450</v>
      </c>
      <c r="B29" s="232"/>
      <c r="D29" s="48"/>
      <c r="H29" s="35"/>
      <c r="J29" s="413"/>
      <c r="K29" s="42"/>
      <c r="L29" s="45"/>
    </row>
    <row r="30" spans="1:13" s="379" customFormat="1">
      <c r="A30" s="386">
        <f>'ADJ DETAIL INPUT'!Z$11</f>
        <v>3.01</v>
      </c>
      <c r="B30" s="387" t="str">
        <f>'ADJ DETAIL INPUT'!Z$12</f>
        <v>G-PAT</v>
      </c>
      <c r="C30" s="385" t="str">
        <f>TRIM(CONCATENATE('ADJ DETAIL INPUT'!Z$8," ",'ADJ DETAIL INPUT'!Z$9," ",'ADJ DETAIL INPUT'!Z$10))</f>
        <v>Pro Forma Atmospheric Testing &amp; Leak Survey</v>
      </c>
      <c r="D30" s="382">
        <f>'ADJ DETAIL INPUT'!Z$59</f>
        <v>-226.2</v>
      </c>
      <c r="E30" s="382">
        <f>'ADJ DETAIL INPUT'!Z$82</f>
        <v>0</v>
      </c>
      <c r="F30" s="381"/>
      <c r="G30" s="380" t="s">
        <v>184</v>
      </c>
      <c r="H30" s="381"/>
      <c r="I30" s="420" t="s">
        <v>127</v>
      </c>
      <c r="J30" s="412"/>
      <c r="K30" s="427" t="s">
        <v>127</v>
      </c>
      <c r="L30" s="94"/>
      <c r="M30" s="383"/>
    </row>
    <row r="31" spans="1:13">
      <c r="A31" s="336">
        <f>'ADJ DETAIL INPUT'!AA$11</f>
        <v>3.0199999999999996</v>
      </c>
      <c r="B31" s="232" t="str">
        <f>'ADJ DETAIL INPUT'!AA$12</f>
        <v>G-PLN</v>
      </c>
      <c r="C31" s="48" t="str">
        <f>TRIM(CONCATENATE('ADJ DETAIL INPUT'!AA$8," ",'ADJ DETAIL INPUT'!AA$9," ",'ADJ DETAIL INPUT'!AA$10))</f>
        <v>Pro Forma Labor Non-Exec</v>
      </c>
      <c r="D31" s="117">
        <f>'ADJ DETAIL INPUT'!AA$59</f>
        <v>-568.1</v>
      </c>
      <c r="E31" s="117">
        <f>'ADJ DETAIL INPUT'!AA$82</f>
        <v>0</v>
      </c>
      <c r="G31" s="315" t="s">
        <v>169</v>
      </c>
      <c r="I31" s="424" t="s">
        <v>252</v>
      </c>
      <c r="K31" s="427" t="s">
        <v>127</v>
      </c>
      <c r="L31" s="45"/>
    </row>
    <row r="32" spans="1:13" ht="13.5" customHeight="1">
      <c r="A32" s="336">
        <f>'ADJ DETAIL INPUT'!AB$11</f>
        <v>3.0299999999999994</v>
      </c>
      <c r="B32" s="232" t="str">
        <f>'ADJ DETAIL INPUT'!AB$12</f>
        <v>G-PLE</v>
      </c>
      <c r="C32" s="48" t="str">
        <f>TRIM(CONCATENATE('ADJ DETAIL INPUT'!AB$8," ",'ADJ DETAIL INPUT'!AB$9," ",'ADJ DETAIL INPUT'!AB$10))</f>
        <v>Pro Forma Labor Exec</v>
      </c>
      <c r="D32" s="117">
        <f>'ADJ DETAIL INPUT'!AB$59</f>
        <v>6.5</v>
      </c>
      <c r="E32" s="117">
        <f>'ADJ DETAIL INPUT'!AB$82</f>
        <v>0</v>
      </c>
      <c r="G32" s="315" t="s">
        <v>169</v>
      </c>
      <c r="I32" s="421" t="s">
        <v>252</v>
      </c>
      <c r="K32" s="427" t="s">
        <v>127</v>
      </c>
      <c r="L32" s="45"/>
    </row>
    <row r="33" spans="1:13">
      <c r="A33" s="336">
        <f>'ADJ DETAIL INPUT'!AC$11</f>
        <v>3.0399999999999991</v>
      </c>
      <c r="B33" s="232" t="str">
        <f>'ADJ DETAIL INPUT'!AC$12</f>
        <v>G-PEB</v>
      </c>
      <c r="C33" s="48" t="str">
        <f>TRIM(CONCATENATE('ADJ DETAIL INPUT'!AC$8," ",'ADJ DETAIL INPUT'!AC$9," ",'ADJ DETAIL INPUT'!AC$10))</f>
        <v>Pro Forma Employee Benefits</v>
      </c>
      <c r="D33" s="117">
        <f>'ADJ DETAIL INPUT'!AC$59</f>
        <v>114.4</v>
      </c>
      <c r="E33" s="117">
        <f>'ADJ DETAIL INPUT'!AC$82</f>
        <v>0</v>
      </c>
      <c r="G33" s="315" t="s">
        <v>169</v>
      </c>
      <c r="I33" s="424" t="s">
        <v>252</v>
      </c>
      <c r="K33" s="427" t="s">
        <v>127</v>
      </c>
      <c r="L33" s="45"/>
    </row>
    <row r="34" spans="1:13" s="95" customFormat="1" ht="14.25" customHeight="1">
      <c r="A34" s="336">
        <f>'ADJ DETAIL INPUT'!AD$11</f>
        <v>3.0499999999999989</v>
      </c>
      <c r="B34" s="232" t="str">
        <f>'ADJ DETAIL INPUT'!AD$12</f>
        <v>G-PI</v>
      </c>
      <c r="C34" s="338" t="str">
        <f>TRIM(CONCATENATE('ADJ DETAIL INPUT'!AD$8," ",'ADJ DETAIL INPUT'!AD$9," ",'ADJ DETAIL INPUT'!AD$10))</f>
        <v>Pro Forma Incentive Adjustment</v>
      </c>
      <c r="D34" s="337">
        <f>'ADJ DETAIL INPUT'!AD$59</f>
        <v>0</v>
      </c>
      <c r="E34" s="337">
        <f>'ADJ DETAIL INPUT'!AD$82</f>
        <v>0</v>
      </c>
      <c r="F34" s="50"/>
      <c r="G34" s="114"/>
      <c r="H34" s="50"/>
      <c r="I34" s="394" t="s">
        <v>252</v>
      </c>
      <c r="J34" s="412"/>
      <c r="K34" s="427" t="s">
        <v>127</v>
      </c>
      <c r="L34" s="94"/>
    </row>
    <row r="35" spans="1:13">
      <c r="A35" s="336">
        <f>'ADJ DETAIL INPUT'!AE$11</f>
        <v>3.0599999999999987</v>
      </c>
      <c r="B35" s="232" t="str">
        <f>'ADJ DETAIL INPUT'!AE$12</f>
        <v>G-PPT</v>
      </c>
      <c r="C35" s="48" t="str">
        <f>TRIM(CONCATENATE('ADJ DETAIL INPUT'!AE$8," ",'ADJ DETAIL INPUT'!AE$9," ",'ADJ DETAIL INPUT'!AE$10))</f>
        <v>Pro Forma Property Tax</v>
      </c>
      <c r="D35" s="117">
        <f>'ADJ DETAIL INPUT'!AE$59</f>
        <v>-278.85000000000002</v>
      </c>
      <c r="E35" s="117">
        <f>'ADJ DETAIL INPUT'!AE$82</f>
        <v>0</v>
      </c>
      <c r="G35" s="315" t="s">
        <v>135</v>
      </c>
      <c r="I35" s="394" t="s">
        <v>135</v>
      </c>
      <c r="K35" s="427" t="s">
        <v>127</v>
      </c>
      <c r="L35" s="94"/>
      <c r="M35" s="95"/>
    </row>
    <row r="36" spans="1:13" s="379" customFormat="1">
      <c r="A36" s="386">
        <f>'ADJ DETAIL INPUT'!AF$11</f>
        <v>3.0699999999999985</v>
      </c>
      <c r="B36" s="387" t="str">
        <f>'ADJ DETAIL INPUT'!AF$12</f>
        <v>G-PIS</v>
      </c>
      <c r="C36" s="385" t="str">
        <f>TRIM(CONCATENATE('ADJ DETAIL INPUT'!AF$8," ",'ADJ DETAIL INPUT'!AF$9," ",'ADJ DETAIL INPUT'!AF$10))</f>
        <v>Pro Forma IS/IT Expense</v>
      </c>
      <c r="D36" s="382">
        <f>'ADJ DETAIL INPUT'!AF$59</f>
        <v>-130.65</v>
      </c>
      <c r="E36" s="382">
        <f>'ADJ DETAIL INPUT'!AF$82</f>
        <v>0</v>
      </c>
      <c r="F36" s="381"/>
      <c r="G36" s="380" t="s">
        <v>184</v>
      </c>
      <c r="H36" s="381"/>
      <c r="I36" s="418" t="s">
        <v>510</v>
      </c>
      <c r="J36" s="412"/>
      <c r="K36" s="427" t="s">
        <v>127</v>
      </c>
      <c r="L36" s="94"/>
      <c r="M36" s="383"/>
    </row>
    <row r="37" spans="1:13" s="354" customFormat="1">
      <c r="A37" s="365">
        <f>'ADJ DETAIL INPUT'!AG$11</f>
        <v>3.0799999999999983</v>
      </c>
      <c r="B37" s="366" t="str">
        <f>'ADJ DETAIL INPUT'!AG$12</f>
        <v>G-PREV</v>
      </c>
      <c r="C37" s="364" t="str">
        <f>TRIM(CONCATENATE('ADJ DETAIL INPUT'!AG$8," ",'ADJ DETAIL INPUT'!AG$9," ",'ADJ DETAIL INPUT'!AG$10))</f>
        <v>Pro Forma Revenue Normalization</v>
      </c>
      <c r="D37" s="361">
        <f>'ADJ DETAIL INPUT'!AG$59</f>
        <v>-543.40000000000009</v>
      </c>
      <c r="E37" s="361">
        <f>'ADJ DETAIL INPUT'!AG$82</f>
        <v>0</v>
      </c>
      <c r="F37" s="422"/>
      <c r="G37" s="355" t="s">
        <v>169</v>
      </c>
      <c r="H37" s="357"/>
      <c r="I37" s="418" t="s">
        <v>188</v>
      </c>
      <c r="J37" s="412"/>
      <c r="K37" s="427" t="s">
        <v>127</v>
      </c>
      <c r="L37" s="379"/>
      <c r="M37" s="363"/>
    </row>
    <row r="38" spans="1:13" s="379" customFormat="1">
      <c r="A38" s="386">
        <f>'ADJ DETAIL INPUT'!AH$11</f>
        <v>3.0899999999999981</v>
      </c>
      <c r="B38" s="387" t="str">
        <f>'ADJ DETAIL INPUT'!AH$12</f>
        <v>G-PRA</v>
      </c>
      <c r="C38" s="385" t="str">
        <f>TRIM(CONCATENATE('ADJ DETAIL INPUT'!AH$8," ",'ADJ DETAIL INPUT'!AH$9," ",'ADJ DETAIL INPUT'!AH$10))</f>
        <v>Pro Forma Regulatory Amortization</v>
      </c>
      <c r="D38" s="382">
        <f>'ADJ DETAIL INPUT'!AH$59</f>
        <v>701.35</v>
      </c>
      <c r="E38" s="382">
        <f>'ADJ DETAIL INPUT'!AH$82</f>
        <v>0</v>
      </c>
      <c r="F38" s="381"/>
      <c r="G38" s="380" t="s">
        <v>184</v>
      </c>
      <c r="H38" s="381"/>
      <c r="I38" s="418" t="s">
        <v>510</v>
      </c>
      <c r="J38" s="412"/>
      <c r="K38" s="427" t="s">
        <v>127</v>
      </c>
      <c r="M38" s="383"/>
    </row>
    <row r="39" spans="1:13" s="379" customFormat="1">
      <c r="A39" s="386">
        <f>'ADJ DETAIL INPUT'!AI$11</f>
        <v>3.0999999999999979</v>
      </c>
      <c r="B39" s="387" t="str">
        <f>'ADJ DETAIL INPUT'!AI$12</f>
        <v>G-PCAP16</v>
      </c>
      <c r="C39" s="385" t="str">
        <f>TRIM(CONCATENATE('ADJ DETAIL INPUT'!AI$8," ",'ADJ DETAIL INPUT'!AI$9," ",'ADJ DETAIL INPUT'!AI$10))</f>
        <v>Pro Forma 2017 Threshhold Capital Adds</v>
      </c>
      <c r="D39" s="382">
        <f>'ADJ DETAIL INPUT'!AI$59</f>
        <v>-241.71312704000002</v>
      </c>
      <c r="E39" s="382">
        <f>'ADJ DETAIL INPUT'!AI$82</f>
        <v>7872</v>
      </c>
      <c r="F39" s="381"/>
      <c r="G39" s="380" t="s">
        <v>184</v>
      </c>
      <c r="H39" s="381"/>
      <c r="I39" s="422" t="s">
        <v>169</v>
      </c>
      <c r="J39" s="412"/>
      <c r="K39" s="427" t="s">
        <v>127</v>
      </c>
      <c r="L39" s="94"/>
      <c r="M39" s="383"/>
    </row>
    <row r="40" spans="1:13" s="379" customFormat="1">
      <c r="A40" s="386">
        <f>'ADJ DETAIL INPUT'!AJ$11</f>
        <v>3.1099999999999977</v>
      </c>
      <c r="B40" s="387" t="str">
        <f>'ADJ DETAIL INPUT'!AJ$12</f>
        <v>G-POFF</v>
      </c>
      <c r="C40" s="385" t="str">
        <f>TRIM(CONCATENATE('ADJ DETAIL INPUT'!AJ$8," ",'ADJ DETAIL INPUT'!AJ$9," ",'ADJ DETAIL INPUT'!AJ$10))</f>
        <v>Pro Forma O&amp;M Offsets</v>
      </c>
      <c r="D40" s="382">
        <f>'ADJ DETAIL INPUT'!AJ$59</f>
        <v>0</v>
      </c>
      <c r="E40" s="382">
        <f>'ADJ DETAIL INPUT'!AJ$82</f>
        <v>0</v>
      </c>
      <c r="F40" s="381"/>
      <c r="G40" s="380" t="s">
        <v>184</v>
      </c>
      <c r="H40" s="381"/>
      <c r="I40" s="422" t="s">
        <v>455</v>
      </c>
      <c r="J40" s="412"/>
      <c r="K40" s="427" t="s">
        <v>127</v>
      </c>
      <c r="L40" s="94"/>
      <c r="M40" s="383"/>
    </row>
    <row r="41" spans="1:13" s="379" customFormat="1">
      <c r="A41" s="386">
        <f>'ADJ DETAIL INPUT'!AK$11</f>
        <v>3.1199999999999974</v>
      </c>
      <c r="B41" s="387" t="str">
        <f>'ADJ DETAIL INPUT'!AK$12</f>
        <v>G-PDF</v>
      </c>
      <c r="C41" s="385" t="str">
        <f>TRIM(CONCATENATE('ADJ DETAIL INPUT'!AK$8," ",'ADJ DETAIL INPUT'!AK$9," ",'ADJ DETAIL INPUT'!AK$10))</f>
        <v>Pro Forma Director Fees Expense</v>
      </c>
      <c r="D41" s="382">
        <f>'ADJ DETAIL INPUT'!AK$59</f>
        <v>0</v>
      </c>
      <c r="E41" s="382">
        <f>'ADJ DETAIL INPUT'!AK$82</f>
        <v>0</v>
      </c>
      <c r="F41" s="424"/>
      <c r="G41" s="423" t="s">
        <v>184</v>
      </c>
      <c r="H41" s="424"/>
      <c r="I41" s="424" t="s">
        <v>127</v>
      </c>
      <c r="J41" s="412"/>
      <c r="K41" s="427" t="s">
        <v>127</v>
      </c>
      <c r="L41" s="94"/>
      <c r="M41" s="383"/>
    </row>
    <row r="42" spans="1:13" s="379" customFormat="1">
      <c r="A42" s="386">
        <f>'ADJ DETAIL INPUT'!AL$11</f>
        <v>3.1299999999999972</v>
      </c>
      <c r="B42" s="387" t="str">
        <f>'ADJ DETAIL INPUT'!AL$12</f>
        <v>G-PLEAP</v>
      </c>
      <c r="C42" s="385" t="str">
        <f>TRIM(CONCATENATE('ADJ DETAIL INPUT'!AL$8," ",'ADJ DETAIL INPUT'!AL$9," ",'ADJ DETAIL INPUT'!AL$10))</f>
        <v>Pro Forma LEAP Deferral Gas Line Ext.</v>
      </c>
      <c r="D42" s="382">
        <f>'ADJ DETAIL INPUT'!AL$59</f>
        <v>-365.22197018000003</v>
      </c>
      <c r="E42" s="382">
        <f>'ADJ DETAIL INPUT'!AL$82</f>
        <v>1474</v>
      </c>
      <c r="F42" s="407"/>
      <c r="G42" s="406" t="s">
        <v>184</v>
      </c>
      <c r="H42" s="407"/>
      <c r="I42" s="394" t="s">
        <v>476</v>
      </c>
      <c r="J42" s="412"/>
      <c r="K42" s="427" t="s">
        <v>127</v>
      </c>
      <c r="L42" s="94"/>
      <c r="M42" s="383"/>
    </row>
    <row r="43" spans="1:13" s="379" customFormat="1">
      <c r="A43" s="386">
        <f>'ADJ DETAIL INPUT'!AO$11</f>
        <v>3.139999999999997</v>
      </c>
      <c r="B43" s="387" t="str">
        <f>'ADJ DETAIL INPUT'!AO$12</f>
        <v>G-EOPCAP17</v>
      </c>
      <c r="C43" s="385" t="str">
        <f>TRIM(CONCATENATE('ADJ DETAIL INPUT'!AO$8," ",'ADJ DETAIL INPUT'!AO$9," ",'ADJ DETAIL INPUT'!AO$10))</f>
        <v>EOP 2017 Capital Net Plant Adj</v>
      </c>
      <c r="D43" s="382">
        <f>'ADJ DETAIL INPUT'!AO$59</f>
        <v>0</v>
      </c>
      <c r="E43" s="382">
        <f>'ADJ DETAIL INPUT'!AO$82</f>
        <v>0</v>
      </c>
      <c r="F43" s="409"/>
      <c r="G43" s="406" t="s">
        <v>184</v>
      </c>
      <c r="H43" s="407"/>
      <c r="I43" s="422" t="s">
        <v>169</v>
      </c>
      <c r="J43" s="412"/>
      <c r="K43" s="427" t="s">
        <v>127</v>
      </c>
      <c r="L43" s="94"/>
      <c r="M43" s="383"/>
    </row>
    <row r="44" spans="1:13" s="379" customFormat="1" ht="13.8" thickBot="1">
      <c r="A44" s="386"/>
      <c r="B44" s="387"/>
      <c r="C44" s="379" t="s">
        <v>129</v>
      </c>
      <c r="D44" s="51">
        <f>SUM(D28:D43)</f>
        <v>21266.001686770007</v>
      </c>
      <c r="E44" s="51">
        <f>SUM(E28:E43)</f>
        <v>292626</v>
      </c>
      <c r="F44" s="409">
        <f>D44/E44</f>
        <v>7.2672973989905229E-2</v>
      </c>
      <c r="G44" s="380"/>
      <c r="H44" s="381"/>
      <c r="I44" s="394"/>
      <c r="J44" s="412"/>
      <c r="L44" s="94"/>
      <c r="M44" s="383"/>
    </row>
    <row r="45" spans="1:13" ht="12.75" customHeight="1" thickTop="1">
      <c r="A45" s="316"/>
      <c r="B45" s="35" t="s">
        <v>148</v>
      </c>
      <c r="D45" s="48"/>
      <c r="H45" s="340"/>
      <c r="I45" s="394" t="s">
        <v>456</v>
      </c>
      <c r="K45" s="427" t="s">
        <v>127</v>
      </c>
      <c r="L45" s="45"/>
    </row>
    <row r="46" spans="1:13" s="379" customFormat="1">
      <c r="A46" s="429"/>
      <c r="B46" s="430"/>
      <c r="C46" s="431"/>
      <c r="D46" s="359"/>
      <c r="E46" s="359"/>
      <c r="F46" s="428"/>
      <c r="G46" s="312"/>
      <c r="H46" s="428"/>
      <c r="I46" s="395"/>
      <c r="J46" s="413"/>
      <c r="K46" s="356"/>
      <c r="L46" s="94"/>
      <c r="M46" s="383"/>
    </row>
    <row r="47" spans="1:13" ht="12.75" customHeight="1">
      <c r="A47" s="356"/>
      <c r="B47" s="432"/>
      <c r="C47" s="356"/>
      <c r="D47" s="356"/>
      <c r="E47" s="356"/>
      <c r="F47" s="428"/>
      <c r="G47" s="312"/>
      <c r="H47" s="428"/>
      <c r="I47" s="395"/>
      <c r="J47" s="413"/>
      <c r="K47" s="356"/>
    </row>
    <row r="48" spans="1:13" ht="12.75" customHeight="1"/>
    <row r="49" ht="12.75" customHeight="1"/>
    <row r="50" ht="12.75" customHeight="1"/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1200" verticalDpi="1200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topLeftCell="A30" zoomScaleNormal="100" workbookViewId="0">
      <selection activeCell="E49" sqref="E49"/>
    </sheetView>
  </sheetViews>
  <sheetFormatPr defaultColWidth="10.77734375" defaultRowHeight="13.2"/>
  <cols>
    <col min="1" max="1" width="8.21875" style="179" customWidth="1"/>
    <col min="2" max="2" width="18.77734375" style="180" customWidth="1"/>
    <col min="3" max="4" width="10.77734375" style="173" customWidth="1"/>
    <col min="5" max="5" width="10.21875" style="173" customWidth="1"/>
    <col min="6" max="6" width="14.77734375" style="181" customWidth="1"/>
    <col min="7" max="7" width="11.21875" style="173" bestFit="1" customWidth="1"/>
    <col min="8" max="8" width="2.21875" style="173" customWidth="1"/>
    <col min="9" max="9" width="14.21875" style="173" customWidth="1"/>
    <col min="10" max="10" width="19.21875" style="173" customWidth="1"/>
    <col min="11" max="16384" width="10.77734375" style="173"/>
  </cols>
  <sheetData>
    <row r="1" spans="1:9">
      <c r="A1" s="961" t="s">
        <v>115</v>
      </c>
      <c r="B1" s="961"/>
      <c r="C1" s="961"/>
      <c r="D1" s="961"/>
      <c r="E1" s="961"/>
      <c r="F1" s="961"/>
      <c r="G1" s="961"/>
      <c r="H1" s="961"/>
    </row>
    <row r="2" spans="1:9">
      <c r="A2" s="962" t="s">
        <v>130</v>
      </c>
      <c r="B2" s="962"/>
      <c r="C2" s="962"/>
      <c r="D2" s="962"/>
      <c r="E2" s="962"/>
      <c r="F2" s="962"/>
      <c r="G2" s="962"/>
      <c r="H2" s="962"/>
    </row>
    <row r="3" spans="1:9">
      <c r="A3" s="962" t="s">
        <v>250</v>
      </c>
      <c r="B3" s="962"/>
      <c r="C3" s="962"/>
      <c r="D3" s="962"/>
      <c r="E3" s="962"/>
      <c r="F3" s="962"/>
      <c r="G3" s="962"/>
      <c r="H3" s="962"/>
    </row>
    <row r="4" spans="1:9">
      <c r="A4" s="963" t="str">
        <f>'ROO INPUT'!A5:C5</f>
        <v>TWELVE MONTHS ENDED DECEMBER 31, 2016</v>
      </c>
      <c r="B4" s="963"/>
      <c r="C4" s="963"/>
      <c r="D4" s="963"/>
      <c r="E4" s="963"/>
      <c r="F4" s="963"/>
      <c r="G4" s="963"/>
      <c r="H4" s="963"/>
    </row>
    <row r="5" spans="1:9">
      <c r="A5" s="964" t="s">
        <v>118</v>
      </c>
      <c r="B5" s="964"/>
      <c r="C5" s="964"/>
      <c r="D5" s="964"/>
      <c r="E5" s="964"/>
      <c r="F5" s="964"/>
      <c r="G5" s="964"/>
      <c r="H5" s="964"/>
    </row>
    <row r="6" spans="1:9" ht="13.8" thickBot="1">
      <c r="A6" s="174"/>
      <c r="B6" s="175"/>
      <c r="C6" s="176"/>
      <c r="D6" s="177"/>
      <c r="E6" s="177"/>
      <c r="F6" s="177"/>
      <c r="I6" s="178" t="s">
        <v>221</v>
      </c>
    </row>
    <row r="7" spans="1:9" ht="13.8" thickBot="1">
      <c r="C7" s="181"/>
      <c r="D7" s="181"/>
      <c r="E7" s="958" t="s">
        <v>130</v>
      </c>
      <c r="F7" s="959"/>
      <c r="G7" s="960"/>
      <c r="I7" s="178" t="s">
        <v>222</v>
      </c>
    </row>
    <row r="8" spans="1:9">
      <c r="C8" s="181"/>
      <c r="D8" s="181"/>
      <c r="E8" s="179">
        <f>'ADJ DETAIL INPUT'!W11</f>
        <v>2.1499999999999968</v>
      </c>
      <c r="F8" s="292"/>
      <c r="G8" s="292"/>
      <c r="I8" s="178"/>
    </row>
    <row r="9" spans="1:9">
      <c r="C9" s="181"/>
      <c r="D9" s="181"/>
      <c r="E9" s="182" t="s">
        <v>20</v>
      </c>
      <c r="F9" s="178" t="s">
        <v>438</v>
      </c>
      <c r="G9" s="178" t="s">
        <v>439</v>
      </c>
      <c r="I9" s="178" t="s">
        <v>223</v>
      </c>
    </row>
    <row r="10" spans="1:9">
      <c r="B10" s="183" t="s">
        <v>119</v>
      </c>
      <c r="C10" s="181"/>
      <c r="D10" s="181"/>
      <c r="E10" s="184" t="s">
        <v>224</v>
      </c>
      <c r="F10" s="185" t="s">
        <v>120</v>
      </c>
      <c r="G10" s="185" t="s">
        <v>225</v>
      </c>
      <c r="I10" s="185" t="str">
        <f>F10</f>
        <v>Adjustments</v>
      </c>
    </row>
    <row r="11" spans="1:9">
      <c r="A11" s="179">
        <f>'ADJ SUMMARY'!A8</f>
        <v>1</v>
      </c>
      <c r="B11" s="180" t="str">
        <f>'ADJ SUMMARY'!C8</f>
        <v>Per Results Report</v>
      </c>
      <c r="C11" s="181"/>
      <c r="D11" s="181"/>
      <c r="E11" s="186">
        <f>'ADJ SUMMARY'!E8</f>
        <v>287787</v>
      </c>
      <c r="F11" s="186"/>
      <c r="G11" s="233">
        <f>SUM(E11:F11)</f>
        <v>287787</v>
      </c>
      <c r="H11" s="233"/>
      <c r="I11" s="233">
        <f>ROUND(E11*$E$48*-$E$55,0)-(E52*-E55)</f>
        <v>-67.200000000000273</v>
      </c>
    </row>
    <row r="12" spans="1:9">
      <c r="A12" s="179">
        <f>'ADJ SUMMARY'!A9</f>
        <v>1.01</v>
      </c>
      <c r="B12" s="180" t="str">
        <f>'ADJ SUMMARY'!C9</f>
        <v>Deferred FIT Rate Base</v>
      </c>
      <c r="C12" s="181"/>
      <c r="D12" s="181"/>
      <c r="E12" s="233"/>
      <c r="F12" s="186">
        <f>'ADJ SUMMARY'!E9</f>
        <v>-325</v>
      </c>
      <c r="G12" s="233">
        <f>SUM(E12:F12)</f>
        <v>-325</v>
      </c>
      <c r="H12" s="233"/>
      <c r="I12" s="233">
        <f>ROUND(F12*$E$48*-$E$55,0)</f>
        <v>3</v>
      </c>
    </row>
    <row r="13" spans="1:9">
      <c r="A13" s="179">
        <f>'ADJ SUMMARY'!A10</f>
        <v>1.02</v>
      </c>
      <c r="B13" s="180" t="str">
        <f>'ADJ SUMMARY'!C10</f>
        <v>Deferred Debits and Credits</v>
      </c>
      <c r="C13" s="181"/>
      <c r="D13" s="181"/>
      <c r="E13" s="233"/>
      <c r="F13" s="186">
        <f>'ADJ SUMMARY'!E10</f>
        <v>0</v>
      </c>
      <c r="G13" s="233">
        <f t="shared" ref="G13:G15" si="0">SUM(E13:F13)</f>
        <v>0</v>
      </c>
      <c r="H13" s="233"/>
      <c r="I13" s="233">
        <f>ROUND(F13*$E$48*-$E$55,0)</f>
        <v>0</v>
      </c>
    </row>
    <row r="14" spans="1:9">
      <c r="A14" s="179">
        <f>'ADJ SUMMARY'!A11</f>
        <v>1.03</v>
      </c>
      <c r="B14" s="180" t="str">
        <f>'ADJ SUMMARY'!C11</f>
        <v>Working Capital</v>
      </c>
      <c r="C14" s="181"/>
      <c r="D14" s="181"/>
      <c r="E14" s="233"/>
      <c r="F14" s="186">
        <f>'ADJ SUMMARY'!E11</f>
        <v>-4182</v>
      </c>
      <c r="G14" s="233">
        <f t="shared" si="0"/>
        <v>-4182</v>
      </c>
      <c r="H14" s="233"/>
      <c r="I14" s="233">
        <f>ROUND(F14*$E$48*-$E$55,0)</f>
        <v>41</v>
      </c>
    </row>
    <row r="15" spans="1:9">
      <c r="A15" s="179">
        <f>'ADJ SUMMARY'!A12</f>
        <v>2.0099999999999998</v>
      </c>
      <c r="B15" s="180" t="str">
        <f>'ADJ SUMMARY'!C12</f>
        <v>Eliminate B &amp; O Taxes</v>
      </c>
      <c r="C15" s="181"/>
      <c r="D15" s="181"/>
      <c r="E15" s="233"/>
      <c r="F15" s="186">
        <f>'ADJ SUMMARY'!E12</f>
        <v>0</v>
      </c>
      <c r="G15" s="233">
        <f t="shared" si="0"/>
        <v>0</v>
      </c>
      <c r="H15" s="233"/>
      <c r="I15" s="233">
        <f>ROUND(F15*$E$48*-$E$55,0)</f>
        <v>0</v>
      </c>
    </row>
    <row r="16" spans="1:9">
      <c r="A16" s="179">
        <f>'ADJ SUMMARY'!A13</f>
        <v>2.0199999999999996</v>
      </c>
      <c r="B16" s="180" t="str">
        <f>'ADJ SUMMARY'!C13</f>
        <v>Restate Property Tax</v>
      </c>
      <c r="C16" s="181"/>
      <c r="D16" s="181"/>
      <c r="E16" s="233"/>
      <c r="F16" s="186">
        <f>'ADJ SUMMARY'!E13</f>
        <v>0</v>
      </c>
      <c r="G16" s="233">
        <f t="shared" ref="G16:G29" si="1">SUM(E16:F16)</f>
        <v>0</v>
      </c>
      <c r="H16" s="233"/>
      <c r="I16" s="233">
        <f t="shared" ref="I16:I29" si="2">ROUND(F16*$E$48*-$E$55,0)</f>
        <v>0</v>
      </c>
    </row>
    <row r="17" spans="1:9">
      <c r="A17" s="179">
        <f>'ADJ SUMMARY'!A14</f>
        <v>2.0299999999999994</v>
      </c>
      <c r="B17" s="180" t="str">
        <f>'ADJ SUMMARY'!C14</f>
        <v>Uncollectible Expense</v>
      </c>
      <c r="C17" s="181"/>
      <c r="D17" s="181"/>
      <c r="E17" s="233"/>
      <c r="F17" s="186">
        <f>'ADJ SUMMARY'!E14</f>
        <v>0</v>
      </c>
      <c r="G17" s="233">
        <f t="shared" si="1"/>
        <v>0</v>
      </c>
      <c r="H17" s="233"/>
      <c r="I17" s="233">
        <f t="shared" si="2"/>
        <v>0</v>
      </c>
    </row>
    <row r="18" spans="1:9">
      <c r="A18" s="179">
        <f>'ADJ SUMMARY'!A15</f>
        <v>2.0399999999999991</v>
      </c>
      <c r="B18" s="180" t="str">
        <f>'ADJ SUMMARY'!C15</f>
        <v>Regulatory Expense</v>
      </c>
      <c r="C18" s="181"/>
      <c r="D18" s="181"/>
      <c r="E18" s="233"/>
      <c r="F18" s="186">
        <f>'ADJ SUMMARY'!E15</f>
        <v>0</v>
      </c>
      <c r="G18" s="233">
        <f t="shared" si="1"/>
        <v>0</v>
      </c>
      <c r="H18" s="233"/>
      <c r="I18" s="233">
        <f t="shared" si="2"/>
        <v>0</v>
      </c>
    </row>
    <row r="19" spans="1:9">
      <c r="A19" s="179">
        <f>'ADJ SUMMARY'!A16</f>
        <v>2.0499999999999989</v>
      </c>
      <c r="B19" s="180" t="str">
        <f>'ADJ SUMMARY'!C16</f>
        <v>Injuries &amp; Damages</v>
      </c>
      <c r="C19" s="181"/>
      <c r="D19" s="181"/>
      <c r="E19" s="233"/>
      <c r="F19" s="186">
        <f>'ADJ SUMMARY'!E16</f>
        <v>0</v>
      </c>
      <c r="G19" s="233">
        <f t="shared" si="1"/>
        <v>0</v>
      </c>
      <c r="H19" s="233"/>
      <c r="I19" s="233">
        <f t="shared" si="2"/>
        <v>0</v>
      </c>
    </row>
    <row r="20" spans="1:9">
      <c r="A20" s="179">
        <f>'ADJ SUMMARY'!A17</f>
        <v>2.0599999999999987</v>
      </c>
      <c r="B20" s="180" t="str">
        <f>'ADJ SUMMARY'!C17</f>
        <v>FIT / DFIT Expense</v>
      </c>
      <c r="C20" s="181"/>
      <c r="D20" s="181"/>
      <c r="E20" s="233"/>
      <c r="F20" s="186">
        <f>'ADJ SUMMARY'!E17</f>
        <v>0</v>
      </c>
      <c r="G20" s="233">
        <f t="shared" si="1"/>
        <v>0</v>
      </c>
      <c r="H20" s="233"/>
      <c r="I20" s="233">
        <f t="shared" si="2"/>
        <v>0</v>
      </c>
    </row>
    <row r="21" spans="1:9">
      <c r="A21" s="179">
        <f>'ADJ SUMMARY'!A18</f>
        <v>2.0699999999999985</v>
      </c>
      <c r="B21" s="180" t="str">
        <f>'ADJ SUMMARY'!C18</f>
        <v>Office Space Charges to Subs</v>
      </c>
      <c r="C21" s="181"/>
      <c r="D21" s="181"/>
      <c r="E21" s="233"/>
      <c r="F21" s="186">
        <f>'ADJ SUMMARY'!E18</f>
        <v>0</v>
      </c>
      <c r="G21" s="233">
        <f t="shared" si="1"/>
        <v>0</v>
      </c>
      <c r="H21" s="233"/>
      <c r="I21" s="233">
        <f t="shared" si="2"/>
        <v>0</v>
      </c>
    </row>
    <row r="22" spans="1:9">
      <c r="A22" s="179">
        <f>'ADJ SUMMARY'!A19</f>
        <v>2.0799999999999983</v>
      </c>
      <c r="B22" s="180" t="str">
        <f>'ADJ SUMMARY'!C19</f>
        <v>Restate Excise Taxes</v>
      </c>
      <c r="C22" s="181"/>
      <c r="D22" s="181"/>
      <c r="E22" s="233"/>
      <c r="F22" s="186">
        <f>'ADJ SUMMARY'!E19</f>
        <v>0</v>
      </c>
      <c r="G22" s="233">
        <f t="shared" si="1"/>
        <v>0</v>
      </c>
      <c r="H22" s="233"/>
      <c r="I22" s="233">
        <f t="shared" si="2"/>
        <v>0</v>
      </c>
    </row>
    <row r="23" spans="1:9">
      <c r="A23" s="179">
        <f>'ADJ SUMMARY'!A20</f>
        <v>2.0899999999999981</v>
      </c>
      <c r="B23" s="180" t="str">
        <f>'ADJ SUMMARY'!C20</f>
        <v>Net Gains &amp; Losses</v>
      </c>
      <c r="C23" s="181"/>
      <c r="D23" s="181"/>
      <c r="E23" s="233"/>
      <c r="F23" s="186">
        <f>'ADJ SUMMARY'!E20</f>
        <v>0</v>
      </c>
      <c r="G23" s="233">
        <f t="shared" si="1"/>
        <v>0</v>
      </c>
      <c r="H23" s="233"/>
      <c r="I23" s="233">
        <f t="shared" si="2"/>
        <v>0</v>
      </c>
    </row>
    <row r="24" spans="1:9">
      <c r="A24" s="179">
        <f>'ADJ SUMMARY'!A21</f>
        <v>2.0999999999999979</v>
      </c>
      <c r="B24" s="180" t="str">
        <f>'ADJ SUMMARY'!C21</f>
        <v>Weather Normalization / Gas Cost Adjust</v>
      </c>
      <c r="C24" s="181"/>
      <c r="D24" s="181"/>
      <c r="E24" s="233"/>
      <c r="F24" s="186">
        <f>'ADJ SUMMARY'!E21</f>
        <v>0</v>
      </c>
      <c r="G24" s="233">
        <f t="shared" si="1"/>
        <v>0</v>
      </c>
      <c r="H24" s="233"/>
      <c r="I24" s="233">
        <f t="shared" si="2"/>
        <v>0</v>
      </c>
    </row>
    <row r="25" spans="1:9">
      <c r="A25" s="179">
        <f>'ADJ SUMMARY'!A22</f>
        <v>2.1099999999999977</v>
      </c>
      <c r="B25" s="180" t="str">
        <f>'ADJ SUMMARY'!C22</f>
        <v>Eliminate Adder Schedules</v>
      </c>
      <c r="C25" s="181"/>
      <c r="D25" s="181"/>
      <c r="E25" s="233"/>
      <c r="F25" s="186">
        <f>'ADJ SUMMARY'!E22</f>
        <v>0</v>
      </c>
      <c r="G25" s="233">
        <f t="shared" si="1"/>
        <v>0</v>
      </c>
      <c r="H25" s="233"/>
      <c r="I25" s="233">
        <f t="shared" si="2"/>
        <v>0</v>
      </c>
    </row>
    <row r="26" spans="1:9">
      <c r="A26" s="179">
        <f>'ADJ SUMMARY'!A23</f>
        <v>2.1199999999999974</v>
      </c>
      <c r="B26" s="180" t="str">
        <f>'ADJ SUMMARY'!C23</f>
        <v>Misc. Restating Non-Util / Non- Recurring Expenses</v>
      </c>
      <c r="C26" s="181"/>
      <c r="D26" s="181"/>
      <c r="E26" s="233"/>
      <c r="F26" s="186">
        <f>'ADJ SUMMARY'!E23</f>
        <v>0</v>
      </c>
      <c r="G26" s="233">
        <f t="shared" si="1"/>
        <v>0</v>
      </c>
      <c r="H26" s="233"/>
      <c r="I26" s="233">
        <f t="shared" si="2"/>
        <v>0</v>
      </c>
    </row>
    <row r="27" spans="1:9">
      <c r="A27" s="179">
        <f>'ADJ SUMMARY'!A24</f>
        <v>2.1299999999999972</v>
      </c>
      <c r="B27" s="180" t="str">
        <f>'ADJ SUMMARY'!C24</f>
        <v>Project Compass Deferral</v>
      </c>
      <c r="C27" s="181"/>
      <c r="D27" s="181"/>
      <c r="E27" s="233"/>
      <c r="F27" s="186">
        <f>'ADJ SUMMARY'!E24</f>
        <v>0</v>
      </c>
      <c r="G27" s="233">
        <f t="shared" si="1"/>
        <v>0</v>
      </c>
      <c r="H27" s="233"/>
      <c r="I27" s="233">
        <f t="shared" si="2"/>
        <v>0</v>
      </c>
    </row>
    <row r="28" spans="1:9">
      <c r="A28" s="179">
        <f>'ADJ SUMMARY'!A25</f>
        <v>2.139999999999997</v>
      </c>
      <c r="B28" s="180" t="str">
        <f>'ADJ SUMMARY'!C25</f>
        <v>Restating Incentives</v>
      </c>
      <c r="C28" s="181"/>
      <c r="D28" s="181"/>
      <c r="E28" s="233"/>
      <c r="F28" s="186">
        <f>'ADJ SUMMARY'!E25</f>
        <v>0</v>
      </c>
      <c r="G28" s="233">
        <f t="shared" si="1"/>
        <v>0</v>
      </c>
      <c r="H28" s="233"/>
      <c r="I28" s="233">
        <f t="shared" si="2"/>
        <v>0</v>
      </c>
    </row>
    <row r="29" spans="1:9">
      <c r="A29" s="179">
        <f>'ADJ SUMMARY'!A26</f>
        <v>2.1499999999999968</v>
      </c>
      <c r="B29" s="180" t="str">
        <f>'ADJ SUMMARY'!C26</f>
        <v>Restate Debt Interest</v>
      </c>
      <c r="C29" s="181"/>
      <c r="D29" s="181"/>
      <c r="E29" s="233"/>
      <c r="F29" s="186">
        <f>'ADJ SUMMARY'!E26</f>
        <v>0</v>
      </c>
      <c r="G29" s="233">
        <f t="shared" si="1"/>
        <v>0</v>
      </c>
      <c r="H29" s="233"/>
      <c r="I29" s="233">
        <f t="shared" si="2"/>
        <v>0</v>
      </c>
    </row>
    <row r="30" spans="1:9" ht="13.5" customHeight="1">
      <c r="A30" s="179">
        <f>'ADJ SUMMARY'!A30</f>
        <v>3.01</v>
      </c>
      <c r="B30" s="180" t="str">
        <f>'ADJ SUMMARY'!C30</f>
        <v>Pro Forma Atmospheric Testing &amp; Leak Survey</v>
      </c>
      <c r="C30" s="181"/>
      <c r="D30" s="181"/>
      <c r="E30" s="233"/>
      <c r="F30" s="186">
        <f>'ADJ SUMMARY'!E30</f>
        <v>0</v>
      </c>
      <c r="G30" s="233">
        <f t="shared" ref="G30" si="3">SUM(E30:F30)</f>
        <v>0</v>
      </c>
      <c r="H30" s="233"/>
      <c r="I30" s="233">
        <f t="shared" ref="I30:I40" si="4">ROUND(F30*$E$48*-$E$55,0)</f>
        <v>0</v>
      </c>
    </row>
    <row r="31" spans="1:9" ht="13.5" customHeight="1">
      <c r="A31" s="179">
        <f>'ADJ SUMMARY'!A31</f>
        <v>3.0199999999999996</v>
      </c>
      <c r="B31" s="180" t="str">
        <f>'ADJ SUMMARY'!C31</f>
        <v>Pro Forma Labor Non-Exec</v>
      </c>
      <c r="C31" s="181"/>
      <c r="D31" s="181"/>
      <c r="E31" s="233"/>
      <c r="F31" s="186">
        <f>'ADJ SUMMARY'!E31</f>
        <v>0</v>
      </c>
      <c r="G31" s="233">
        <f t="shared" ref="G31:G40" si="5">SUM(E31:F31)</f>
        <v>0</v>
      </c>
      <c r="H31" s="233"/>
      <c r="I31" s="233">
        <f t="shared" si="4"/>
        <v>0</v>
      </c>
    </row>
    <row r="32" spans="1:9" ht="13.5" customHeight="1">
      <c r="A32" s="179">
        <f>'ADJ SUMMARY'!A32</f>
        <v>3.0299999999999994</v>
      </c>
      <c r="B32" s="180" t="str">
        <f>'ADJ SUMMARY'!C32</f>
        <v>Pro Forma Labor Exec</v>
      </c>
      <c r="C32" s="181"/>
      <c r="D32" s="181"/>
      <c r="E32" s="233"/>
      <c r="F32" s="186">
        <f>'ADJ SUMMARY'!E32</f>
        <v>0</v>
      </c>
      <c r="G32" s="233">
        <f t="shared" si="5"/>
        <v>0</v>
      </c>
      <c r="H32" s="233"/>
      <c r="I32" s="233">
        <f t="shared" si="4"/>
        <v>0</v>
      </c>
    </row>
    <row r="33" spans="1:9" ht="13.5" customHeight="1">
      <c r="A33" s="179">
        <f>'ADJ SUMMARY'!A33</f>
        <v>3.0399999999999991</v>
      </c>
      <c r="B33" s="180" t="str">
        <f>'ADJ SUMMARY'!C33</f>
        <v>Pro Forma Employee Benefits</v>
      </c>
      <c r="C33" s="181"/>
      <c r="D33" s="181"/>
      <c r="E33" s="233"/>
      <c r="F33" s="186">
        <f>'ADJ SUMMARY'!E33</f>
        <v>0</v>
      </c>
      <c r="G33" s="233">
        <f t="shared" si="5"/>
        <v>0</v>
      </c>
      <c r="H33" s="233"/>
      <c r="I33" s="233">
        <f t="shared" si="4"/>
        <v>0</v>
      </c>
    </row>
    <row r="34" spans="1:9" ht="13.5" customHeight="1">
      <c r="A34" s="179">
        <f>'ADJ SUMMARY'!A34</f>
        <v>3.0499999999999989</v>
      </c>
      <c r="B34" s="180" t="str">
        <f>'ADJ SUMMARY'!C34</f>
        <v>Pro Forma Incentive Adjustment</v>
      </c>
      <c r="C34" s="181"/>
      <c r="D34" s="181"/>
      <c r="E34" s="233"/>
      <c r="F34" s="186">
        <f>'ADJ SUMMARY'!E34</f>
        <v>0</v>
      </c>
      <c r="G34" s="233">
        <f t="shared" si="5"/>
        <v>0</v>
      </c>
      <c r="H34" s="233"/>
      <c r="I34" s="233">
        <f t="shared" si="4"/>
        <v>0</v>
      </c>
    </row>
    <row r="35" spans="1:9" ht="13.5" customHeight="1">
      <c r="A35" s="179">
        <f>'ADJ SUMMARY'!A35</f>
        <v>3.0599999999999987</v>
      </c>
      <c r="B35" s="180" t="str">
        <f>'ADJ SUMMARY'!C35</f>
        <v>Pro Forma Property Tax</v>
      </c>
      <c r="C35" s="181"/>
      <c r="D35" s="181"/>
      <c r="E35" s="233"/>
      <c r="F35" s="186">
        <f>'ADJ SUMMARY'!E35</f>
        <v>0</v>
      </c>
      <c r="G35" s="233">
        <f t="shared" si="5"/>
        <v>0</v>
      </c>
      <c r="H35" s="233"/>
      <c r="I35" s="233">
        <f t="shared" si="4"/>
        <v>0</v>
      </c>
    </row>
    <row r="36" spans="1:9" ht="13.5" customHeight="1">
      <c r="A36" s="179">
        <f>'ADJ SUMMARY'!A36</f>
        <v>3.0699999999999985</v>
      </c>
      <c r="B36" s="180" t="str">
        <f>'ADJ SUMMARY'!C36</f>
        <v>Pro Forma IS/IT Expense</v>
      </c>
      <c r="C36" s="181"/>
      <c r="D36" s="181"/>
      <c r="E36" s="233"/>
      <c r="F36" s="186">
        <f>'ADJ SUMMARY'!E36</f>
        <v>0</v>
      </c>
      <c r="G36" s="233">
        <f t="shared" si="5"/>
        <v>0</v>
      </c>
      <c r="H36" s="233"/>
      <c r="I36" s="233">
        <f t="shared" si="4"/>
        <v>0</v>
      </c>
    </row>
    <row r="37" spans="1:9" ht="13.5" customHeight="1">
      <c r="A37" s="179">
        <f>'ADJ SUMMARY'!A37</f>
        <v>3.0799999999999983</v>
      </c>
      <c r="B37" s="180" t="str">
        <f>'ADJ SUMMARY'!C37</f>
        <v>Pro Forma Revenue Normalization</v>
      </c>
      <c r="C37" s="181"/>
      <c r="D37" s="181"/>
      <c r="E37" s="233"/>
      <c r="F37" s="186">
        <f>'ADJ SUMMARY'!E37</f>
        <v>0</v>
      </c>
      <c r="G37" s="233">
        <f t="shared" si="5"/>
        <v>0</v>
      </c>
      <c r="H37" s="233"/>
      <c r="I37" s="233">
        <f t="shared" si="4"/>
        <v>0</v>
      </c>
    </row>
    <row r="38" spans="1:9" ht="13.5" customHeight="1">
      <c r="A38" s="179">
        <f>'ADJ SUMMARY'!A38</f>
        <v>3.0899999999999981</v>
      </c>
      <c r="B38" s="180" t="str">
        <f>'ADJ SUMMARY'!C38</f>
        <v>Pro Forma Regulatory Amortization</v>
      </c>
      <c r="C38" s="181"/>
      <c r="D38" s="181"/>
      <c r="E38" s="233"/>
      <c r="F38" s="186">
        <f>'ADJ SUMMARY'!E38</f>
        <v>0</v>
      </c>
      <c r="G38" s="233">
        <f t="shared" si="5"/>
        <v>0</v>
      </c>
      <c r="H38" s="233"/>
      <c r="I38" s="233">
        <f t="shared" si="4"/>
        <v>0</v>
      </c>
    </row>
    <row r="39" spans="1:9" ht="13.5" customHeight="1">
      <c r="A39" s="179">
        <f>'ADJ SUMMARY'!A39</f>
        <v>3.0999999999999979</v>
      </c>
      <c r="B39" s="180" t="str">
        <f>'ADJ SUMMARY'!C39</f>
        <v>Pro Forma 2017 Threshhold Capital Adds</v>
      </c>
      <c r="C39" s="181"/>
      <c r="D39" s="181"/>
      <c r="E39" s="233"/>
      <c r="F39" s="186">
        <f>'ADJ SUMMARY'!E39</f>
        <v>7872</v>
      </c>
      <c r="G39" s="233">
        <f t="shared" si="5"/>
        <v>7872</v>
      </c>
      <c r="H39" s="233"/>
      <c r="I39" s="233">
        <f t="shared" si="4"/>
        <v>-77</v>
      </c>
    </row>
    <row r="40" spans="1:9" ht="13.5" customHeight="1">
      <c r="A40" s="179">
        <f>'ADJ SUMMARY'!A40</f>
        <v>3.1099999999999977</v>
      </c>
      <c r="B40" s="180" t="str">
        <f>'ADJ SUMMARY'!C40</f>
        <v>Pro Forma O&amp;M Offsets</v>
      </c>
      <c r="C40" s="181"/>
      <c r="D40" s="181"/>
      <c r="E40" s="233"/>
      <c r="F40" s="186">
        <f>'ADJ SUMMARY'!E40</f>
        <v>0</v>
      </c>
      <c r="G40" s="233">
        <f t="shared" si="5"/>
        <v>0</v>
      </c>
      <c r="H40" s="233"/>
      <c r="I40" s="233">
        <f t="shared" si="4"/>
        <v>0</v>
      </c>
    </row>
    <row r="41" spans="1:9" ht="13.5" customHeight="1">
      <c r="A41" s="179">
        <f>'ADJ SUMMARY'!A41</f>
        <v>3.1199999999999974</v>
      </c>
      <c r="B41" s="180" t="str">
        <f>'ADJ SUMMARY'!C41</f>
        <v>Pro Forma Director Fees Expense</v>
      </c>
      <c r="C41" s="181"/>
      <c r="D41" s="181"/>
      <c r="E41" s="233"/>
      <c r="F41" s="186">
        <f>'ADJ SUMMARY'!E41</f>
        <v>0</v>
      </c>
      <c r="G41" s="233">
        <f t="shared" ref="G41:G42" si="6">SUM(E41:F41)</f>
        <v>0</v>
      </c>
      <c r="H41" s="233"/>
      <c r="I41" s="233">
        <f t="shared" ref="I41:I42" si="7">ROUND(F41*$E$48*-$E$55,0)</f>
        <v>0</v>
      </c>
    </row>
    <row r="42" spans="1:9" ht="13.5" customHeight="1">
      <c r="A42" s="179">
        <f>'ADJ SUMMARY'!A42</f>
        <v>3.1299999999999972</v>
      </c>
      <c r="B42" s="180" t="str">
        <f>'ADJ SUMMARY'!C42</f>
        <v>Pro Forma LEAP Deferral Gas Line Ext.</v>
      </c>
      <c r="C42" s="181"/>
      <c r="D42" s="181"/>
      <c r="E42" s="233"/>
      <c r="F42" s="186">
        <f>'ADJ SUMMARY'!E42</f>
        <v>1474</v>
      </c>
      <c r="G42" s="233">
        <f t="shared" si="6"/>
        <v>1474</v>
      </c>
      <c r="H42" s="233"/>
      <c r="I42" s="233">
        <f t="shared" si="7"/>
        <v>-14</v>
      </c>
    </row>
    <row r="43" spans="1:9" ht="13.5" customHeight="1">
      <c r="A43" s="179">
        <f>'ADJ SUMMARY'!A43</f>
        <v>3.139999999999997</v>
      </c>
      <c r="B43" s="180" t="str">
        <f>'ADJ SUMMARY'!C43</f>
        <v>EOP 2017 Capital Net Plant Adj</v>
      </c>
      <c r="C43" s="181"/>
      <c r="D43" s="181"/>
      <c r="E43" s="233"/>
      <c r="F43" s="186">
        <f>'ADJ SUMMARY'!E43</f>
        <v>0</v>
      </c>
      <c r="G43" s="233">
        <f t="shared" ref="G43" si="8">SUM(E43:F43)</f>
        <v>0</v>
      </c>
      <c r="H43" s="233"/>
      <c r="I43" s="233">
        <f t="shared" ref="I43" si="9">ROUND(F43*$E$48*-$E$55,0)</f>
        <v>0</v>
      </c>
    </row>
    <row r="44" spans="1:9">
      <c r="B44" s="187"/>
      <c r="C44" s="181"/>
      <c r="D44" s="181"/>
      <c r="E44" s="234">
        <f>SUM(E11:E43)</f>
        <v>287787</v>
      </c>
      <c r="F44" s="234">
        <f>SUM(F11:F43)</f>
        <v>4839</v>
      </c>
      <c r="G44" s="234">
        <f>SUM(G11:G43)</f>
        <v>292626</v>
      </c>
      <c r="H44" s="234"/>
      <c r="I44" s="234"/>
    </row>
    <row r="45" spans="1:9">
      <c r="B45" s="187"/>
      <c r="C45" s="181"/>
      <c r="D45" s="181"/>
      <c r="E45" s="234"/>
      <c r="F45" s="235"/>
      <c r="G45" s="236"/>
      <c r="H45" s="233"/>
      <c r="I45" s="233"/>
    </row>
    <row r="46" spans="1:9">
      <c r="B46" s="187"/>
      <c r="C46" s="181"/>
      <c r="D46" s="181"/>
      <c r="E46" s="234"/>
      <c r="F46" s="235"/>
      <c r="G46" s="236"/>
      <c r="H46" s="233"/>
      <c r="I46" s="233"/>
    </row>
    <row r="47" spans="1:9" ht="5.25" customHeight="1">
      <c r="C47" s="181"/>
      <c r="D47" s="181"/>
      <c r="E47" s="234"/>
      <c r="F47" s="234"/>
      <c r="G47" s="234"/>
      <c r="H47" s="233"/>
      <c r="I47" s="233"/>
    </row>
    <row r="48" spans="1:9">
      <c r="B48" s="180" t="s">
        <v>128</v>
      </c>
      <c r="C48" s="181"/>
      <c r="D48" s="181"/>
      <c r="E48" s="243">
        <f>'RR SUMMARY'!N22</f>
        <v>2.7869799999999997E-2</v>
      </c>
      <c r="F48" s="243">
        <f>E48-I48</f>
        <v>2.7869799999999997E-2</v>
      </c>
      <c r="G48" s="243"/>
      <c r="H48" s="241"/>
      <c r="I48" s="243"/>
    </row>
    <row r="49" spans="1:10" ht="6" customHeight="1">
      <c r="C49" s="181"/>
      <c r="D49" s="181"/>
      <c r="E49" s="234"/>
      <c r="F49" s="234"/>
      <c r="G49" s="234"/>
      <c r="H49" s="233"/>
      <c r="I49" s="233"/>
    </row>
    <row r="50" spans="1:10">
      <c r="B50" s="180" t="s">
        <v>121</v>
      </c>
      <c r="C50" s="181"/>
      <c r="D50" s="181"/>
      <c r="E50" s="234">
        <f>E44*E48</f>
        <v>8020.566132599999</v>
      </c>
      <c r="F50" s="234">
        <f>F44*F48</f>
        <v>134.86196219999999</v>
      </c>
      <c r="G50" s="234">
        <f>SUM(E50:F50)</f>
        <v>8155.4280947999987</v>
      </c>
      <c r="H50" s="233"/>
      <c r="I50" s="234">
        <f>SUM(I11:I43)</f>
        <v>-114.20000000000027</v>
      </c>
    </row>
    <row r="51" spans="1:10">
      <c r="C51" s="181"/>
      <c r="D51" s="181"/>
      <c r="E51" s="234"/>
      <c r="F51" s="234"/>
      <c r="G51" s="234"/>
      <c r="H51" s="233"/>
      <c r="I51" s="234"/>
    </row>
    <row r="52" spans="1:10">
      <c r="B52" s="180" t="s">
        <v>251</v>
      </c>
      <c r="C52" s="181"/>
      <c r="D52" s="181"/>
      <c r="E52" s="238">
        <v>7828</v>
      </c>
      <c r="F52" s="238"/>
      <c r="G52" s="237">
        <f>SUM(E52:F52)</f>
        <v>7828</v>
      </c>
      <c r="H52" s="233"/>
      <c r="I52" s="290"/>
    </row>
    <row r="53" spans="1:10" ht="5.25" customHeight="1">
      <c r="C53" s="181"/>
      <c r="D53" s="181"/>
      <c r="E53" s="234"/>
      <c r="F53" s="234"/>
      <c r="G53" s="234"/>
      <c r="H53" s="233"/>
      <c r="I53" s="291"/>
    </row>
    <row r="54" spans="1:10">
      <c r="B54" s="180" t="s">
        <v>122</v>
      </c>
      <c r="C54" s="181"/>
      <c r="D54" s="181"/>
      <c r="E54" s="234">
        <f>E50-E52</f>
        <v>192.56613259999904</v>
      </c>
      <c r="F54" s="234">
        <f>F50-F52</f>
        <v>134.86196219999999</v>
      </c>
      <c r="G54" s="234">
        <f>SUM(E54:F54)</f>
        <v>327.42809479999903</v>
      </c>
      <c r="H54" s="233"/>
      <c r="I54" s="291"/>
    </row>
    <row r="55" spans="1:10" ht="18" customHeight="1">
      <c r="B55" s="180" t="s">
        <v>123</v>
      </c>
      <c r="D55" s="181"/>
      <c r="E55" s="240">
        <v>0.35</v>
      </c>
      <c r="F55" s="240">
        <v>0.35</v>
      </c>
      <c r="G55" s="240"/>
      <c r="H55" s="241"/>
      <c r="I55" s="240"/>
    </row>
    <row r="56" spans="1:10" ht="5.25" customHeight="1" thickBot="1">
      <c r="D56" s="181"/>
      <c r="E56" s="234"/>
      <c r="F56" s="234"/>
      <c r="G56" s="234"/>
      <c r="H56" s="233"/>
      <c r="I56" s="234"/>
    </row>
    <row r="57" spans="1:10" ht="13.8" thickBot="1">
      <c r="B57" s="180" t="s">
        <v>124</v>
      </c>
      <c r="D57" s="181"/>
      <c r="E57" s="295">
        <f>ROUND(E54*-E55,0)</f>
        <v>-67</v>
      </c>
      <c r="F57" s="239">
        <f>ROUND(F54*-F55,0)</f>
        <v>-47</v>
      </c>
      <c r="G57" s="239">
        <f>SUM(E57:F57)</f>
        <v>-114</v>
      </c>
      <c r="H57" s="233"/>
      <c r="I57" s="239">
        <f>I50</f>
        <v>-114.20000000000027</v>
      </c>
      <c r="J57" s="425" t="s">
        <v>437</v>
      </c>
    </row>
    <row r="58" spans="1:10">
      <c r="F58" s="189"/>
      <c r="J58" s="426" t="e">
        <f>I57-'ADJ DETAIL INPUT'!W54-'ADJ DETAIL INPUT'!#REF!</f>
        <v>#REF!</v>
      </c>
    </row>
    <row r="59" spans="1:10" hidden="1">
      <c r="A59" s="190" t="s">
        <v>226</v>
      </c>
      <c r="B59" s="191" t="s">
        <v>227</v>
      </c>
    </row>
    <row r="60" spans="1:10" hidden="1">
      <c r="B60" s="183" t="s">
        <v>228</v>
      </c>
    </row>
    <row r="61" spans="1:10" hidden="1">
      <c r="B61" s="180" t="s">
        <v>229</v>
      </c>
      <c r="C61" s="192">
        <v>2430</v>
      </c>
      <c r="H61" s="173" t="s">
        <v>230</v>
      </c>
    </row>
    <row r="62" spans="1:10" hidden="1">
      <c r="B62" s="180" t="s">
        <v>231</v>
      </c>
      <c r="C62" s="193">
        <v>2935</v>
      </c>
      <c r="H62" s="173" t="s">
        <v>230</v>
      </c>
    </row>
    <row r="63" spans="1:10" hidden="1">
      <c r="B63" s="180" t="s">
        <v>232</v>
      </c>
      <c r="C63" s="194">
        <f>C61+C62</f>
        <v>5365</v>
      </c>
    </row>
    <row r="64" spans="1:10" hidden="1">
      <c r="C64" s="188"/>
    </row>
    <row r="65" spans="1:6" hidden="1">
      <c r="C65" s="195"/>
      <c r="D65" s="178"/>
      <c r="E65" s="178" t="s">
        <v>233</v>
      </c>
    </row>
    <row r="66" spans="1:6" hidden="1">
      <c r="C66" s="185" t="s">
        <v>234</v>
      </c>
      <c r="D66" s="185" t="s">
        <v>235</v>
      </c>
      <c r="E66" s="185" t="s">
        <v>24</v>
      </c>
    </row>
    <row r="67" spans="1:6" hidden="1">
      <c r="B67" s="180" t="s">
        <v>236</v>
      </c>
      <c r="C67" s="196" t="e">
        <f>#REF!</f>
        <v>#REF!</v>
      </c>
      <c r="D67" s="197" t="e">
        <f>ROUND(C67/$C$70,4)</f>
        <v>#REF!</v>
      </c>
      <c r="E67" s="196" t="e">
        <f>D67*E70</f>
        <v>#REF!</v>
      </c>
      <c r="F67" s="198"/>
    </row>
    <row r="68" spans="1:6" hidden="1">
      <c r="B68" s="180" t="s">
        <v>237</v>
      </c>
      <c r="C68" s="199" t="e">
        <f>#REF!</f>
        <v>#REF!</v>
      </c>
      <c r="D68" s="197" t="e">
        <f>ROUND(C68/$C$70,4)</f>
        <v>#REF!</v>
      </c>
      <c r="E68" s="199" t="e">
        <f>D68*E70</f>
        <v>#REF!</v>
      </c>
    </row>
    <row r="69" spans="1:6" hidden="1">
      <c r="B69" s="180" t="s">
        <v>238</v>
      </c>
      <c r="C69" s="199" t="e">
        <f>#REF!</f>
        <v>#REF!</v>
      </c>
      <c r="D69" s="197" t="e">
        <f>ROUND(C69/$C$70,4)-0.0001</f>
        <v>#REF!</v>
      </c>
      <c r="E69" s="199" t="e">
        <f>E70*D69</f>
        <v>#REF!</v>
      </c>
    </row>
    <row r="70" spans="1:6" hidden="1">
      <c r="B70" s="180" t="s">
        <v>239</v>
      </c>
      <c r="C70" s="200" t="e">
        <f>C67+C68+C69</f>
        <v>#REF!</v>
      </c>
      <c r="D70" s="201" t="e">
        <f>D67+D68+D69</f>
        <v>#REF!</v>
      </c>
      <c r="E70" s="200">
        <f>C63</f>
        <v>5365</v>
      </c>
    </row>
    <row r="71" spans="1:6" hidden="1">
      <c r="C71" s="202"/>
      <c r="D71" s="202"/>
      <c r="E71" s="202"/>
    </row>
    <row r="72" spans="1:6" hidden="1">
      <c r="B72" s="180" t="s">
        <v>240</v>
      </c>
      <c r="C72" s="196" t="e">
        <f>#REF!</f>
        <v>#REF!</v>
      </c>
      <c r="D72" s="197" t="e">
        <f>C72/C74</f>
        <v>#REF!</v>
      </c>
      <c r="E72" s="196" t="e">
        <f>D72*E74</f>
        <v>#REF!</v>
      </c>
    </row>
    <row r="73" spans="1:6" hidden="1">
      <c r="B73" s="180" t="s">
        <v>241</v>
      </c>
      <c r="C73" s="202" t="e">
        <f>#REF!</f>
        <v>#REF!</v>
      </c>
      <c r="D73" s="197" t="e">
        <f>C73/C74</f>
        <v>#REF!</v>
      </c>
      <c r="E73" s="202" t="e">
        <f>D73*E74</f>
        <v>#REF!</v>
      </c>
    </row>
    <row r="74" spans="1:6" hidden="1">
      <c r="B74" s="180" t="s">
        <v>239</v>
      </c>
      <c r="C74" s="200" t="e">
        <f>C72+C73</f>
        <v>#REF!</v>
      </c>
      <c r="D74" s="201" t="e">
        <f>D72+D73</f>
        <v>#REF!</v>
      </c>
      <c r="E74" s="200" t="e">
        <f>E67</f>
        <v>#REF!</v>
      </c>
    </row>
    <row r="75" spans="1:6" hidden="1">
      <c r="C75" s="202"/>
      <c r="D75" s="202"/>
      <c r="E75" s="202"/>
    </row>
    <row r="76" spans="1:6" hidden="1">
      <c r="B76" s="180" t="s">
        <v>242</v>
      </c>
      <c r="C76" s="196" t="e">
        <f>#REF!</f>
        <v>#REF!</v>
      </c>
      <c r="D76" s="203" t="e">
        <f>C76/C78</f>
        <v>#REF!</v>
      </c>
      <c r="E76" s="196" t="e">
        <f>E78*D76</f>
        <v>#REF!</v>
      </c>
    </row>
    <row r="77" spans="1:6" hidden="1">
      <c r="B77" s="180" t="s">
        <v>243</v>
      </c>
      <c r="C77" s="202" t="e">
        <f>#REF!</f>
        <v>#REF!</v>
      </c>
      <c r="D77" s="204" t="e">
        <f>C77/C78</f>
        <v>#REF!</v>
      </c>
      <c r="E77" s="202" t="e">
        <f>E78*D77</f>
        <v>#REF!</v>
      </c>
    </row>
    <row r="78" spans="1:6" hidden="1">
      <c r="B78" s="180" t="s">
        <v>239</v>
      </c>
      <c r="C78" s="200" t="e">
        <f>SUM(C76:C77)</f>
        <v>#REF!</v>
      </c>
      <c r="D78" s="205" t="e">
        <f>SUM(D76:D77)</f>
        <v>#REF!</v>
      </c>
      <c r="E78" s="200" t="e">
        <f>E68</f>
        <v>#REF!</v>
      </c>
    </row>
    <row r="79" spans="1:6" hidden="1">
      <c r="A79" s="206" t="str">
        <f>A1</f>
        <v>AVISTA UTILITIES</v>
      </c>
      <c r="C79" s="207"/>
      <c r="D79" s="208"/>
      <c r="E79" s="207"/>
      <c r="F79" s="208"/>
    </row>
    <row r="80" spans="1:6" hidden="1">
      <c r="A80" s="206" t="str">
        <f>A2</f>
        <v>Restate Debt Interest</v>
      </c>
      <c r="C80" s="207"/>
      <c r="D80" s="208"/>
      <c r="E80" s="207"/>
      <c r="F80" s="208"/>
    </row>
    <row r="81" spans="1:6" hidden="1">
      <c r="A81" s="206" t="s">
        <v>244</v>
      </c>
      <c r="C81" s="207"/>
      <c r="D81" s="208"/>
      <c r="E81" s="207"/>
      <c r="F81" s="208"/>
    </row>
    <row r="82" spans="1:6" hidden="1">
      <c r="A82" s="209" t="str">
        <f>A4</f>
        <v>TWELVE MONTHS ENDED DECEMBER 31, 2016</v>
      </c>
      <c r="C82" s="176"/>
      <c r="D82" s="208"/>
      <c r="E82" s="176"/>
      <c r="F82" s="208"/>
    </row>
    <row r="83" spans="1:6" hidden="1">
      <c r="A83" s="210" t="s">
        <v>118</v>
      </c>
      <c r="C83" s="207"/>
      <c r="D83" s="208"/>
      <c r="E83" s="208"/>
      <c r="F83" s="208"/>
    </row>
    <row r="84" spans="1:6" hidden="1">
      <c r="C84" s="181"/>
      <c r="D84" s="181"/>
      <c r="E84" s="182"/>
      <c r="F84" s="178" t="s">
        <v>19</v>
      </c>
    </row>
    <row r="85" spans="1:6" hidden="1">
      <c r="B85" s="183" t="s">
        <v>119</v>
      </c>
      <c r="C85" s="181"/>
      <c r="D85" s="181"/>
      <c r="E85" s="182"/>
      <c r="F85" s="185" t="s">
        <v>120</v>
      </c>
    </row>
    <row r="86" spans="1:6" hidden="1">
      <c r="A86" s="179" t="e">
        <f>'[4]ADJ SUMMARY'!#REF!</f>
        <v>#REF!</v>
      </c>
      <c r="B86" s="180" t="e">
        <f>'[4]ADJ SUMMARY'!#REF!</f>
        <v>#REF!</v>
      </c>
      <c r="C86" s="181"/>
      <c r="D86" s="181"/>
      <c r="E86" s="188"/>
      <c r="F86" s="211" t="e">
        <f>'[4]ADJ SUMMARY'!#REF!</f>
        <v>#REF!</v>
      </c>
    </row>
    <row r="87" spans="1:6" hidden="1">
      <c r="A87" s="179" t="e">
        <f>'[4]ADJ SUMMARY'!#REF!</f>
        <v>#REF!</v>
      </c>
      <c r="B87" s="180" t="e">
        <f>'[4]ADJ SUMMARY'!#REF!</f>
        <v>#REF!</v>
      </c>
      <c r="C87" s="181"/>
      <c r="D87" s="181"/>
      <c r="E87" s="188"/>
      <c r="F87" s="211" t="e">
        <f>'[4]ADJ SUMMARY'!#REF!</f>
        <v>#REF!</v>
      </c>
    </row>
    <row r="88" spans="1:6" hidden="1">
      <c r="A88" s="179" t="e">
        <f>'[4]ADJ SUMMARY'!#REF!</f>
        <v>#REF!</v>
      </c>
      <c r="B88" s="180" t="e">
        <f>'[4]ADJ SUMMARY'!#REF!</f>
        <v>#REF!</v>
      </c>
      <c r="C88" s="181"/>
      <c r="D88" s="181"/>
      <c r="E88" s="188"/>
      <c r="F88" s="211" t="e">
        <f>'[4]ADJ SUMMARY'!#REF!</f>
        <v>#REF!</v>
      </c>
    </row>
    <row r="89" spans="1:6" hidden="1">
      <c r="A89" s="179" t="e">
        <f>'[4]ADJ SUMMARY'!#REF!</f>
        <v>#REF!</v>
      </c>
      <c r="B89" s="180" t="e">
        <f>'[4]ADJ SUMMARY'!#REF!</f>
        <v>#REF!</v>
      </c>
      <c r="C89" s="181"/>
      <c r="D89" s="181"/>
      <c r="E89" s="188"/>
      <c r="F89" s="211" t="e">
        <f>'[4]ADJ SUMMARY'!#REF!</f>
        <v>#REF!</v>
      </c>
    </row>
    <row r="90" spans="1:6" hidden="1">
      <c r="A90" s="179" t="e">
        <f>'[4]ADJ SUMMARY'!#REF!</f>
        <v>#REF!</v>
      </c>
      <c r="B90" s="180" t="e">
        <f>'[4]ADJ SUMMARY'!#REF!</f>
        <v>#REF!</v>
      </c>
      <c r="C90" s="181"/>
      <c r="D90" s="181"/>
      <c r="E90" s="188"/>
      <c r="F90" s="211" t="e">
        <f>'[4]ADJ SUMMARY'!#REF!</f>
        <v>#REF!</v>
      </c>
    </row>
    <row r="91" spans="1:6" hidden="1">
      <c r="A91" s="179" t="e">
        <f>'[4]ADJ SUMMARY'!#REF!</f>
        <v>#REF!</v>
      </c>
      <c r="B91" s="180" t="e">
        <f>'[4]ADJ SUMMARY'!#REF!</f>
        <v>#REF!</v>
      </c>
      <c r="C91" s="181"/>
      <c r="D91" s="181"/>
      <c r="E91" s="188"/>
      <c r="F91" s="211" t="e">
        <f>'[4]ADJ SUMMARY'!#REF!</f>
        <v>#REF!</v>
      </c>
    </row>
    <row r="92" spans="1:6" hidden="1">
      <c r="A92" s="179" t="e">
        <f>'[4]ADJ SUMMARY'!#REF!</f>
        <v>#REF!</v>
      </c>
      <c r="B92" s="180" t="e">
        <f>'[4]ADJ SUMMARY'!#REF!</f>
        <v>#REF!</v>
      </c>
      <c r="C92" s="181"/>
      <c r="D92" s="181"/>
      <c r="E92" s="188"/>
      <c r="F92" s="211" t="e">
        <f>'[4]ADJ SUMMARY'!#REF!</f>
        <v>#REF!</v>
      </c>
    </row>
    <row r="93" spans="1:6" hidden="1">
      <c r="A93" s="179" t="e">
        <f>'[4]ADJ SUMMARY'!#REF!</f>
        <v>#REF!</v>
      </c>
      <c r="B93" s="180" t="e">
        <f>'[4]ADJ SUMMARY'!#REF!</f>
        <v>#REF!</v>
      </c>
      <c r="C93" s="181"/>
      <c r="D93" s="181"/>
      <c r="E93" s="188"/>
      <c r="F93" s="211" t="e">
        <f>'[4]ADJ SUMMARY'!#REF!</f>
        <v>#REF!</v>
      </c>
    </row>
    <row r="94" spans="1:6" hidden="1">
      <c r="A94" s="179" t="e">
        <f>'[4]ADJ SUMMARY'!#REF!</f>
        <v>#REF!</v>
      </c>
      <c r="B94" s="180" t="e">
        <f>'[4]ADJ SUMMARY'!#REF!</f>
        <v>#REF!</v>
      </c>
      <c r="C94" s="181"/>
      <c r="D94" s="181"/>
      <c r="E94" s="188"/>
      <c r="F94" s="211" t="e">
        <f>'[4]ADJ SUMMARY'!#REF!</f>
        <v>#REF!</v>
      </c>
    </row>
    <row r="95" spans="1:6" hidden="1">
      <c r="A95" s="179" t="e">
        <f>'[4]ADJ SUMMARY'!#REF!</f>
        <v>#REF!</v>
      </c>
      <c r="B95" s="180" t="e">
        <f>'[4]ADJ SUMMARY'!#REF!</f>
        <v>#REF!</v>
      </c>
      <c r="C95" s="181"/>
      <c r="D95" s="181"/>
      <c r="E95" s="188"/>
      <c r="F95" s="211" t="e">
        <f>'[4]ADJ SUMMARY'!#REF!</f>
        <v>#REF!</v>
      </c>
    </row>
    <row r="96" spans="1:6" hidden="1">
      <c r="A96" s="179" t="e">
        <f>'[4]ADJ SUMMARY'!#REF!</f>
        <v>#REF!</v>
      </c>
      <c r="B96" s="180" t="e">
        <f>'[4]ADJ SUMMARY'!#REF!</f>
        <v>#REF!</v>
      </c>
      <c r="C96" s="181"/>
      <c r="D96" s="181"/>
      <c r="E96" s="188"/>
      <c r="F96" s="211" t="e">
        <f>'[4]ADJ SUMMARY'!#REF!</f>
        <v>#REF!</v>
      </c>
    </row>
    <row r="97" spans="1:6" hidden="1">
      <c r="A97" s="179" t="e">
        <f>'[4]ADJ SUMMARY'!#REF!</f>
        <v>#REF!</v>
      </c>
      <c r="B97" s="180" t="e">
        <f>'[4]ADJ SUMMARY'!#REF!</f>
        <v>#REF!</v>
      </c>
      <c r="C97" s="181"/>
      <c r="D97" s="181"/>
      <c r="E97" s="188"/>
      <c r="F97" s="211" t="e">
        <f>'[4]ADJ SUMMARY'!#REF!</f>
        <v>#REF!</v>
      </c>
    </row>
    <row r="98" spans="1:6" hidden="1">
      <c r="A98" s="179" t="e">
        <f>'[4]ADJ SUMMARY'!#REF!</f>
        <v>#REF!</v>
      </c>
      <c r="B98" s="180" t="e">
        <f>'[4]ADJ SUMMARY'!#REF!</f>
        <v>#REF!</v>
      </c>
      <c r="C98" s="181"/>
      <c r="D98" s="181"/>
      <c r="E98" s="188"/>
      <c r="F98" s="211" t="e">
        <f>'[4]ADJ SUMMARY'!#REF!</f>
        <v>#REF!</v>
      </c>
    </row>
    <row r="99" spans="1:6" hidden="1">
      <c r="A99" s="179" t="e">
        <f>'[4]ADJ SUMMARY'!#REF!</f>
        <v>#REF!</v>
      </c>
      <c r="B99" s="180" t="e">
        <f>'[4]ADJ SUMMARY'!#REF!</f>
        <v>#REF!</v>
      </c>
      <c r="C99" s="181"/>
      <c r="D99" s="181"/>
      <c r="E99" s="188"/>
      <c r="F99" s="211" t="e">
        <f>'[4]ADJ SUMMARY'!#REF!</f>
        <v>#REF!</v>
      </c>
    </row>
    <row r="100" spans="1:6" hidden="1">
      <c r="A100" s="179" t="e">
        <f>'[4]ADJ SUMMARY'!#REF!</f>
        <v>#REF!</v>
      </c>
      <c r="B100" s="180" t="e">
        <f>'[4]ADJ SUMMARY'!#REF!</f>
        <v>#REF!</v>
      </c>
      <c r="C100" s="181"/>
      <c r="D100" s="181"/>
      <c r="E100" s="188"/>
      <c r="F100" s="211" t="e">
        <f>'[4]ADJ SUMMARY'!#REF!</f>
        <v>#REF!</v>
      </c>
    </row>
    <row r="101" spans="1:6" hidden="1">
      <c r="A101" s="179" t="e">
        <f>'[4]ADJ SUMMARY'!#REF!</f>
        <v>#REF!</v>
      </c>
      <c r="B101" s="180" t="e">
        <f>'[4]ADJ SUMMARY'!#REF!</f>
        <v>#REF!</v>
      </c>
      <c r="C101" s="181"/>
      <c r="D101" s="181"/>
      <c r="E101" s="188"/>
      <c r="F101" s="211" t="e">
        <f>'[4]ADJ SUMMARY'!#REF!</f>
        <v>#REF!</v>
      </c>
    </row>
    <row r="102" spans="1:6" hidden="1">
      <c r="A102" s="179" t="e">
        <f>'[4]ADJ SUMMARY'!#REF!</f>
        <v>#REF!</v>
      </c>
      <c r="B102" s="180" t="e">
        <f>'[4]ADJ SUMMARY'!#REF!</f>
        <v>#REF!</v>
      </c>
      <c r="C102" s="181"/>
      <c r="D102" s="181"/>
      <c r="E102" s="188"/>
      <c r="F102" s="211" t="e">
        <f>'[4]ADJ SUMMARY'!#REF!</f>
        <v>#REF!</v>
      </c>
    </row>
    <row r="103" spans="1:6" hidden="1">
      <c r="A103" s="179" t="e">
        <f>'[4]ADJ SUMMARY'!#REF!</f>
        <v>#REF!</v>
      </c>
      <c r="B103" s="180" t="e">
        <f>'[4]ADJ SUMMARY'!#REF!</f>
        <v>#REF!</v>
      </c>
      <c r="C103" s="181"/>
      <c r="D103" s="181"/>
      <c r="E103" s="188"/>
      <c r="F103" s="211" t="e">
        <f>'[4]ADJ SUMMARY'!#REF!</f>
        <v>#REF!</v>
      </c>
    </row>
    <row r="104" spans="1:6" hidden="1">
      <c r="A104" s="179" t="e">
        <f>'[4]ADJ SUMMARY'!#REF!</f>
        <v>#REF!</v>
      </c>
      <c r="B104" s="180" t="e">
        <f>'[4]ADJ SUMMARY'!#REF!</f>
        <v>#REF!</v>
      </c>
      <c r="C104" s="181"/>
      <c r="D104" s="181"/>
      <c r="E104" s="188"/>
      <c r="F104" s="211" t="e">
        <f>'[4]ADJ SUMMARY'!#REF!</f>
        <v>#REF!</v>
      </c>
    </row>
    <row r="105" spans="1:6" hidden="1">
      <c r="A105" s="179" t="e">
        <f>'[4]ADJ SUMMARY'!#REF!</f>
        <v>#REF!</v>
      </c>
      <c r="B105" s="180" t="e">
        <f>'[4]ADJ SUMMARY'!#REF!</f>
        <v>#REF!</v>
      </c>
      <c r="C105" s="181"/>
      <c r="D105" s="181"/>
      <c r="E105" s="188"/>
      <c r="F105" s="211" t="e">
        <f>'[4]ADJ SUMMARY'!#REF!</f>
        <v>#REF!</v>
      </c>
    </row>
    <row r="106" spans="1:6" hidden="1">
      <c r="A106" s="179" t="e">
        <f>'[4]ADJ SUMMARY'!#REF!</f>
        <v>#REF!</v>
      </c>
      <c r="B106" s="180" t="e">
        <f>'[4]ADJ SUMMARY'!#REF!</f>
        <v>#REF!</v>
      </c>
      <c r="C106" s="181"/>
      <c r="D106" s="181"/>
      <c r="E106" s="188"/>
      <c r="F106" s="211" t="e">
        <f>'[4]ADJ SUMMARY'!#REF!</f>
        <v>#REF!</v>
      </c>
    </row>
    <row r="107" spans="1:6" ht="5.25" hidden="1" customHeight="1">
      <c r="C107" s="181"/>
      <c r="D107" s="181"/>
      <c r="E107" s="188"/>
      <c r="F107" s="211"/>
    </row>
    <row r="108" spans="1:6" ht="13.5" hidden="1" customHeight="1">
      <c r="A108" s="179" t="e">
        <f>'[4]ADJ SUMMARY'!#REF!</f>
        <v>#REF!</v>
      </c>
      <c r="B108" s="180" t="e">
        <f>'[4]ADJ SUMMARY'!#REF!</f>
        <v>#REF!</v>
      </c>
      <c r="C108" s="181"/>
      <c r="D108" s="181"/>
      <c r="E108" s="188"/>
      <c r="F108" s="211" t="e">
        <f>'[4]ADJ SUMMARY'!#REF!</f>
        <v>#REF!</v>
      </c>
    </row>
    <row r="109" spans="1:6" hidden="1">
      <c r="A109" s="179" t="e">
        <f>'[4]ADJ SUMMARY'!#REF!</f>
        <v>#REF!</v>
      </c>
      <c r="B109" s="180" t="e">
        <f>'[4]ADJ SUMMARY'!#REF!</f>
        <v>#REF!</v>
      </c>
      <c r="C109" s="181"/>
      <c r="D109" s="181"/>
      <c r="E109" s="188"/>
      <c r="F109" s="211" t="e">
        <f>'[4]ADJ SUMMARY'!#REF!</f>
        <v>#REF!</v>
      </c>
    </row>
    <row r="110" spans="1:6" hidden="1">
      <c r="A110" s="179" t="e">
        <f>'[4]ADJ SUMMARY'!#REF!</f>
        <v>#REF!</v>
      </c>
      <c r="B110" s="180" t="e">
        <f>'[4]ADJ SUMMARY'!#REF!</f>
        <v>#REF!</v>
      </c>
      <c r="C110" s="181"/>
      <c r="D110" s="181"/>
      <c r="E110" s="188"/>
      <c r="F110" s="211" t="e">
        <f>'[4]ADJ SUMMARY'!#REF!</f>
        <v>#REF!</v>
      </c>
    </row>
    <row r="111" spans="1:6" hidden="1">
      <c r="A111" s="179" t="e">
        <f>'[4]ADJ SUMMARY'!#REF!</f>
        <v>#REF!</v>
      </c>
      <c r="B111" s="180" t="e">
        <f>'[4]ADJ SUMMARY'!#REF!</f>
        <v>#REF!</v>
      </c>
      <c r="C111" s="181"/>
      <c r="D111" s="181"/>
      <c r="E111" s="188"/>
      <c r="F111" s="211" t="e">
        <f>'[4]ADJ SUMMARY'!#REF!</f>
        <v>#REF!</v>
      </c>
    </row>
    <row r="112" spans="1:6" hidden="1">
      <c r="A112" s="179" t="e">
        <f>'[4]ADJ SUMMARY'!#REF!</f>
        <v>#REF!</v>
      </c>
      <c r="B112" s="180" t="e">
        <f>'[4]ADJ SUMMARY'!#REF!</f>
        <v>#REF!</v>
      </c>
      <c r="C112" s="181"/>
      <c r="D112" s="181"/>
      <c r="E112" s="188"/>
      <c r="F112" s="211" t="e">
        <f>'[4]ADJ SUMMARY'!#REF!</f>
        <v>#REF!</v>
      </c>
    </row>
    <row r="113" spans="1:9" hidden="1">
      <c r="A113" s="179" t="e">
        <f>'[4]ADJ SUMMARY'!#REF!</f>
        <v>#REF!</v>
      </c>
      <c r="B113" s="180" t="e">
        <f>'[4]ADJ SUMMARY'!#REF!</f>
        <v>#REF!</v>
      </c>
      <c r="C113" s="181"/>
      <c r="D113" s="181"/>
      <c r="E113" s="188"/>
      <c r="F113" s="211" t="e">
        <f>'[4]ADJ SUMMARY'!#REF!</f>
        <v>#REF!</v>
      </c>
    </row>
    <row r="114" spans="1:9" hidden="1">
      <c r="A114" s="179" t="e">
        <f>'[4]ADJ SUMMARY'!#REF!</f>
        <v>#REF!</v>
      </c>
      <c r="B114" s="180" t="e">
        <f>'[4]ADJ SUMMARY'!#REF!</f>
        <v>#REF!</v>
      </c>
      <c r="C114" s="181"/>
      <c r="D114" s="181"/>
      <c r="E114" s="188"/>
      <c r="F114" s="211" t="e">
        <f>'[4]ADJ SUMMARY'!#REF!</f>
        <v>#REF!</v>
      </c>
    </row>
    <row r="115" spans="1:9" hidden="1">
      <c r="A115" s="179" t="e">
        <f>'[4]ADJ SUMMARY'!#REF!</f>
        <v>#REF!</v>
      </c>
      <c r="B115" s="180" t="e">
        <f>'[4]ADJ SUMMARY'!#REF!</f>
        <v>#REF!</v>
      </c>
      <c r="C115" s="181"/>
      <c r="D115" s="181"/>
      <c r="E115" s="188"/>
      <c r="F115" s="211" t="e">
        <f>'[4]ADJ SUMMARY'!#REF!</f>
        <v>#REF!</v>
      </c>
    </row>
    <row r="116" spans="1:9" hidden="1">
      <c r="A116" s="179" t="e">
        <f>'[4]ADJ SUMMARY'!#REF!</f>
        <v>#REF!</v>
      </c>
      <c r="B116" s="180" t="e">
        <f>'[4]ADJ SUMMARY'!#REF!</f>
        <v>#REF!</v>
      </c>
      <c r="C116" s="181"/>
      <c r="D116" s="181"/>
      <c r="E116" s="188"/>
      <c r="F116" s="211" t="e">
        <f>'[4]ADJ SUMMARY'!#REF!</f>
        <v>#REF!</v>
      </c>
    </row>
    <row r="117" spans="1:9" hidden="1">
      <c r="A117" s="179" t="e">
        <f>'[4]ADJ SUMMARY'!#REF!</f>
        <v>#REF!</v>
      </c>
      <c r="B117" s="180" t="e">
        <f>'[4]ADJ SUMMARY'!#REF!</f>
        <v>#REF!</v>
      </c>
      <c r="C117" s="181"/>
      <c r="D117" s="181"/>
      <c r="E117" s="188"/>
      <c r="F117" s="211" t="e">
        <f>'[4]ADJ SUMMARY'!#REF!</f>
        <v>#REF!</v>
      </c>
    </row>
    <row r="118" spans="1:9" hidden="1">
      <c r="A118" s="179" t="e">
        <f>'[4]ADJ SUMMARY'!#REF!</f>
        <v>#REF!</v>
      </c>
      <c r="B118" s="180" t="e">
        <f>'[4]ADJ SUMMARY'!#REF!</f>
        <v>#REF!</v>
      </c>
      <c r="C118" s="181"/>
      <c r="D118" s="181"/>
      <c r="E118" s="188"/>
      <c r="F118" s="211" t="e">
        <f>'[4]ADJ SUMMARY'!#REF!</f>
        <v>#REF!</v>
      </c>
    </row>
    <row r="119" spans="1:9" hidden="1">
      <c r="A119" s="179" t="e">
        <f>'[4]ADJ SUMMARY'!#REF!</f>
        <v>#REF!</v>
      </c>
      <c r="B119" s="180" t="e">
        <f>'[4]ADJ SUMMARY'!#REF!</f>
        <v>#REF!</v>
      </c>
      <c r="C119" s="181"/>
      <c r="D119" s="181"/>
      <c r="E119" s="188"/>
      <c r="F119" s="211" t="e">
        <f>'[4]ADJ SUMMARY'!#REF!</f>
        <v>#REF!</v>
      </c>
    </row>
    <row r="120" spans="1:9" hidden="1">
      <c r="A120" s="179" t="e">
        <f>'[4]ADJ SUMMARY'!#REF!</f>
        <v>#REF!</v>
      </c>
      <c r="B120" s="180" t="e">
        <f>'[4]ADJ SUMMARY'!#REF!</f>
        <v>#REF!</v>
      </c>
      <c r="C120" s="181"/>
      <c r="D120" s="181"/>
      <c r="E120" s="188"/>
      <c r="F120" s="211" t="e">
        <f>'[4]ADJ SUMMARY'!#REF!</f>
        <v>#REF!</v>
      </c>
    </row>
    <row r="121" spans="1:9" hidden="1">
      <c r="A121" s="179" t="e">
        <f>'[4]ADJ SUMMARY'!#REF!</f>
        <v>#REF!</v>
      </c>
      <c r="B121" s="180" t="e">
        <f>'[4]ADJ SUMMARY'!#REF!</f>
        <v>#REF!</v>
      </c>
      <c r="C121" s="181"/>
      <c r="D121" s="181"/>
      <c r="E121" s="188"/>
      <c r="F121" s="211" t="e">
        <f>'[4]ADJ SUMMARY'!#REF!</f>
        <v>#REF!</v>
      </c>
    </row>
    <row r="122" spans="1:9" ht="13.5" hidden="1" customHeight="1">
      <c r="A122" s="179" t="e">
        <f>'[4]ADJ SUMMARY'!#REF!</f>
        <v>#REF!</v>
      </c>
      <c r="B122" s="180" t="e">
        <f>'[4]ADJ SUMMARY'!#REF!</f>
        <v>#REF!</v>
      </c>
      <c r="C122" s="181"/>
      <c r="D122" s="181"/>
      <c r="E122" s="188"/>
      <c r="F122" s="211" t="e">
        <f>'[4]ADJ SUMMARY'!#REF!</f>
        <v>#REF!</v>
      </c>
    </row>
    <row r="123" spans="1:9" ht="0.75" hidden="1" customHeight="1">
      <c r="A123" s="179" t="e">
        <f>'[4]ADJ SUMMARY'!#REF!</f>
        <v>#REF!</v>
      </c>
      <c r="B123" s="180" t="e">
        <f>'[4]ADJ SUMMARY'!#REF!</f>
        <v>#REF!</v>
      </c>
      <c r="C123" s="181"/>
      <c r="D123" s="181"/>
      <c r="E123" s="188"/>
      <c r="F123" s="211" t="e">
        <f>'[4]ADJ SUMMARY'!#REF!</f>
        <v>#REF!</v>
      </c>
    </row>
    <row r="124" spans="1:9" ht="13.5" hidden="1" customHeight="1">
      <c r="B124" s="180" t="s">
        <v>245</v>
      </c>
      <c r="C124" s="181"/>
      <c r="D124" s="181"/>
      <c r="E124" s="188"/>
      <c r="F124" s="194" t="e">
        <f>SUM(F86:F123)</f>
        <v>#REF!</v>
      </c>
    </row>
    <row r="125" spans="1:9" hidden="1">
      <c r="C125" s="181"/>
      <c r="D125" s="181"/>
      <c r="E125" s="181"/>
      <c r="F125" s="173"/>
      <c r="G125" s="212"/>
    </row>
    <row r="126" spans="1:9" hidden="1">
      <c r="B126" s="180" t="str">
        <f>B48</f>
        <v>Weighted Average Cost of Debt</v>
      </c>
      <c r="C126" s="213"/>
      <c r="D126" s="213"/>
      <c r="E126" s="214"/>
      <c r="F126" s="215" t="e">
        <f>'[4]RR SUMMARY'!#REF!</f>
        <v>#REF!</v>
      </c>
      <c r="H126" s="216" t="s">
        <v>246</v>
      </c>
      <c r="I126" s="202"/>
    </row>
    <row r="127" spans="1:9" hidden="1">
      <c r="C127" s="181"/>
      <c r="D127" s="181"/>
      <c r="F127" s="173"/>
    </row>
    <row r="128" spans="1:9" hidden="1">
      <c r="B128" s="180" t="s">
        <v>121</v>
      </c>
      <c r="C128" s="181"/>
      <c r="D128" s="181"/>
      <c r="E128" s="188"/>
      <c r="F128" s="188" t="e">
        <f>F124*F126</f>
        <v>#REF!</v>
      </c>
    </row>
    <row r="129" spans="1:8" hidden="1">
      <c r="C129" s="181"/>
      <c r="D129" s="181"/>
      <c r="E129" s="181"/>
      <c r="F129" s="173"/>
    </row>
    <row r="130" spans="1:8" hidden="1">
      <c r="B130" s="180" t="s">
        <v>247</v>
      </c>
      <c r="C130" s="181"/>
      <c r="D130" s="181"/>
      <c r="F130" s="217">
        <v>21469</v>
      </c>
      <c r="H130" s="218" t="s">
        <v>248</v>
      </c>
    </row>
    <row r="131" spans="1:8" hidden="1">
      <c r="C131" s="181"/>
      <c r="D131" s="181"/>
      <c r="E131" s="181"/>
      <c r="F131" s="173"/>
    </row>
    <row r="132" spans="1:8" hidden="1">
      <c r="B132" s="180" t="s">
        <v>122</v>
      </c>
      <c r="C132" s="181"/>
      <c r="D132" s="181"/>
      <c r="E132" s="188"/>
      <c r="F132" s="188" t="e">
        <f>F128-F130</f>
        <v>#REF!</v>
      </c>
    </row>
    <row r="133" spans="1:8" hidden="1">
      <c r="B133" s="180" t="s">
        <v>123</v>
      </c>
      <c r="D133" s="181"/>
      <c r="E133" s="219"/>
      <c r="F133" s="220">
        <v>0.35</v>
      </c>
    </row>
    <row r="134" spans="1:8" hidden="1">
      <c r="D134" s="181"/>
      <c r="E134" s="181"/>
      <c r="F134" s="173"/>
    </row>
    <row r="135" spans="1:8" hidden="1">
      <c r="B135" s="180" t="s">
        <v>124</v>
      </c>
      <c r="D135" s="181"/>
      <c r="E135" s="188"/>
      <c r="F135" s="188" t="e">
        <f>F132*-F133</f>
        <v>#REF!</v>
      </c>
      <c r="G135" s="188"/>
    </row>
    <row r="136" spans="1:8" ht="13.8" hidden="1" thickTop="1">
      <c r="D136" s="181"/>
      <c r="E136" s="188"/>
      <c r="F136" s="221"/>
    </row>
    <row r="137" spans="1:8" hidden="1">
      <c r="A137" s="222"/>
      <c r="F137" s="173"/>
    </row>
    <row r="138" spans="1:8" hidden="1">
      <c r="A138" s="222"/>
      <c r="B138" s="183" t="s">
        <v>228</v>
      </c>
      <c r="F138" s="173"/>
    </row>
    <row r="139" spans="1:8" hidden="1">
      <c r="A139" s="222"/>
      <c r="B139" s="180" t="s">
        <v>229</v>
      </c>
      <c r="C139" s="188">
        <f>C61</f>
        <v>2430</v>
      </c>
      <c r="F139" s="173"/>
    </row>
    <row r="140" spans="1:8" hidden="1">
      <c r="A140" s="222"/>
      <c r="B140" s="180" t="s">
        <v>231</v>
      </c>
      <c r="C140" s="173">
        <f>C62</f>
        <v>2935</v>
      </c>
      <c r="F140" s="173"/>
    </row>
    <row r="141" spans="1:8" hidden="1">
      <c r="A141" s="222"/>
      <c r="B141" s="180" t="s">
        <v>232</v>
      </c>
      <c r="C141" s="194">
        <f>C139+C140</f>
        <v>5365</v>
      </c>
      <c r="F141" s="173"/>
    </row>
    <row r="142" spans="1:8" hidden="1">
      <c r="A142" s="222"/>
      <c r="C142" s="188"/>
      <c r="F142" s="173"/>
    </row>
    <row r="143" spans="1:8" hidden="1">
      <c r="A143" s="222"/>
      <c r="C143" s="195"/>
      <c r="D143" s="178"/>
      <c r="E143" s="178" t="s">
        <v>233</v>
      </c>
      <c r="F143" s="173"/>
    </row>
    <row r="144" spans="1:8" hidden="1">
      <c r="A144" s="222"/>
      <c r="C144" s="185" t="s">
        <v>234</v>
      </c>
      <c r="D144" s="185" t="s">
        <v>235</v>
      </c>
      <c r="E144" s="185" t="s">
        <v>24</v>
      </c>
      <c r="F144" s="173"/>
    </row>
    <row r="145" spans="1:6" hidden="1">
      <c r="A145" s="222"/>
      <c r="B145" s="180" t="s">
        <v>236</v>
      </c>
      <c r="C145" s="188" t="e">
        <f>$C$67</f>
        <v>#REF!</v>
      </c>
      <c r="D145" s="223" t="e">
        <f>C145/C148</f>
        <v>#REF!</v>
      </c>
      <c r="E145" s="188" t="e">
        <f>D145*E148</f>
        <v>#REF!</v>
      </c>
      <c r="F145" s="173"/>
    </row>
    <row r="146" spans="1:6" hidden="1">
      <c r="A146" s="222"/>
      <c r="B146" s="180" t="s">
        <v>237</v>
      </c>
      <c r="C146" s="173" t="e">
        <f>$C$68</f>
        <v>#REF!</v>
      </c>
      <c r="D146" s="224" t="e">
        <f>C146/C148</f>
        <v>#REF!</v>
      </c>
      <c r="E146" s="225" t="e">
        <f>D146*E148</f>
        <v>#REF!</v>
      </c>
      <c r="F146" s="173"/>
    </row>
    <row r="147" spans="1:6" hidden="1">
      <c r="A147" s="222"/>
      <c r="B147" s="180" t="s">
        <v>238</v>
      </c>
      <c r="C147" s="173" t="e">
        <f>$C$69</f>
        <v>#REF!</v>
      </c>
      <c r="D147" s="224" t="e">
        <f>C147/C148</f>
        <v>#REF!</v>
      </c>
      <c r="E147" s="225" t="e">
        <f>E148*D147</f>
        <v>#REF!</v>
      </c>
      <c r="F147" s="173"/>
    </row>
    <row r="148" spans="1:6" hidden="1">
      <c r="A148" s="222"/>
      <c r="B148" s="180" t="s">
        <v>239</v>
      </c>
      <c r="C148" s="194" t="e">
        <f>C145+C146+C147</f>
        <v>#REF!</v>
      </c>
      <c r="D148" s="226" t="e">
        <f>D145+D146+D147</f>
        <v>#REF!</v>
      </c>
      <c r="E148" s="194">
        <f>C141</f>
        <v>5365</v>
      </c>
      <c r="F148" s="173"/>
    </row>
    <row r="149" spans="1:6" hidden="1">
      <c r="A149" s="222"/>
      <c r="F149" s="173"/>
    </row>
    <row r="150" spans="1:6" hidden="1">
      <c r="A150" s="222"/>
      <c r="B150" s="180" t="s">
        <v>240</v>
      </c>
      <c r="C150" s="188" t="e">
        <f>$C$72</f>
        <v>#REF!</v>
      </c>
      <c r="D150" s="223" t="e">
        <f>C150/C152</f>
        <v>#REF!</v>
      </c>
      <c r="E150" s="188" t="e">
        <f>D150*E152</f>
        <v>#REF!</v>
      </c>
      <c r="F150" s="173"/>
    </row>
    <row r="151" spans="1:6" hidden="1">
      <c r="A151" s="222"/>
      <c r="B151" s="180" t="s">
        <v>241</v>
      </c>
      <c r="C151" s="173" t="e">
        <f>$C$73</f>
        <v>#REF!</v>
      </c>
      <c r="D151" s="223" t="e">
        <f>C151/C152</f>
        <v>#REF!</v>
      </c>
      <c r="E151" s="173" t="e">
        <f>D151*E152</f>
        <v>#REF!</v>
      </c>
      <c r="F151" s="173"/>
    </row>
    <row r="152" spans="1:6" hidden="1">
      <c r="A152" s="222"/>
      <c r="B152" s="180" t="s">
        <v>239</v>
      </c>
      <c r="C152" s="194" t="e">
        <f>C150+C151</f>
        <v>#REF!</v>
      </c>
      <c r="D152" s="226" t="e">
        <f>D150+D151</f>
        <v>#REF!</v>
      </c>
      <c r="E152" s="194" t="e">
        <f>E145</f>
        <v>#REF!</v>
      </c>
      <c r="F152" s="173"/>
    </row>
    <row r="153" spans="1:6" hidden="1">
      <c r="A153" s="222"/>
      <c r="F153" s="173"/>
    </row>
    <row r="154" spans="1:6" hidden="1">
      <c r="A154" s="222"/>
      <c r="B154" s="180" t="s">
        <v>242</v>
      </c>
      <c r="C154" s="188" t="e">
        <f>$C$76</f>
        <v>#REF!</v>
      </c>
      <c r="D154" s="227" t="e">
        <f>C154/C156</f>
        <v>#REF!</v>
      </c>
      <c r="E154" s="188" t="e">
        <f>E156*D154</f>
        <v>#REF!</v>
      </c>
      <c r="F154" s="173"/>
    </row>
    <row r="155" spans="1:6" hidden="1">
      <c r="A155" s="222"/>
      <c r="B155" s="180" t="s">
        <v>243</v>
      </c>
      <c r="C155" s="173" t="e">
        <f>C$77</f>
        <v>#REF!</v>
      </c>
      <c r="D155" s="228" t="e">
        <f>C155/C156</f>
        <v>#REF!</v>
      </c>
      <c r="E155" s="173" t="e">
        <f>E156*D155</f>
        <v>#REF!</v>
      </c>
      <c r="F155" s="173"/>
    </row>
    <row r="156" spans="1:6" hidden="1">
      <c r="A156" s="222"/>
      <c r="B156" s="180" t="s">
        <v>239</v>
      </c>
      <c r="C156" s="194" t="e">
        <f>SUM(C154:C155)</f>
        <v>#REF!</v>
      </c>
      <c r="D156" s="229" t="e">
        <f>SUM(D154:D155)</f>
        <v>#REF!</v>
      </c>
      <c r="E156" s="194" t="e">
        <f>E146</f>
        <v>#REF!</v>
      </c>
      <c r="F156" s="173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2"/>
  <sheetViews>
    <sheetView zoomScaleNormal="100" zoomScaleSheetLayoutView="100" workbookViewId="0">
      <pane xSplit="1" ySplit="9" topLeftCell="B28" activePane="bottomRight" state="frozen"/>
      <selection activeCell="U26" sqref="U26"/>
      <selection pane="topRight" activeCell="U26" sqref="U26"/>
      <selection pane="bottomLeft" activeCell="U26" sqref="U26"/>
      <selection pane="bottomRight" activeCell="B4" sqref="B4"/>
    </sheetView>
  </sheetViews>
  <sheetFormatPr defaultColWidth="9.21875" defaultRowHeight="11.25" customHeight="1"/>
  <cols>
    <col min="1" max="1" width="8.21875" style="8" customWidth="1"/>
    <col min="2" max="2" width="26.21875" style="8" customWidth="1"/>
    <col min="3" max="3" width="12.44140625" style="8" customWidth="1"/>
    <col min="4" max="4" width="6.77734375" style="8" customWidth="1"/>
    <col min="5" max="5" width="12.44140625" style="28" customWidth="1"/>
    <col min="6" max="6" width="12.44140625" style="29" customWidth="1"/>
    <col min="7" max="7" width="12.44140625" style="28" customWidth="1"/>
    <col min="8" max="8" width="12.77734375" style="8" bestFit="1" customWidth="1"/>
    <col min="9" max="9" width="12.21875" style="8" bestFit="1" customWidth="1"/>
    <col min="10" max="16384" width="9.21875" style="8"/>
  </cols>
  <sheetData>
    <row r="1" spans="1:8" ht="16.5" customHeight="1">
      <c r="F1" s="313"/>
    </row>
    <row r="2" spans="1:8" ht="4.5" customHeight="1"/>
    <row r="3" spans="1:8" ht="12">
      <c r="A3" s="965" t="s">
        <v>115</v>
      </c>
      <c r="B3" s="965"/>
      <c r="C3" s="965"/>
      <c r="E3" s="9"/>
      <c r="F3" s="10"/>
      <c r="G3" s="9"/>
    </row>
    <row r="4" spans="1:8" ht="12">
      <c r="A4" s="7" t="s">
        <v>215</v>
      </c>
      <c r="B4" s="7"/>
      <c r="C4" s="7"/>
      <c r="E4" s="11" t="s">
        <v>79</v>
      </c>
      <c r="F4" s="11"/>
      <c r="G4" s="11"/>
    </row>
    <row r="5" spans="1:8" ht="12">
      <c r="A5" s="966" t="s">
        <v>512</v>
      </c>
      <c r="B5" s="965"/>
      <c r="C5" s="965"/>
      <c r="E5" s="11" t="s">
        <v>80</v>
      </c>
      <c r="F5" s="11"/>
      <c r="G5" s="11"/>
    </row>
    <row r="6" spans="1:8" ht="12">
      <c r="A6" s="7" t="s">
        <v>81</v>
      </c>
      <c r="B6" s="7"/>
      <c r="C6" s="7"/>
      <c r="E6" s="12"/>
      <c r="F6" s="13" t="s">
        <v>82</v>
      </c>
      <c r="G6" s="12"/>
    </row>
    <row r="7" spans="1:8" ht="12">
      <c r="A7" s="14" t="s">
        <v>7</v>
      </c>
      <c r="E7" s="9"/>
      <c r="F7" s="15"/>
      <c r="G7" s="9"/>
    </row>
    <row r="8" spans="1:8" ht="12">
      <c r="A8" s="16" t="s">
        <v>16</v>
      </c>
      <c r="B8" s="17" t="s">
        <v>73</v>
      </c>
      <c r="C8" s="17"/>
      <c r="E8" s="18" t="s">
        <v>83</v>
      </c>
      <c r="F8" s="19" t="s">
        <v>84</v>
      </c>
      <c r="G8" s="18" t="s">
        <v>85</v>
      </c>
      <c r="H8" s="20" t="s">
        <v>86</v>
      </c>
    </row>
    <row r="9" spans="1:8" ht="12">
      <c r="A9" s="14"/>
      <c r="B9" s="8" t="s">
        <v>33</v>
      </c>
      <c r="E9" s="21"/>
      <c r="F9" s="15"/>
      <c r="G9" s="21"/>
    </row>
    <row r="10" spans="1:8" ht="12">
      <c r="A10" s="14"/>
      <c r="B10" s="112"/>
      <c r="E10" s="111"/>
      <c r="F10" s="110"/>
      <c r="G10" s="110"/>
    </row>
    <row r="11" spans="1:8" ht="12">
      <c r="A11" s="14"/>
      <c r="B11" s="112"/>
      <c r="E11" s="111"/>
      <c r="F11" s="110"/>
      <c r="G11" s="110"/>
    </row>
    <row r="12" spans="1:8" ht="12">
      <c r="A12" s="14"/>
      <c r="E12" s="21"/>
      <c r="F12" s="15"/>
      <c r="G12" s="15"/>
    </row>
    <row r="13" spans="1:8" ht="5.25" customHeight="1">
      <c r="A13" s="164"/>
      <c r="E13" s="21"/>
      <c r="F13" s="15"/>
      <c r="G13" s="15"/>
    </row>
    <row r="14" spans="1:8" ht="12">
      <c r="A14" s="164"/>
      <c r="E14" s="21"/>
      <c r="F14" s="15"/>
      <c r="G14" s="15"/>
    </row>
    <row r="15" spans="1:8" ht="12">
      <c r="A15" s="14">
        <v>1</v>
      </c>
      <c r="B15" s="8" t="s">
        <v>87</v>
      </c>
      <c r="E15" s="22">
        <f>F15+G15</f>
        <v>146098</v>
      </c>
      <c r="F15" s="106">
        <f>F94</f>
        <v>146098</v>
      </c>
      <c r="G15" s="106">
        <f>G94</f>
        <v>0</v>
      </c>
      <c r="H15" s="23" t="str">
        <f>IF(E15=F15+G15," ","ERROR")</f>
        <v xml:space="preserve"> </v>
      </c>
    </row>
    <row r="16" spans="1:8" ht="12">
      <c r="A16" s="14">
        <v>2</v>
      </c>
      <c r="B16" s="8" t="s">
        <v>88</v>
      </c>
      <c r="E16" s="24">
        <f>F16+G16</f>
        <v>4595</v>
      </c>
      <c r="F16" s="107">
        <f>F99</f>
        <v>4595</v>
      </c>
      <c r="G16" s="107">
        <f>G99</f>
        <v>0</v>
      </c>
      <c r="H16" s="23" t="str">
        <f>IF(E16=F16+G16," ","ERROR")</f>
        <v xml:space="preserve"> </v>
      </c>
    </row>
    <row r="17" spans="1:8" ht="12">
      <c r="A17" s="14">
        <v>3</v>
      </c>
      <c r="B17" s="8" t="s">
        <v>36</v>
      </c>
      <c r="E17" s="25">
        <f>F17+G17</f>
        <v>69723</v>
      </c>
      <c r="F17" s="108">
        <f>F103-F99</f>
        <v>69723</v>
      </c>
      <c r="G17" s="108">
        <f>G103-G99</f>
        <v>0</v>
      </c>
      <c r="H17" s="23" t="str">
        <f>IF(E17=F17+G17," ","ERROR")</f>
        <v xml:space="preserve"> </v>
      </c>
    </row>
    <row r="18" spans="1:8" ht="12">
      <c r="A18" s="14">
        <v>4</v>
      </c>
      <c r="B18" s="8" t="s">
        <v>89</v>
      </c>
      <c r="E18" s="24">
        <f>SUM(E15:E17)</f>
        <v>220416</v>
      </c>
      <c r="F18" s="24">
        <f>SUM(F15:F17)</f>
        <v>220416</v>
      </c>
      <c r="G18" s="24">
        <f>SUM(G15:G17)</f>
        <v>0</v>
      </c>
      <c r="H18" s="23" t="str">
        <f>IF(E18=F18+G18," ","ERROR")</f>
        <v xml:space="preserve"> </v>
      </c>
    </row>
    <row r="19" spans="1:8" ht="12">
      <c r="A19" s="14"/>
      <c r="E19" s="24"/>
      <c r="F19" s="24"/>
      <c r="G19" s="24"/>
      <c r="H19" s="23"/>
    </row>
    <row r="20" spans="1:8" ht="12">
      <c r="A20" s="14"/>
      <c r="B20" s="8" t="s">
        <v>38</v>
      </c>
      <c r="E20" s="24"/>
      <c r="F20" s="24"/>
      <c r="G20" s="24"/>
      <c r="H20" s="23"/>
    </row>
    <row r="21" spans="1:8" ht="12">
      <c r="A21" s="14"/>
      <c r="B21" s="8" t="s">
        <v>218</v>
      </c>
      <c r="E21" s="24"/>
      <c r="F21" s="107"/>
      <c r="G21" s="107"/>
      <c r="H21" s="109" t="str">
        <f>IF(E21=F21+G21," ","ERROR")</f>
        <v xml:space="preserve"> </v>
      </c>
    </row>
    <row r="22" spans="1:8" ht="12">
      <c r="A22" s="14">
        <v>5</v>
      </c>
      <c r="B22" s="8" t="s">
        <v>90</v>
      </c>
      <c r="E22" s="24">
        <f>F22+G22</f>
        <v>112605</v>
      </c>
      <c r="F22" s="107">
        <f>F107</f>
        <v>112605</v>
      </c>
      <c r="G22" s="107">
        <f>G107</f>
        <v>0</v>
      </c>
      <c r="H22" s="23" t="str">
        <f>IF(E22=F22+G22," ","ERROR")</f>
        <v xml:space="preserve"> </v>
      </c>
    </row>
    <row r="23" spans="1:8" ht="12">
      <c r="A23" s="14">
        <v>6</v>
      </c>
      <c r="B23" s="8" t="s">
        <v>91</v>
      </c>
      <c r="E23" s="24">
        <f>F23+G23</f>
        <v>988</v>
      </c>
      <c r="F23" s="107">
        <f>F110+F111</f>
        <v>988</v>
      </c>
      <c r="G23" s="107">
        <f>G109+G110+G111</f>
        <v>0</v>
      </c>
      <c r="H23" s="23" t="str">
        <f>IF(E23=F23+G23," ","ERROR")</f>
        <v xml:space="preserve"> </v>
      </c>
    </row>
    <row r="24" spans="1:8" ht="12">
      <c r="A24" s="14">
        <v>7</v>
      </c>
      <c r="B24" s="8" t="s">
        <v>92</v>
      </c>
      <c r="E24" s="25">
        <f>F24+G24</f>
        <v>2932</v>
      </c>
      <c r="F24" s="108">
        <f>F108+F109-1</f>
        <v>2932</v>
      </c>
      <c r="G24" s="108">
        <f>G108</f>
        <v>0</v>
      </c>
      <c r="H24" s="23" t="str">
        <f>IF(E24=F24+G24," ","ERROR")</f>
        <v xml:space="preserve"> </v>
      </c>
    </row>
    <row r="25" spans="1:8" ht="12">
      <c r="A25" s="14">
        <v>8</v>
      </c>
      <c r="B25" s="8" t="s">
        <v>93</v>
      </c>
      <c r="E25" s="24">
        <f>SUM(E22:E24)</f>
        <v>116525</v>
      </c>
      <c r="F25" s="24">
        <f>SUM(F22:F24)</f>
        <v>116525</v>
      </c>
      <c r="G25" s="24">
        <f>SUM(G22:G24)</f>
        <v>0</v>
      </c>
      <c r="H25" s="23" t="str">
        <f>IF(E25=F25+G25," ","ERROR")</f>
        <v xml:space="preserve"> </v>
      </c>
    </row>
    <row r="26" spans="1:8" ht="12">
      <c r="A26" s="164"/>
      <c r="E26" s="24"/>
      <c r="F26" s="24"/>
      <c r="G26" s="24"/>
      <c r="H26" s="23"/>
    </row>
    <row r="27" spans="1:8" ht="12">
      <c r="A27" s="14"/>
      <c r="B27" s="8" t="s">
        <v>43</v>
      </c>
      <c r="E27" s="24"/>
      <c r="F27" s="24"/>
      <c r="G27" s="24"/>
      <c r="H27" s="23"/>
    </row>
    <row r="28" spans="1:8" ht="12">
      <c r="A28" s="14">
        <v>9</v>
      </c>
      <c r="B28" s="8" t="s">
        <v>94</v>
      </c>
      <c r="E28" s="24">
        <f>F28+G28</f>
        <v>974</v>
      </c>
      <c r="F28" s="107">
        <f>F118</f>
        <v>974</v>
      </c>
      <c r="G28" s="107">
        <f>G118</f>
        <v>0</v>
      </c>
      <c r="H28" s="23" t="str">
        <f>IF(E28=F28+G28," ","ERROR")</f>
        <v xml:space="preserve"> </v>
      </c>
    </row>
    <row r="29" spans="1:8" ht="12">
      <c r="A29" s="14">
        <v>10</v>
      </c>
      <c r="B29" s="8" t="s">
        <v>95</v>
      </c>
      <c r="E29" s="24">
        <f>F29+G29</f>
        <v>492</v>
      </c>
      <c r="F29" s="107">
        <f>F120+F121</f>
        <v>492</v>
      </c>
      <c r="G29" s="107">
        <f>G120+G121</f>
        <v>0</v>
      </c>
      <c r="H29" s="23" t="str">
        <f>IF(E29=F29+G29," ","ERROR")</f>
        <v xml:space="preserve"> </v>
      </c>
    </row>
    <row r="30" spans="1:8" ht="12">
      <c r="A30" s="14">
        <v>11</v>
      </c>
      <c r="B30" s="8" t="s">
        <v>96</v>
      </c>
      <c r="E30" s="25">
        <f>F30+G30</f>
        <v>210</v>
      </c>
      <c r="F30" s="108">
        <f>F122</f>
        <v>210</v>
      </c>
      <c r="G30" s="108">
        <f>G122</f>
        <v>0</v>
      </c>
      <c r="H30" s="23" t="str">
        <f>IF(E30=F30+G30," ","ERROR")</f>
        <v xml:space="preserve"> </v>
      </c>
    </row>
    <row r="31" spans="1:8" ht="12">
      <c r="A31" s="285">
        <v>12</v>
      </c>
      <c r="B31" s="8" t="s">
        <v>97</v>
      </c>
      <c r="E31" s="24">
        <f>SUM(E28:E30)</f>
        <v>1676</v>
      </c>
      <c r="F31" s="107">
        <f>SUM(F28:F30)</f>
        <v>1676</v>
      </c>
      <c r="G31" s="107">
        <f>SUM(G28:G30)</f>
        <v>0</v>
      </c>
      <c r="H31" s="23" t="str">
        <f>IF(E31=F31+G31," ","ERROR")</f>
        <v xml:space="preserve"> </v>
      </c>
    </row>
    <row r="32" spans="1:8" ht="12">
      <c r="A32" s="164"/>
      <c r="E32" s="24"/>
      <c r="F32" s="107"/>
      <c r="G32" s="107"/>
      <c r="H32" s="23"/>
    </row>
    <row r="33" spans="1:10" ht="12">
      <c r="A33" s="14"/>
      <c r="B33" s="8" t="s">
        <v>47</v>
      </c>
      <c r="E33" s="24"/>
      <c r="F33" s="107"/>
      <c r="G33" s="107"/>
      <c r="H33" s="23"/>
    </row>
    <row r="34" spans="1:10" ht="12">
      <c r="A34" s="14">
        <v>13</v>
      </c>
      <c r="B34" s="8" t="s">
        <v>94</v>
      </c>
      <c r="E34" s="24">
        <f>F34+G34</f>
        <v>12049</v>
      </c>
      <c r="F34" s="107">
        <f>F149</f>
        <v>12049</v>
      </c>
      <c r="G34" s="107">
        <f>G149</f>
        <v>0</v>
      </c>
      <c r="H34" s="23" t="str">
        <f t="shared" ref="H34:H41" si="0">IF(E34=F34+G34," ","ERROR")</f>
        <v xml:space="preserve"> </v>
      </c>
    </row>
    <row r="35" spans="1:10" ht="12">
      <c r="A35" s="14">
        <v>14</v>
      </c>
      <c r="B35" s="8" t="s">
        <v>95</v>
      </c>
      <c r="E35" s="24">
        <f>F35+G35</f>
        <v>9866</v>
      </c>
      <c r="F35" s="107">
        <f>F151</f>
        <v>9866</v>
      </c>
      <c r="G35" s="107">
        <f>G151</f>
        <v>0</v>
      </c>
      <c r="H35" s="23" t="str">
        <f t="shared" si="0"/>
        <v xml:space="preserve"> </v>
      </c>
    </row>
    <row r="36" spans="1:10" ht="12">
      <c r="A36" s="14">
        <v>15</v>
      </c>
      <c r="B36" s="8" t="s">
        <v>96</v>
      </c>
      <c r="E36" s="25">
        <f>F36+G36</f>
        <v>12807</v>
      </c>
      <c r="F36" s="108">
        <f>F152</f>
        <v>12807</v>
      </c>
      <c r="G36" s="108">
        <f>G152</f>
        <v>0</v>
      </c>
      <c r="H36" s="23" t="str">
        <f t="shared" si="0"/>
        <v xml:space="preserve"> </v>
      </c>
    </row>
    <row r="37" spans="1:10" ht="12" customHeight="1">
      <c r="A37" s="14">
        <v>16</v>
      </c>
      <c r="B37" s="8" t="s">
        <v>98</v>
      </c>
      <c r="E37" s="24">
        <f>SUM(E34:E36)</f>
        <v>34722</v>
      </c>
      <c r="F37" s="24">
        <f>SUM(F34:F36)</f>
        <v>34722</v>
      </c>
      <c r="G37" s="24">
        <f>SUM(G34:G36)</f>
        <v>0</v>
      </c>
      <c r="H37" s="23" t="str">
        <f t="shared" si="0"/>
        <v xml:space="preserve"> </v>
      </c>
    </row>
    <row r="38" spans="1:10" ht="12" customHeight="1">
      <c r="A38" s="14"/>
      <c r="E38" s="24"/>
      <c r="F38" s="24"/>
      <c r="G38" s="24"/>
      <c r="H38" s="23"/>
    </row>
    <row r="39" spans="1:10" ht="12" customHeight="1">
      <c r="A39" s="14">
        <v>17</v>
      </c>
      <c r="B39" s="8" t="s">
        <v>49</v>
      </c>
      <c r="E39" s="24">
        <f>F39+G39</f>
        <v>7352</v>
      </c>
      <c r="F39" s="107">
        <f>F163</f>
        <v>7352</v>
      </c>
      <c r="G39" s="107">
        <f>G163</f>
        <v>0</v>
      </c>
      <c r="H39" s="23" t="str">
        <f t="shared" si="0"/>
        <v xml:space="preserve"> </v>
      </c>
    </row>
    <row r="40" spans="1:10" ht="12">
      <c r="A40" s="14">
        <v>18</v>
      </c>
      <c r="B40" s="8" t="s">
        <v>50</v>
      </c>
      <c r="E40" s="24">
        <f>F40+G40</f>
        <v>7595</v>
      </c>
      <c r="F40" s="107">
        <f>F169-1</f>
        <v>7595</v>
      </c>
      <c r="G40" s="107">
        <f>G169</f>
        <v>0</v>
      </c>
      <c r="H40" s="23" t="str">
        <f t="shared" si="0"/>
        <v xml:space="preserve"> </v>
      </c>
    </row>
    <row r="41" spans="1:10" ht="12">
      <c r="A41" s="14">
        <v>19</v>
      </c>
      <c r="B41" s="8" t="s">
        <v>99</v>
      </c>
      <c r="E41" s="24">
        <f>F41+G41</f>
        <v>0</v>
      </c>
      <c r="F41" s="107">
        <f>F175</f>
        <v>0</v>
      </c>
      <c r="G41" s="107">
        <f>G175</f>
        <v>0</v>
      </c>
      <c r="H41" s="23" t="str">
        <f t="shared" si="0"/>
        <v xml:space="preserve"> </v>
      </c>
    </row>
    <row r="42" spans="1:10" ht="12">
      <c r="A42" s="164"/>
      <c r="E42" s="24"/>
      <c r="F42" s="107"/>
      <c r="G42" s="107"/>
      <c r="H42" s="23"/>
    </row>
    <row r="43" spans="1:10" ht="12">
      <c r="A43" s="14"/>
      <c r="B43" s="8" t="s">
        <v>100</v>
      </c>
      <c r="E43" s="24"/>
      <c r="F43" s="107"/>
      <c r="G43" s="107"/>
      <c r="H43" s="23"/>
    </row>
    <row r="44" spans="1:10" ht="12">
      <c r="A44" s="14">
        <v>20</v>
      </c>
      <c r="B44" s="8" t="s">
        <v>94</v>
      </c>
      <c r="E44" s="24">
        <f>F44+G44</f>
        <v>13763</v>
      </c>
      <c r="F44" s="107">
        <f>F189</f>
        <v>13763</v>
      </c>
      <c r="G44" s="107">
        <f>G189</f>
        <v>0</v>
      </c>
      <c r="H44" s="23" t="str">
        <f>IF(E44=F44+G44," ","ERROR")</f>
        <v xml:space="preserve"> </v>
      </c>
    </row>
    <row r="45" spans="1:10" ht="12">
      <c r="A45" s="14">
        <v>21</v>
      </c>
      <c r="B45" s="8" t="s">
        <v>429</v>
      </c>
      <c r="E45" s="24">
        <f>F45+G45</f>
        <v>6260</v>
      </c>
      <c r="F45" s="107">
        <f>F191+F192+F193+F194</f>
        <v>6260</v>
      </c>
      <c r="G45" s="107">
        <f>G191+G192+G193+G194</f>
        <v>0</v>
      </c>
      <c r="H45" s="23" t="str">
        <f>IF(E45=F45+G45," ","ERROR")</f>
        <v xml:space="preserve"> </v>
      </c>
      <c r="J45" s="24"/>
    </row>
    <row r="46" spans="1:10" ht="12">
      <c r="A46" s="242">
        <v>22</v>
      </c>
      <c r="B46" s="8" t="s">
        <v>427</v>
      </c>
      <c r="E46" s="24">
        <f>F46+G46</f>
        <v>0</v>
      </c>
      <c r="F46" s="107">
        <f>F195+F197+F198+F199+F200</f>
        <v>0</v>
      </c>
      <c r="G46" s="107">
        <f>G195+G197+G198+G199+G200</f>
        <v>0</v>
      </c>
      <c r="H46" s="23"/>
      <c r="J46" s="24"/>
    </row>
    <row r="47" spans="1:10" ht="12">
      <c r="A47" s="14">
        <v>23</v>
      </c>
      <c r="B47" s="8" t="s">
        <v>96</v>
      </c>
      <c r="E47" s="25">
        <f>F47+G47</f>
        <v>0</v>
      </c>
      <c r="F47" s="108">
        <v>0</v>
      </c>
      <c r="G47" s="108">
        <v>0</v>
      </c>
      <c r="H47" s="23" t="str">
        <f>IF(E47=F47+G47," ","ERROR")</f>
        <v xml:space="preserve"> </v>
      </c>
    </row>
    <row r="48" spans="1:10" ht="12">
      <c r="A48" s="14">
        <v>24</v>
      </c>
      <c r="B48" s="8" t="s">
        <v>101</v>
      </c>
      <c r="E48" s="25">
        <f>SUM(E44:E47)</f>
        <v>20023</v>
      </c>
      <c r="F48" s="25">
        <f>SUM(F44:F47)</f>
        <v>20023</v>
      </c>
      <c r="G48" s="25">
        <f>SUM(G44:G47)</f>
        <v>0</v>
      </c>
      <c r="H48" s="23" t="str">
        <f>IF(E48=F48+G48," ","ERROR")</f>
        <v xml:space="preserve"> </v>
      </c>
    </row>
    <row r="49" spans="1:8" ht="12">
      <c r="A49" s="14">
        <v>25</v>
      </c>
      <c r="B49" s="8" t="s">
        <v>54</v>
      </c>
      <c r="E49" s="25">
        <f>E25+E31+E37+E39+E40+E41+E48+E21</f>
        <v>187893</v>
      </c>
      <c r="F49" s="25">
        <f>F25+F31+F37+F39+F40+F41+F48+F21</f>
        <v>187893</v>
      </c>
      <c r="G49" s="25">
        <f>G25+G31+G37+G39+G40+G41+G48+G21</f>
        <v>0</v>
      </c>
      <c r="H49" s="23" t="str">
        <f>IF(E49=F49+G49," ","ERROR")</f>
        <v xml:space="preserve"> </v>
      </c>
    </row>
    <row r="50" spans="1:8" ht="12">
      <c r="A50" s="14"/>
      <c r="E50" s="24"/>
      <c r="F50" s="24"/>
      <c r="G50" s="24"/>
      <c r="H50" s="23"/>
    </row>
    <row r="51" spans="1:8" ht="12">
      <c r="A51" s="14">
        <v>26</v>
      </c>
      <c r="B51" s="8" t="s">
        <v>102</v>
      </c>
      <c r="E51" s="33">
        <f>E18-E49</f>
        <v>32523</v>
      </c>
      <c r="F51" s="33">
        <f>F18-F49</f>
        <v>32523</v>
      </c>
      <c r="G51" s="33">
        <f>G18-G49</f>
        <v>0</v>
      </c>
      <c r="H51" s="23" t="str">
        <f>IF(E51=F51+G51," ","ERROR")</f>
        <v xml:space="preserve"> </v>
      </c>
    </row>
    <row r="52" spans="1:8" ht="12" customHeight="1">
      <c r="A52" s="14"/>
      <c r="E52" s="33"/>
      <c r="F52" s="33"/>
      <c r="G52" s="33"/>
      <c r="H52" s="23"/>
    </row>
    <row r="53" spans="1:8" ht="12" customHeight="1">
      <c r="A53" s="14"/>
      <c r="B53" s="8" t="s">
        <v>103</v>
      </c>
      <c r="E53" s="24"/>
      <c r="F53" s="24"/>
      <c r="G53" s="24"/>
      <c r="H53" s="23"/>
    </row>
    <row r="54" spans="1:8" ht="12">
      <c r="A54" s="14">
        <v>27</v>
      </c>
      <c r="B54" s="26" t="s">
        <v>104</v>
      </c>
      <c r="D54" s="27">
        <v>0.35</v>
      </c>
      <c r="E54" s="24">
        <f>F54+G54</f>
        <v>-841</v>
      </c>
      <c r="F54" s="107">
        <f>F209</f>
        <v>-841</v>
      </c>
      <c r="G54" s="107">
        <f>G209</f>
        <v>0</v>
      </c>
      <c r="H54" s="23" t="str">
        <f>IF(E54=F54+G54," ","ERROR")</f>
        <v xml:space="preserve"> </v>
      </c>
    </row>
    <row r="55" spans="1:8" ht="12">
      <c r="A55" s="164">
        <v>28</v>
      </c>
      <c r="B55" s="26" t="s">
        <v>255</v>
      </c>
      <c r="D55" s="27"/>
      <c r="E55" s="24"/>
      <c r="F55" s="107"/>
      <c r="G55" s="107"/>
      <c r="H55" s="23"/>
    </row>
    <row r="56" spans="1:8" ht="12">
      <c r="A56" s="14">
        <v>29</v>
      </c>
      <c r="B56" s="8" t="s">
        <v>105</v>
      </c>
      <c r="E56" s="24">
        <f>F56+G56</f>
        <v>9923</v>
      </c>
      <c r="F56" s="107">
        <f>F210</f>
        <v>9923</v>
      </c>
      <c r="G56" s="107">
        <f>G210</f>
        <v>0</v>
      </c>
      <c r="H56" s="23" t="str">
        <f>IF(E56=F56+G56," ","ERROR")</f>
        <v xml:space="preserve"> </v>
      </c>
    </row>
    <row r="57" spans="1:8" ht="12">
      <c r="A57" s="14">
        <v>30</v>
      </c>
      <c r="B57" s="8" t="s">
        <v>106</v>
      </c>
      <c r="E57" s="25">
        <f>F57+G57</f>
        <v>-17</v>
      </c>
      <c r="F57" s="108">
        <f>F211</f>
        <v>-17</v>
      </c>
      <c r="G57" s="108">
        <f>G211</f>
        <v>0</v>
      </c>
      <c r="H57" s="23" t="str">
        <f>IF(E57=F57+G57," ","ERROR")</f>
        <v xml:space="preserve"> </v>
      </c>
    </row>
    <row r="58" spans="1:8" ht="12">
      <c r="A58" s="14"/>
      <c r="G58" s="29"/>
      <c r="H58" s="23"/>
    </row>
    <row r="59" spans="1:8" ht="12.6" thickBot="1">
      <c r="A59" s="14">
        <v>31</v>
      </c>
      <c r="B59" s="30" t="s">
        <v>60</v>
      </c>
      <c r="E59" s="34">
        <f>E51-(+E54+E56+E57)</f>
        <v>23458</v>
      </c>
      <c r="F59" s="34">
        <f>F51-(F54+F56+F57)</f>
        <v>23458</v>
      </c>
      <c r="G59" s="34">
        <f>G51-(G54+G56+G57)</f>
        <v>0</v>
      </c>
      <c r="H59" s="23" t="str">
        <f>IF(E59=F59+G59," ","ERROR")</f>
        <v xml:space="preserve"> </v>
      </c>
    </row>
    <row r="60" spans="1:8" ht="12.6" thickTop="1">
      <c r="A60" s="14"/>
      <c r="E60" s="15"/>
      <c r="F60" s="15"/>
      <c r="G60" s="15"/>
      <c r="H60" s="23"/>
    </row>
    <row r="61" spans="1:8" ht="12">
      <c r="A61" s="14"/>
      <c r="B61" s="26" t="s">
        <v>107</v>
      </c>
      <c r="G61" s="29"/>
      <c r="H61" s="23"/>
    </row>
    <row r="62" spans="1:8" ht="12">
      <c r="A62" s="14"/>
      <c r="B62" s="26" t="s">
        <v>108</v>
      </c>
      <c r="G62" s="29"/>
      <c r="H62" s="23"/>
    </row>
    <row r="63" spans="1:8" ht="12">
      <c r="A63" s="14">
        <v>32</v>
      </c>
      <c r="B63" s="8" t="s">
        <v>109</v>
      </c>
      <c r="E63" s="22">
        <f>F63+G63</f>
        <v>26868</v>
      </c>
      <c r="F63" s="106">
        <f>F229</f>
        <v>26868</v>
      </c>
      <c r="G63" s="106">
        <f>G229</f>
        <v>0</v>
      </c>
      <c r="H63" s="23" t="str">
        <f t="shared" ref="H63:H76" si="1">IF(E63=F63+G63," ","ERROR")</f>
        <v xml:space="preserve"> </v>
      </c>
    </row>
    <row r="64" spans="1:8" ht="12">
      <c r="A64" s="14">
        <v>33</v>
      </c>
      <c r="B64" s="8" t="s">
        <v>110</v>
      </c>
      <c r="E64" s="24">
        <f>F64+G64</f>
        <v>390508</v>
      </c>
      <c r="F64" s="107">
        <f>F245</f>
        <v>390508</v>
      </c>
      <c r="G64" s="107">
        <f>G245</f>
        <v>0</v>
      </c>
      <c r="H64" s="23" t="str">
        <f t="shared" si="1"/>
        <v xml:space="preserve"> </v>
      </c>
    </row>
    <row r="65" spans="1:8" ht="12">
      <c r="A65" s="14">
        <v>34</v>
      </c>
      <c r="B65" s="8" t="s">
        <v>111</v>
      </c>
      <c r="E65" s="25">
        <f>F65+G65</f>
        <v>82624</v>
      </c>
      <c r="F65" s="108">
        <f>F258+F218</f>
        <v>82624</v>
      </c>
      <c r="G65" s="108">
        <f>G258+G218</f>
        <v>0</v>
      </c>
      <c r="H65" s="23" t="str">
        <f t="shared" si="1"/>
        <v xml:space="preserve"> </v>
      </c>
    </row>
    <row r="66" spans="1:8" ht="12">
      <c r="A66" s="14">
        <v>35</v>
      </c>
      <c r="B66" s="8" t="s">
        <v>112</v>
      </c>
      <c r="E66" s="24">
        <f>SUM(E63:E65)</f>
        <v>500000</v>
      </c>
      <c r="F66" s="107">
        <f>SUM(F63:F65)</f>
        <v>500000</v>
      </c>
      <c r="G66" s="107">
        <f>SUM(G63:G65)</f>
        <v>0</v>
      </c>
      <c r="H66" s="23" t="str">
        <f t="shared" si="1"/>
        <v xml:space="preserve"> </v>
      </c>
    </row>
    <row r="67" spans="1:8" ht="12">
      <c r="A67" s="164"/>
      <c r="E67" s="24"/>
      <c r="F67" s="107"/>
      <c r="G67" s="107"/>
      <c r="H67" s="23"/>
    </row>
    <row r="68" spans="1:8" ht="12">
      <c r="A68" s="14"/>
      <c r="B68" s="8" t="s">
        <v>430</v>
      </c>
      <c r="E68" s="24"/>
      <c r="F68" s="107"/>
      <c r="G68" s="107"/>
      <c r="H68" s="23" t="str">
        <f t="shared" si="1"/>
        <v xml:space="preserve"> </v>
      </c>
    </row>
    <row r="69" spans="1:8" ht="12">
      <c r="A69" s="14">
        <v>36</v>
      </c>
      <c r="B69" s="8" t="s">
        <v>109</v>
      </c>
      <c r="E69" s="24">
        <f>F69+G69</f>
        <v>-10317</v>
      </c>
      <c r="F69" s="107">
        <f>F264+F272</f>
        <v>-10317</v>
      </c>
      <c r="G69" s="107">
        <f>G264+G272</f>
        <v>0</v>
      </c>
      <c r="H69" s="23" t="str">
        <f t="shared" si="1"/>
        <v xml:space="preserve"> </v>
      </c>
    </row>
    <row r="70" spans="1:8" ht="12">
      <c r="A70" s="14">
        <v>37</v>
      </c>
      <c r="B70" s="8" t="s">
        <v>110</v>
      </c>
      <c r="E70" s="24">
        <f>F70+G70</f>
        <v>-129098</v>
      </c>
      <c r="F70" s="107">
        <f>F265</f>
        <v>-129098</v>
      </c>
      <c r="G70" s="107">
        <f>G265</f>
        <v>0</v>
      </c>
      <c r="H70" s="23" t="str">
        <f t="shared" si="1"/>
        <v xml:space="preserve"> </v>
      </c>
    </row>
    <row r="71" spans="1:8" ht="12">
      <c r="A71" s="14">
        <v>38</v>
      </c>
      <c r="B71" s="8" t="s">
        <v>111</v>
      </c>
      <c r="E71" s="25">
        <f>F71+G71</f>
        <v>-23473</v>
      </c>
      <c r="F71" s="108">
        <f>F266+F270+F271+F273</f>
        <v>-23473</v>
      </c>
      <c r="G71" s="108">
        <f>G266+G270+G271+G273</f>
        <v>0</v>
      </c>
      <c r="H71" s="23" t="str">
        <f t="shared" si="1"/>
        <v xml:space="preserve"> </v>
      </c>
    </row>
    <row r="72" spans="1:8" ht="12">
      <c r="A72" s="14">
        <v>39</v>
      </c>
      <c r="B72" s="8" t="s">
        <v>431</v>
      </c>
      <c r="E72" s="246">
        <f>SUM(E69:E71)</f>
        <v>-162888</v>
      </c>
      <c r="F72" s="246">
        <f>SUM(F69:F71)</f>
        <v>-162888</v>
      </c>
      <c r="G72" s="246">
        <f>SUM(G69:G71)</f>
        <v>0</v>
      </c>
      <c r="H72" s="23" t="str">
        <f t="shared" si="1"/>
        <v xml:space="preserve"> </v>
      </c>
    </row>
    <row r="73" spans="1:8" ht="12">
      <c r="A73" s="164">
        <v>40</v>
      </c>
      <c r="B73" s="8" t="s">
        <v>186</v>
      </c>
      <c r="E73" s="24">
        <f>E66+E72</f>
        <v>337112</v>
      </c>
      <c r="F73" s="24">
        <f>F66+F72</f>
        <v>337112</v>
      </c>
      <c r="G73" s="24">
        <f>G66+G72</f>
        <v>0</v>
      </c>
      <c r="H73" s="23"/>
    </row>
    <row r="74" spans="1:8" ht="12">
      <c r="A74" s="14">
        <v>41</v>
      </c>
      <c r="B74" s="26" t="s">
        <v>113</v>
      </c>
      <c r="E74" s="247">
        <f>F74+G74</f>
        <v>-73856</v>
      </c>
      <c r="F74" s="247">
        <f>F285</f>
        <v>-73856</v>
      </c>
      <c r="G74" s="247">
        <f>G285</f>
        <v>0</v>
      </c>
      <c r="H74" s="23" t="str">
        <f t="shared" si="1"/>
        <v xml:space="preserve"> </v>
      </c>
    </row>
    <row r="75" spans="1:8" ht="12">
      <c r="A75" s="164">
        <v>42</v>
      </c>
      <c r="B75" s="153" t="s">
        <v>217</v>
      </c>
      <c r="E75" s="24">
        <f>E73+E74</f>
        <v>263256</v>
      </c>
      <c r="F75" s="24">
        <f>F73+F74</f>
        <v>263256</v>
      </c>
      <c r="G75" s="24">
        <f>G73+G74</f>
        <v>0</v>
      </c>
      <c r="H75" s="23"/>
    </row>
    <row r="76" spans="1:8" ht="12">
      <c r="A76" s="14">
        <v>43</v>
      </c>
      <c r="B76" s="8" t="s">
        <v>67</v>
      </c>
      <c r="E76" s="24">
        <f t="shared" ref="E76:E79" si="2">F76+G76</f>
        <v>9116</v>
      </c>
      <c r="F76" s="24">
        <f>F292+F293</f>
        <v>9116</v>
      </c>
      <c r="G76" s="24">
        <f>G292+G293</f>
        <v>0</v>
      </c>
      <c r="H76" s="23" t="str">
        <f t="shared" si="1"/>
        <v xml:space="preserve"> </v>
      </c>
    </row>
    <row r="77" spans="1:8" ht="12">
      <c r="A77" s="14">
        <v>44</v>
      </c>
      <c r="B77" s="26" t="s">
        <v>68</v>
      </c>
      <c r="E77" s="24">
        <f t="shared" si="2"/>
        <v>0</v>
      </c>
      <c r="F77" s="29">
        <f>F290+F291</f>
        <v>0</v>
      </c>
      <c r="G77" s="29">
        <f>G290+G291</f>
        <v>0</v>
      </c>
      <c r="H77" s="23" t="str">
        <f>IF(E79=F79+G79," ","ERROR")</f>
        <v xml:space="preserve"> </v>
      </c>
    </row>
    <row r="78" spans="1:8" ht="12">
      <c r="A78" s="242">
        <v>45</v>
      </c>
      <c r="B78" s="26" t="s">
        <v>435</v>
      </c>
      <c r="E78" s="24">
        <f t="shared" si="2"/>
        <v>-249</v>
      </c>
      <c r="F78" s="29">
        <f>F294+F295+F296+F297</f>
        <v>-249</v>
      </c>
      <c r="G78" s="29">
        <f>G294+G295</f>
        <v>0</v>
      </c>
      <c r="H78" s="23"/>
    </row>
    <row r="79" spans="1:8" ht="12">
      <c r="A79" s="14">
        <v>46</v>
      </c>
      <c r="B79" s="36" t="s">
        <v>190</v>
      </c>
      <c r="E79" s="25">
        <f t="shared" si="2"/>
        <v>15664</v>
      </c>
      <c r="F79" s="25">
        <f>F298</f>
        <v>15664</v>
      </c>
      <c r="G79" s="25">
        <f>G298</f>
        <v>0</v>
      </c>
      <c r="H79" s="23"/>
    </row>
    <row r="80" spans="1:8" ht="11.25" customHeight="1">
      <c r="G80" s="29"/>
    </row>
    <row r="81" spans="1:10" ht="9" customHeight="1">
      <c r="A81" s="14"/>
      <c r="B81" s="8" t="s">
        <v>114</v>
      </c>
      <c r="G81" s="29"/>
      <c r="H81" s="23"/>
    </row>
    <row r="82" spans="1:10" ht="12.6" thickBot="1">
      <c r="A82" s="14">
        <v>47</v>
      </c>
      <c r="B82" s="30" t="s">
        <v>69</v>
      </c>
      <c r="E82" s="31">
        <f>E75+E76+E79+E77+E78</f>
        <v>287787</v>
      </c>
      <c r="F82" s="31">
        <f>F75+F76+F79+F77+F78</f>
        <v>287787</v>
      </c>
      <c r="G82" s="31">
        <f>G75+G76+G79+G77+G78</f>
        <v>0</v>
      </c>
      <c r="H82" s="23" t="str">
        <f>IF(E82=F82+G82," ","ERROR")</f>
        <v xml:space="preserve"> </v>
      </c>
    </row>
    <row r="83" spans="1:10" ht="11.25" customHeight="1" thickTop="1">
      <c r="E83" s="15"/>
      <c r="F83" s="15"/>
      <c r="G83" s="15"/>
    </row>
    <row r="84" spans="1:10" ht="11.25" customHeight="1">
      <c r="E84" s="32">
        <f>E59/E82</f>
        <v>8.1511673564129028E-2</v>
      </c>
      <c r="F84" s="32">
        <f>F59/F82</f>
        <v>8.1511673564129028E-2</v>
      </c>
      <c r="G84" s="32"/>
    </row>
    <row r="86" spans="1:10" ht="11.25" customHeight="1">
      <c r="A86" s="258"/>
      <c r="B86" s="259" t="s">
        <v>33</v>
      </c>
      <c r="J86" s="370"/>
    </row>
    <row r="87" spans="1:10" ht="11.25" customHeight="1">
      <c r="A87" s="258"/>
      <c r="B87" s="260" t="s">
        <v>256</v>
      </c>
      <c r="J87" s="371"/>
    </row>
    <row r="88" spans="1:10" ht="11.25" customHeight="1">
      <c r="A88" s="261">
        <v>480000</v>
      </c>
      <c r="B88" s="260" t="s">
        <v>257</v>
      </c>
      <c r="F88" s="29">
        <f>ROUND(H88/1000,0)</f>
        <v>94233</v>
      </c>
      <c r="H88" s="111">
        <v>94232728</v>
      </c>
      <c r="I88" s="111"/>
      <c r="J88" s="371"/>
    </row>
    <row r="89" spans="1:10" ht="11.25" customHeight="1">
      <c r="A89" s="261" t="s">
        <v>258</v>
      </c>
      <c r="B89" s="260" t="s">
        <v>259</v>
      </c>
      <c r="F89" s="29">
        <f t="shared" ref="F89:F153" si="3">ROUND(H89/1000,0)</f>
        <v>46087</v>
      </c>
      <c r="H89" s="111">
        <v>46086954</v>
      </c>
      <c r="I89" s="111"/>
      <c r="J89" s="371"/>
    </row>
    <row r="90" spans="1:10" ht="11.25" customHeight="1">
      <c r="A90" s="261" t="s">
        <v>260</v>
      </c>
      <c r="B90" s="260" t="s">
        <v>261</v>
      </c>
      <c r="F90" s="29">
        <f t="shared" si="3"/>
        <v>1792</v>
      </c>
      <c r="H90" s="111">
        <v>1791920</v>
      </c>
      <c r="I90" s="111"/>
      <c r="J90" s="371"/>
    </row>
    <row r="91" spans="1:10" ht="11.25" customHeight="1">
      <c r="A91" s="261">
        <v>481400</v>
      </c>
      <c r="B91" s="260" t="s">
        <v>262</v>
      </c>
      <c r="F91" s="29">
        <f t="shared" si="3"/>
        <v>0</v>
      </c>
      <c r="H91" s="111">
        <v>0</v>
      </c>
      <c r="I91" s="111"/>
      <c r="J91" s="371"/>
    </row>
    <row r="92" spans="1:10" ht="11.25" customHeight="1">
      <c r="A92" s="261">
        <v>484000</v>
      </c>
      <c r="B92" s="260" t="s">
        <v>265</v>
      </c>
      <c r="F92" s="29">
        <f t="shared" si="3"/>
        <v>245</v>
      </c>
      <c r="H92" s="111">
        <v>244681</v>
      </c>
      <c r="I92" s="111"/>
      <c r="J92" s="371"/>
    </row>
    <row r="93" spans="1:10" ht="11.25" customHeight="1">
      <c r="A93" s="258" t="s">
        <v>263</v>
      </c>
      <c r="B93" s="260" t="s">
        <v>264</v>
      </c>
      <c r="F93" s="29">
        <f t="shared" si="3"/>
        <v>3741</v>
      </c>
      <c r="H93" s="111">
        <v>3741237</v>
      </c>
      <c r="I93" s="111"/>
      <c r="J93" s="371"/>
    </row>
    <row r="94" spans="1:10" ht="11.25" customHeight="1">
      <c r="A94" s="258"/>
      <c r="B94" s="260" t="s">
        <v>266</v>
      </c>
      <c r="F94" s="29">
        <f t="shared" si="3"/>
        <v>146098</v>
      </c>
      <c r="H94" s="111">
        <v>146097520</v>
      </c>
      <c r="I94" s="111"/>
      <c r="J94" s="371"/>
    </row>
    <row r="95" spans="1:10" ht="11.25" customHeight="1">
      <c r="A95" s="258"/>
      <c r="B95" s="260"/>
      <c r="F95" s="29">
        <f t="shared" si="3"/>
        <v>0</v>
      </c>
      <c r="H95" s="111"/>
      <c r="I95" s="111"/>
      <c r="J95" s="371"/>
    </row>
    <row r="96" spans="1:10" ht="11.25" customHeight="1">
      <c r="A96" s="258"/>
      <c r="B96" s="260" t="s">
        <v>267</v>
      </c>
      <c r="F96" s="29">
        <f t="shared" si="3"/>
        <v>0</v>
      </c>
      <c r="H96" s="111"/>
      <c r="I96" s="111"/>
      <c r="J96" s="371"/>
    </row>
    <row r="97" spans="1:10" ht="11.25" customHeight="1">
      <c r="A97" s="262">
        <v>483000</v>
      </c>
      <c r="B97" s="263" t="s">
        <v>268</v>
      </c>
      <c r="F97" s="29">
        <f t="shared" si="3"/>
        <v>61018</v>
      </c>
      <c r="H97" s="111">
        <v>61018231</v>
      </c>
      <c r="I97" s="111"/>
      <c r="J97" s="372"/>
    </row>
    <row r="98" spans="1:10" ht="11.25" customHeight="1">
      <c r="A98" s="261">
        <v>488000</v>
      </c>
      <c r="B98" s="260" t="s">
        <v>269</v>
      </c>
      <c r="F98" s="29">
        <f t="shared" si="3"/>
        <v>11</v>
      </c>
      <c r="H98" s="111">
        <v>10659</v>
      </c>
      <c r="I98" s="111"/>
      <c r="J98" s="371"/>
    </row>
    <row r="99" spans="1:10" ht="11.25" customHeight="1">
      <c r="A99" s="261">
        <v>489300</v>
      </c>
      <c r="B99" s="260" t="s">
        <v>270</v>
      </c>
      <c r="F99" s="29">
        <f t="shared" si="3"/>
        <v>4595</v>
      </c>
      <c r="H99" s="111">
        <v>4595206</v>
      </c>
      <c r="I99" s="111"/>
      <c r="J99" s="371"/>
    </row>
    <row r="100" spans="1:10" ht="11.25" customHeight="1">
      <c r="A100" s="261">
        <v>493000</v>
      </c>
      <c r="B100" s="260" t="s">
        <v>271</v>
      </c>
      <c r="F100" s="29">
        <f t="shared" si="3"/>
        <v>3</v>
      </c>
      <c r="H100" s="111">
        <v>2536</v>
      </c>
      <c r="I100" s="111"/>
      <c r="J100" s="371"/>
    </row>
    <row r="101" spans="1:10" ht="11.25" customHeight="1">
      <c r="A101" s="261">
        <v>495000</v>
      </c>
      <c r="B101" s="260" t="s">
        <v>272</v>
      </c>
      <c r="F101" s="29">
        <f t="shared" si="3"/>
        <v>11459</v>
      </c>
      <c r="H101" s="111">
        <v>11458921</v>
      </c>
      <c r="I101" s="111"/>
      <c r="J101" s="371"/>
    </row>
    <row r="102" spans="1:10" ht="11.25" customHeight="1">
      <c r="A102" s="261">
        <v>496100</v>
      </c>
      <c r="B102" s="260" t="s">
        <v>477</v>
      </c>
      <c r="F102" s="29">
        <f t="shared" si="3"/>
        <v>-2767</v>
      </c>
      <c r="H102" s="111">
        <v>-2767455</v>
      </c>
      <c r="I102" s="111"/>
      <c r="J102" s="371"/>
    </row>
    <row r="103" spans="1:10" ht="11.25" customHeight="1">
      <c r="A103" s="258"/>
      <c r="B103" s="260" t="s">
        <v>273</v>
      </c>
      <c r="F103" s="29">
        <f t="shared" si="3"/>
        <v>74318</v>
      </c>
      <c r="H103" s="111">
        <v>74318098</v>
      </c>
      <c r="I103" s="111"/>
      <c r="J103" s="371"/>
    </row>
    <row r="104" spans="1:10" ht="11.25" customHeight="1">
      <c r="A104" s="258"/>
      <c r="B104" s="260" t="s">
        <v>274</v>
      </c>
      <c r="F104" s="29">
        <f t="shared" si="3"/>
        <v>220416</v>
      </c>
      <c r="H104" s="111">
        <v>220415618</v>
      </c>
      <c r="I104" s="111"/>
      <c r="J104" s="371"/>
    </row>
    <row r="105" spans="1:10" ht="11.25" customHeight="1">
      <c r="A105" s="258"/>
      <c r="B105" s="260"/>
      <c r="F105" s="29">
        <f t="shared" si="3"/>
        <v>0</v>
      </c>
      <c r="H105" s="111"/>
      <c r="I105" s="111"/>
      <c r="J105" s="371"/>
    </row>
    <row r="106" spans="1:10" ht="11.25" customHeight="1">
      <c r="A106" s="258"/>
      <c r="B106" s="260" t="s">
        <v>275</v>
      </c>
      <c r="F106" s="29">
        <f t="shared" si="3"/>
        <v>0</v>
      </c>
      <c r="H106" s="111"/>
      <c r="I106" s="111"/>
      <c r="J106" s="371"/>
    </row>
    <row r="107" spans="1:10" ht="11.25" customHeight="1">
      <c r="A107" s="264" t="s">
        <v>276</v>
      </c>
      <c r="B107" s="260" t="s">
        <v>39</v>
      </c>
      <c r="F107" s="29">
        <f t="shared" si="3"/>
        <v>112605</v>
      </c>
      <c r="H107" s="111">
        <v>112604705</v>
      </c>
      <c r="I107" s="111"/>
      <c r="J107" s="371"/>
    </row>
    <row r="108" spans="1:10" ht="11.25" customHeight="1">
      <c r="A108" s="261" t="s">
        <v>277</v>
      </c>
      <c r="B108" s="260" t="s">
        <v>278</v>
      </c>
      <c r="F108" s="29">
        <f t="shared" si="3"/>
        <v>3202</v>
      </c>
      <c r="H108" s="111">
        <v>3201534</v>
      </c>
      <c r="I108" s="111"/>
      <c r="J108" s="371"/>
    </row>
    <row r="109" spans="1:10" ht="11.25" customHeight="1">
      <c r="A109" s="262">
        <v>811000</v>
      </c>
      <c r="B109" s="263" t="s">
        <v>279</v>
      </c>
      <c r="F109" s="29">
        <f t="shared" si="3"/>
        <v>-269</v>
      </c>
      <c r="H109" s="111">
        <v>-269320</v>
      </c>
      <c r="I109" s="111"/>
      <c r="J109" s="372"/>
    </row>
    <row r="110" spans="1:10" ht="11.25" customHeight="1">
      <c r="A110" s="261">
        <v>813000</v>
      </c>
      <c r="B110" s="260" t="s">
        <v>280</v>
      </c>
      <c r="F110" s="29">
        <f t="shared" si="3"/>
        <v>918</v>
      </c>
      <c r="H110" s="111">
        <v>918049</v>
      </c>
      <c r="I110" s="111"/>
      <c r="J110" s="371"/>
    </row>
    <row r="111" spans="1:10" ht="11.25" customHeight="1">
      <c r="A111" s="261">
        <v>813010</v>
      </c>
      <c r="B111" s="260" t="s">
        <v>281</v>
      </c>
      <c r="F111" s="29">
        <f t="shared" si="3"/>
        <v>70</v>
      </c>
      <c r="H111" s="111">
        <v>69651</v>
      </c>
      <c r="I111" s="111"/>
      <c r="J111" s="371"/>
    </row>
    <row r="112" spans="1:10" ht="11.25" customHeight="1">
      <c r="A112" s="258"/>
      <c r="B112" s="260" t="s">
        <v>282</v>
      </c>
      <c r="F112" s="29">
        <f t="shared" si="3"/>
        <v>116525</v>
      </c>
      <c r="H112" s="111">
        <v>116524619</v>
      </c>
      <c r="I112" s="111"/>
      <c r="J112" s="371"/>
    </row>
    <row r="113" spans="1:10" ht="11.25" customHeight="1">
      <c r="A113" s="258"/>
      <c r="B113" s="260"/>
      <c r="F113" s="29">
        <f t="shared" si="3"/>
        <v>0</v>
      </c>
      <c r="H113" s="111"/>
      <c r="I113" s="111"/>
      <c r="J113" s="371"/>
    </row>
    <row r="114" spans="1:10" ht="11.25" customHeight="1">
      <c r="A114" s="258"/>
      <c r="B114" s="260" t="s">
        <v>283</v>
      </c>
      <c r="F114" s="29">
        <f t="shared" si="3"/>
        <v>0</v>
      </c>
      <c r="H114" s="111"/>
      <c r="I114" s="111"/>
      <c r="J114" s="371"/>
    </row>
    <row r="115" spans="1:10" ht="11.25" customHeight="1">
      <c r="A115" s="261">
        <v>814000</v>
      </c>
      <c r="B115" s="260" t="s">
        <v>284</v>
      </c>
      <c r="F115" s="29">
        <f t="shared" si="3"/>
        <v>11</v>
      </c>
      <c r="H115" s="111">
        <v>11374</v>
      </c>
      <c r="I115" s="111"/>
      <c r="J115" s="371"/>
    </row>
    <row r="116" spans="1:10" ht="11.25" customHeight="1">
      <c r="A116" s="261">
        <v>824000</v>
      </c>
      <c r="B116" s="260" t="s">
        <v>285</v>
      </c>
      <c r="F116" s="29">
        <f t="shared" si="3"/>
        <v>450</v>
      </c>
      <c r="H116" s="111">
        <v>449822</v>
      </c>
      <c r="I116" s="111"/>
      <c r="J116" s="371"/>
    </row>
    <row r="117" spans="1:10" ht="11.25" customHeight="1">
      <c r="A117" s="261">
        <v>837000</v>
      </c>
      <c r="B117" s="260" t="s">
        <v>286</v>
      </c>
      <c r="F117" s="29">
        <f t="shared" si="3"/>
        <v>513</v>
      </c>
      <c r="H117" s="111">
        <v>512814</v>
      </c>
      <c r="I117" s="111"/>
      <c r="J117" s="371"/>
    </row>
    <row r="118" spans="1:10" ht="11.25" customHeight="1">
      <c r="A118" s="258"/>
      <c r="B118" s="260" t="s">
        <v>287</v>
      </c>
      <c r="F118" s="29">
        <f t="shared" si="3"/>
        <v>974</v>
      </c>
      <c r="H118" s="111">
        <v>974010</v>
      </c>
      <c r="I118" s="111"/>
      <c r="J118" s="371"/>
    </row>
    <row r="119" spans="1:10" ht="11.25" customHeight="1">
      <c r="A119" s="258"/>
      <c r="B119" s="260"/>
      <c r="F119" s="29">
        <f t="shared" si="3"/>
        <v>0</v>
      </c>
      <c r="H119" s="111"/>
      <c r="I119" s="111"/>
      <c r="J119" s="371"/>
    </row>
    <row r="120" spans="1:10" ht="11.25" customHeight="1">
      <c r="A120" s="259"/>
      <c r="B120" s="260" t="s">
        <v>288</v>
      </c>
      <c r="F120" s="29">
        <f t="shared" si="3"/>
        <v>492</v>
      </c>
      <c r="H120" s="111">
        <v>491895</v>
      </c>
      <c r="I120" s="111"/>
      <c r="J120" s="371"/>
    </row>
    <row r="121" spans="1:10" ht="11.25" customHeight="1">
      <c r="A121" s="259"/>
      <c r="B121" s="260" t="s">
        <v>289</v>
      </c>
      <c r="F121" s="29">
        <f t="shared" si="3"/>
        <v>0</v>
      </c>
      <c r="H121" s="111">
        <v>160</v>
      </c>
      <c r="I121" s="111"/>
      <c r="J121" s="371"/>
    </row>
    <row r="122" spans="1:10" ht="11.25" customHeight="1">
      <c r="A122" s="258"/>
      <c r="B122" s="260" t="s">
        <v>290</v>
      </c>
      <c r="F122" s="29">
        <f t="shared" si="3"/>
        <v>210</v>
      </c>
      <c r="H122" s="111">
        <v>210427</v>
      </c>
      <c r="I122" s="111"/>
      <c r="J122" s="371"/>
    </row>
    <row r="123" spans="1:10" ht="11.25" customHeight="1">
      <c r="A123" s="258"/>
      <c r="B123" s="260" t="s">
        <v>291</v>
      </c>
      <c r="F123" s="29">
        <f t="shared" si="3"/>
        <v>702</v>
      </c>
      <c r="H123" s="111">
        <v>702482</v>
      </c>
      <c r="I123" s="111"/>
      <c r="J123" s="371"/>
    </row>
    <row r="124" spans="1:10" ht="11.25" customHeight="1">
      <c r="A124" s="258"/>
      <c r="B124" s="260"/>
      <c r="F124" s="29">
        <f t="shared" si="3"/>
        <v>0</v>
      </c>
      <c r="H124" s="111"/>
      <c r="I124" s="111"/>
      <c r="J124" s="371"/>
    </row>
    <row r="125" spans="1:10" ht="11.25" customHeight="1">
      <c r="A125" s="258"/>
      <c r="B125" s="260" t="s">
        <v>292</v>
      </c>
      <c r="F125" s="29">
        <f t="shared" si="3"/>
        <v>1676</v>
      </c>
      <c r="H125" s="111">
        <v>1676492</v>
      </c>
      <c r="I125" s="111"/>
      <c r="J125" s="371"/>
    </row>
    <row r="126" spans="1:10" ht="11.25" customHeight="1">
      <c r="A126" s="258"/>
      <c r="B126" s="260"/>
      <c r="F126" s="29">
        <f t="shared" si="3"/>
        <v>0</v>
      </c>
      <c r="H126" s="111"/>
      <c r="I126" s="111"/>
      <c r="J126" s="371"/>
    </row>
    <row r="127" spans="1:10" ht="11.25" customHeight="1">
      <c r="A127" s="258"/>
      <c r="B127" s="260" t="s">
        <v>293</v>
      </c>
      <c r="F127" s="29">
        <f t="shared" si="3"/>
        <v>0</v>
      </c>
      <c r="H127" s="111"/>
      <c r="I127" s="111"/>
      <c r="J127" s="371"/>
    </row>
    <row r="128" spans="1:10" ht="11.25" customHeight="1">
      <c r="A128" s="258"/>
      <c r="B128" s="260" t="s">
        <v>294</v>
      </c>
      <c r="F128" s="29">
        <f t="shared" si="3"/>
        <v>0</v>
      </c>
      <c r="H128" s="111"/>
      <c r="I128" s="111"/>
      <c r="J128" s="371"/>
    </row>
    <row r="129" spans="1:15" ht="11.25" customHeight="1">
      <c r="A129" s="261">
        <v>870000</v>
      </c>
      <c r="B129" s="260" t="s">
        <v>284</v>
      </c>
      <c r="F129" s="29">
        <f t="shared" si="3"/>
        <v>1174</v>
      </c>
      <c r="H129" s="111">
        <v>1174413</v>
      </c>
      <c r="I129" s="111"/>
      <c r="J129" s="371"/>
    </row>
    <row r="130" spans="1:15" ht="11.25" customHeight="1">
      <c r="A130" s="261">
        <v>871000</v>
      </c>
      <c r="B130" s="260" t="s">
        <v>295</v>
      </c>
      <c r="F130" s="29">
        <f t="shared" si="3"/>
        <v>0</v>
      </c>
      <c r="H130" s="111">
        <v>0</v>
      </c>
      <c r="I130" s="111"/>
      <c r="J130" s="371"/>
    </row>
    <row r="131" spans="1:15" ht="11.25" customHeight="1">
      <c r="A131" s="261">
        <v>874000</v>
      </c>
      <c r="B131" s="260" t="s">
        <v>296</v>
      </c>
      <c r="F131" s="29">
        <f t="shared" si="3"/>
        <v>3100</v>
      </c>
      <c r="H131" s="111">
        <v>3100362</v>
      </c>
      <c r="I131" s="111"/>
      <c r="J131" s="371"/>
      <c r="N131" s="103"/>
    </row>
    <row r="132" spans="1:15" ht="11.25" customHeight="1" thickBot="1">
      <c r="A132" s="261">
        <v>875000</v>
      </c>
      <c r="B132" s="260" t="s">
        <v>297</v>
      </c>
      <c r="F132" s="29">
        <f t="shared" si="3"/>
        <v>59</v>
      </c>
      <c r="H132" s="111">
        <v>58765</v>
      </c>
      <c r="I132" s="111"/>
      <c r="J132" s="371"/>
      <c r="N132" s="104"/>
      <c r="O132" s="105"/>
    </row>
    <row r="133" spans="1:15" ht="11.25" customHeight="1" thickTop="1">
      <c r="A133" s="261">
        <v>876000</v>
      </c>
      <c r="B133" s="260" t="s">
        <v>298</v>
      </c>
      <c r="F133" s="29">
        <f t="shared" si="3"/>
        <v>3</v>
      </c>
      <c r="H133" s="111">
        <v>3066</v>
      </c>
      <c r="I133" s="111"/>
      <c r="J133" s="371"/>
    </row>
    <row r="134" spans="1:15" ht="11.25" customHeight="1">
      <c r="A134" s="261">
        <v>877000</v>
      </c>
      <c r="B134" s="260" t="s">
        <v>299</v>
      </c>
      <c r="F134" s="29">
        <f t="shared" si="3"/>
        <v>68</v>
      </c>
      <c r="H134" s="111">
        <v>67670</v>
      </c>
      <c r="I134" s="111"/>
      <c r="J134" s="371"/>
    </row>
    <row r="135" spans="1:15" ht="11.25" customHeight="1">
      <c r="A135" s="261">
        <v>878000</v>
      </c>
      <c r="B135" s="260" t="s">
        <v>300</v>
      </c>
      <c r="F135" s="29">
        <f t="shared" si="3"/>
        <v>395</v>
      </c>
      <c r="H135" s="111">
        <v>394645</v>
      </c>
      <c r="I135" s="111"/>
      <c r="J135" s="371"/>
    </row>
    <row r="136" spans="1:15" ht="11.25" customHeight="1">
      <c r="A136" s="261">
        <v>879000</v>
      </c>
      <c r="B136" s="260" t="s">
        <v>301</v>
      </c>
      <c r="F136" s="29">
        <f t="shared" si="3"/>
        <v>1244</v>
      </c>
      <c r="H136" s="111">
        <v>1244036</v>
      </c>
      <c r="I136" s="111"/>
      <c r="J136" s="371"/>
    </row>
    <row r="137" spans="1:15" ht="11.25" customHeight="1">
      <c r="A137" s="261">
        <v>880000</v>
      </c>
      <c r="B137" s="260" t="s">
        <v>285</v>
      </c>
      <c r="F137" s="29">
        <f t="shared" si="3"/>
        <v>1689</v>
      </c>
      <c r="H137" s="111">
        <v>1688634</v>
      </c>
      <c r="I137" s="111"/>
      <c r="J137" s="371"/>
    </row>
    <row r="138" spans="1:15" ht="11.25" customHeight="1">
      <c r="A138" s="261">
        <v>881000</v>
      </c>
      <c r="B138" s="260" t="s">
        <v>302</v>
      </c>
      <c r="F138" s="29">
        <f t="shared" si="3"/>
        <v>28</v>
      </c>
      <c r="H138" s="111">
        <v>28173</v>
      </c>
      <c r="I138" s="111"/>
      <c r="J138" s="371"/>
    </row>
    <row r="139" spans="1:15" ht="11.25" customHeight="1">
      <c r="A139" s="258"/>
      <c r="B139" s="260"/>
      <c r="F139" s="29">
        <f t="shared" si="3"/>
        <v>0</v>
      </c>
      <c r="H139" s="111"/>
      <c r="I139" s="111"/>
      <c r="J139" s="371"/>
    </row>
    <row r="140" spans="1:15" ht="11.25" customHeight="1">
      <c r="A140" s="258"/>
      <c r="B140" s="260" t="s">
        <v>303</v>
      </c>
      <c r="F140" s="29">
        <f t="shared" si="3"/>
        <v>0</v>
      </c>
      <c r="H140" s="111"/>
      <c r="I140" s="111"/>
      <c r="J140" s="371"/>
    </row>
    <row r="141" spans="1:15" ht="11.25" customHeight="1">
      <c r="A141" s="261">
        <v>885000</v>
      </c>
      <c r="B141" s="260" t="s">
        <v>284</v>
      </c>
      <c r="F141" s="29">
        <f t="shared" si="3"/>
        <v>81</v>
      </c>
      <c r="H141" s="111">
        <v>80585</v>
      </c>
      <c r="I141" s="111"/>
      <c r="J141" s="371"/>
    </row>
    <row r="142" spans="1:15" ht="11.25" customHeight="1">
      <c r="A142" s="261">
        <v>887000</v>
      </c>
      <c r="B142" s="260" t="s">
        <v>304</v>
      </c>
      <c r="F142" s="29">
        <f t="shared" si="3"/>
        <v>793</v>
      </c>
      <c r="H142" s="111">
        <v>792936</v>
      </c>
      <c r="I142" s="111"/>
      <c r="J142" s="371"/>
    </row>
    <row r="143" spans="1:15" ht="11.25" customHeight="1">
      <c r="A143" s="261">
        <v>889000</v>
      </c>
      <c r="B143" s="260" t="s">
        <v>297</v>
      </c>
      <c r="F143" s="29">
        <f t="shared" si="3"/>
        <v>163</v>
      </c>
      <c r="H143" s="111">
        <v>162663</v>
      </c>
      <c r="I143" s="111"/>
      <c r="J143" s="371"/>
    </row>
    <row r="144" spans="1:15" ht="11.25" customHeight="1">
      <c r="A144" s="261">
        <v>890000</v>
      </c>
      <c r="B144" s="260" t="s">
        <v>298</v>
      </c>
      <c r="F144" s="29">
        <f t="shared" si="3"/>
        <v>203</v>
      </c>
      <c r="H144" s="111">
        <v>202738</v>
      </c>
      <c r="I144" s="111"/>
      <c r="J144" s="371"/>
    </row>
    <row r="145" spans="1:10" ht="11.25" customHeight="1">
      <c r="A145" s="261">
        <v>891000</v>
      </c>
      <c r="B145" s="260" t="s">
        <v>299</v>
      </c>
      <c r="F145" s="29">
        <f t="shared" si="3"/>
        <v>45</v>
      </c>
      <c r="H145" s="111">
        <v>45268</v>
      </c>
      <c r="I145" s="111"/>
      <c r="J145" s="371"/>
    </row>
    <row r="146" spans="1:10" ht="11.25" customHeight="1">
      <c r="A146" s="261">
        <v>892000</v>
      </c>
      <c r="B146" s="260" t="s">
        <v>305</v>
      </c>
      <c r="F146" s="29">
        <f t="shared" si="3"/>
        <v>1524</v>
      </c>
      <c r="H146" s="111">
        <v>1524381</v>
      </c>
      <c r="I146" s="111"/>
      <c r="J146" s="371"/>
    </row>
    <row r="147" spans="1:10" ht="11.25" customHeight="1">
      <c r="A147" s="261">
        <v>893000</v>
      </c>
      <c r="B147" s="260" t="s">
        <v>306</v>
      </c>
      <c r="F147" s="29">
        <f t="shared" si="3"/>
        <v>1339</v>
      </c>
      <c r="H147" s="111">
        <v>1338868</v>
      </c>
      <c r="I147" s="111"/>
      <c r="J147" s="371"/>
    </row>
    <row r="148" spans="1:10" ht="11.25" customHeight="1">
      <c r="A148" s="261">
        <v>894000</v>
      </c>
      <c r="B148" s="260" t="s">
        <v>286</v>
      </c>
      <c r="F148" s="29">
        <f t="shared" si="3"/>
        <v>142</v>
      </c>
      <c r="H148" s="111">
        <v>141563</v>
      </c>
      <c r="I148" s="111"/>
      <c r="J148" s="371"/>
    </row>
    <row r="149" spans="1:10" ht="11.25" customHeight="1">
      <c r="A149" s="258"/>
      <c r="B149" s="260" t="s">
        <v>307</v>
      </c>
      <c r="F149" s="29">
        <f t="shared" si="3"/>
        <v>12049</v>
      </c>
      <c r="H149" s="111">
        <v>12048766</v>
      </c>
      <c r="I149" s="111"/>
      <c r="J149" s="371"/>
    </row>
    <row r="150" spans="1:10" ht="11.25" customHeight="1">
      <c r="A150" s="258"/>
      <c r="B150" s="260"/>
      <c r="F150" s="29">
        <f t="shared" si="3"/>
        <v>0</v>
      </c>
      <c r="H150" s="111"/>
      <c r="I150" s="111"/>
      <c r="J150" s="371"/>
    </row>
    <row r="151" spans="1:10" ht="11.25" customHeight="1">
      <c r="A151" s="258"/>
      <c r="B151" s="260" t="s">
        <v>308</v>
      </c>
      <c r="F151" s="29">
        <f t="shared" si="3"/>
        <v>9866</v>
      </c>
      <c r="H151" s="111">
        <v>9865836</v>
      </c>
      <c r="I151" s="111"/>
      <c r="J151" s="371"/>
    </row>
    <row r="152" spans="1:10" ht="11.25" customHeight="1">
      <c r="A152" s="258"/>
      <c r="B152" s="260" t="s">
        <v>290</v>
      </c>
      <c r="F152" s="29">
        <f t="shared" si="3"/>
        <v>12807</v>
      </c>
      <c r="H152" s="111">
        <v>12806578</v>
      </c>
      <c r="I152" s="111"/>
      <c r="J152" s="371"/>
    </row>
    <row r="153" spans="1:10" ht="11.25" customHeight="1">
      <c r="A153" s="258"/>
      <c r="B153" s="260" t="s">
        <v>309</v>
      </c>
      <c r="F153" s="29">
        <f t="shared" si="3"/>
        <v>22672</v>
      </c>
      <c r="H153" s="111">
        <v>22672414</v>
      </c>
      <c r="I153" s="111"/>
      <c r="J153" s="371"/>
    </row>
    <row r="154" spans="1:10" ht="11.25" customHeight="1">
      <c r="A154" s="258"/>
      <c r="B154" s="260"/>
      <c r="F154" s="29">
        <f t="shared" ref="F154:F218" si="4">ROUND(H154/1000,0)</f>
        <v>0</v>
      </c>
      <c r="H154" s="111"/>
      <c r="I154" s="111"/>
      <c r="J154" s="371"/>
    </row>
    <row r="155" spans="1:10" ht="11.25" customHeight="1">
      <c r="A155" s="258"/>
      <c r="B155" s="260" t="s">
        <v>310</v>
      </c>
      <c r="F155" s="29">
        <f t="shared" si="4"/>
        <v>34721</v>
      </c>
      <c r="H155" s="111">
        <v>34721180</v>
      </c>
      <c r="I155" s="111"/>
      <c r="J155" s="371"/>
    </row>
    <row r="156" spans="1:10" ht="11.25" customHeight="1">
      <c r="A156" s="258"/>
      <c r="B156" s="260"/>
      <c r="F156" s="29">
        <f t="shared" si="4"/>
        <v>0</v>
      </c>
      <c r="H156" s="111"/>
      <c r="I156" s="111"/>
      <c r="J156" s="371"/>
    </row>
    <row r="157" spans="1:10" ht="11.25" customHeight="1">
      <c r="A157" s="258"/>
      <c r="B157" s="260" t="s">
        <v>311</v>
      </c>
      <c r="F157" s="29">
        <f t="shared" si="4"/>
        <v>0</v>
      </c>
      <c r="H157" s="111"/>
      <c r="I157" s="111"/>
      <c r="J157" s="371"/>
    </row>
    <row r="158" spans="1:10" ht="11.25" customHeight="1">
      <c r="A158" s="261">
        <v>901000</v>
      </c>
      <c r="B158" s="260" t="s">
        <v>312</v>
      </c>
      <c r="F158" s="29">
        <f t="shared" si="4"/>
        <v>141</v>
      </c>
      <c r="H158" s="111">
        <v>140786</v>
      </c>
      <c r="I158" s="111"/>
      <c r="J158" s="371"/>
    </row>
    <row r="159" spans="1:10" ht="11.25" customHeight="1">
      <c r="A159" s="261">
        <v>902000</v>
      </c>
      <c r="B159" s="260" t="s">
        <v>313</v>
      </c>
      <c r="F159" s="29">
        <f t="shared" si="4"/>
        <v>1861</v>
      </c>
      <c r="H159" s="111">
        <v>1860956</v>
      </c>
      <c r="I159" s="111"/>
      <c r="J159" s="371"/>
    </row>
    <row r="160" spans="1:10" ht="11.25" customHeight="1">
      <c r="A160" s="261" t="s">
        <v>314</v>
      </c>
      <c r="B160" s="260" t="s">
        <v>315</v>
      </c>
      <c r="F160" s="29">
        <f t="shared" si="4"/>
        <v>3931</v>
      </c>
      <c r="H160" s="111">
        <v>3931206</v>
      </c>
      <c r="I160" s="111"/>
      <c r="J160" s="371"/>
    </row>
    <row r="161" spans="1:10" ht="11.25" customHeight="1">
      <c r="A161" s="261">
        <v>904000</v>
      </c>
      <c r="B161" s="260" t="s">
        <v>316</v>
      </c>
      <c r="F161" s="29">
        <f t="shared" si="4"/>
        <v>1317</v>
      </c>
      <c r="H161" s="111">
        <v>1317433</v>
      </c>
      <c r="I161" s="111"/>
      <c r="J161" s="371"/>
    </row>
    <row r="162" spans="1:10" ht="11.25" customHeight="1">
      <c r="A162" s="261">
        <v>905000</v>
      </c>
      <c r="B162" s="260" t="s">
        <v>317</v>
      </c>
      <c r="F162" s="29">
        <f t="shared" si="4"/>
        <v>102</v>
      </c>
      <c r="H162" s="111">
        <v>101858</v>
      </c>
      <c r="I162" s="111"/>
      <c r="J162" s="371"/>
    </row>
    <row r="163" spans="1:10" ht="11.25" customHeight="1">
      <c r="A163" s="258"/>
      <c r="B163" s="260" t="s">
        <v>318</v>
      </c>
      <c r="F163" s="29">
        <f t="shared" si="4"/>
        <v>7352</v>
      </c>
      <c r="H163" s="111">
        <v>7352239</v>
      </c>
      <c r="I163" s="111"/>
      <c r="J163" s="371"/>
    </row>
    <row r="164" spans="1:10" ht="11.25" customHeight="1">
      <c r="A164" s="258"/>
      <c r="B164" s="260"/>
      <c r="F164" s="29">
        <f t="shared" si="4"/>
        <v>0</v>
      </c>
      <c r="H164" s="111"/>
      <c r="I164" s="111"/>
      <c r="J164" s="371"/>
    </row>
    <row r="165" spans="1:10" ht="11.25" customHeight="1">
      <c r="A165" s="258"/>
      <c r="B165" s="260" t="s">
        <v>319</v>
      </c>
      <c r="F165" s="29">
        <f t="shared" si="4"/>
        <v>0</v>
      </c>
      <c r="H165" s="111"/>
      <c r="I165" s="111"/>
      <c r="J165" s="371"/>
    </row>
    <row r="166" spans="1:10" ht="11.25" customHeight="1">
      <c r="A166" s="261" t="s">
        <v>320</v>
      </c>
      <c r="B166" s="260" t="s">
        <v>321</v>
      </c>
      <c r="F166" s="29">
        <f t="shared" si="4"/>
        <v>7041</v>
      </c>
      <c r="H166" s="111">
        <v>7041064</v>
      </c>
      <c r="I166" s="111"/>
      <c r="J166" s="371"/>
    </row>
    <row r="167" spans="1:10" ht="11.25" customHeight="1">
      <c r="A167" s="261">
        <v>909000</v>
      </c>
      <c r="B167" s="260" t="s">
        <v>322</v>
      </c>
      <c r="F167" s="29">
        <f t="shared" si="4"/>
        <v>457</v>
      </c>
      <c r="H167" s="111">
        <v>456768</v>
      </c>
      <c r="I167" s="111"/>
      <c r="J167" s="371"/>
    </row>
    <row r="168" spans="1:10" ht="11.25" customHeight="1">
      <c r="A168" s="261">
        <v>910000</v>
      </c>
      <c r="B168" s="260" t="s">
        <v>323</v>
      </c>
      <c r="F168" s="29">
        <f t="shared" si="4"/>
        <v>98</v>
      </c>
      <c r="H168" s="111">
        <v>98204</v>
      </c>
      <c r="I168" s="111"/>
      <c r="J168" s="371"/>
    </row>
    <row r="169" spans="1:10" ht="11.25" customHeight="1">
      <c r="A169" s="258"/>
      <c r="B169" s="260" t="s">
        <v>324</v>
      </c>
      <c r="F169" s="29">
        <f t="shared" si="4"/>
        <v>7596</v>
      </c>
      <c r="H169" s="111">
        <v>7596036</v>
      </c>
      <c r="I169" s="111"/>
      <c r="J169" s="371"/>
    </row>
    <row r="170" spans="1:10" ht="11.25" customHeight="1">
      <c r="A170" s="258"/>
      <c r="B170" s="260"/>
      <c r="F170" s="29">
        <f t="shared" si="4"/>
        <v>0</v>
      </c>
      <c r="H170" s="111"/>
      <c r="I170" s="111"/>
      <c r="J170" s="371"/>
    </row>
    <row r="171" spans="1:10" ht="11.25" customHeight="1">
      <c r="A171" s="258"/>
      <c r="B171" s="260" t="s">
        <v>325</v>
      </c>
      <c r="F171" s="29">
        <f t="shared" si="4"/>
        <v>0</v>
      </c>
      <c r="H171" s="111"/>
      <c r="I171" s="111"/>
      <c r="J171" s="371"/>
    </row>
    <row r="172" spans="1:10" ht="11.25" customHeight="1">
      <c r="A172" s="261">
        <v>912000</v>
      </c>
      <c r="B172" s="260" t="s">
        <v>326</v>
      </c>
      <c r="F172" s="29">
        <f t="shared" si="4"/>
        <v>0</v>
      </c>
      <c r="H172" s="111">
        <v>0</v>
      </c>
      <c r="I172" s="111"/>
      <c r="J172" s="371"/>
    </row>
    <row r="173" spans="1:10" ht="11.25" customHeight="1">
      <c r="A173" s="261">
        <v>913000</v>
      </c>
      <c r="B173" s="260" t="s">
        <v>322</v>
      </c>
      <c r="F173" s="29">
        <f t="shared" si="4"/>
        <v>0</v>
      </c>
      <c r="H173" s="111">
        <v>0</v>
      </c>
      <c r="I173" s="111"/>
      <c r="J173" s="371"/>
    </row>
    <row r="174" spans="1:10" ht="11.25" customHeight="1">
      <c r="A174" s="261">
        <v>916000</v>
      </c>
      <c r="B174" s="260" t="s">
        <v>327</v>
      </c>
      <c r="F174" s="29">
        <f t="shared" si="4"/>
        <v>0</v>
      </c>
      <c r="H174" s="111">
        <v>0</v>
      </c>
      <c r="I174" s="111"/>
      <c r="J174" s="371"/>
    </row>
    <row r="175" spans="1:10" ht="11.25" customHeight="1">
      <c r="A175" s="258"/>
      <c r="B175" s="260" t="s">
        <v>328</v>
      </c>
      <c r="F175" s="29">
        <f t="shared" si="4"/>
        <v>0</v>
      </c>
      <c r="H175" s="111">
        <v>0</v>
      </c>
      <c r="I175" s="111"/>
      <c r="J175" s="371"/>
    </row>
    <row r="176" spans="1:10" ht="11.25" customHeight="1">
      <c r="A176" s="258"/>
      <c r="B176" s="260"/>
      <c r="F176" s="29">
        <f t="shared" si="4"/>
        <v>0</v>
      </c>
      <c r="H176" s="111"/>
      <c r="I176" s="111"/>
      <c r="J176" s="371"/>
    </row>
    <row r="177" spans="1:10" ht="11.25" customHeight="1">
      <c r="A177" s="258"/>
      <c r="B177" s="260" t="s">
        <v>329</v>
      </c>
      <c r="F177" s="29">
        <f t="shared" si="4"/>
        <v>0</v>
      </c>
      <c r="H177" s="111"/>
      <c r="I177" s="111"/>
      <c r="J177" s="371"/>
    </row>
    <row r="178" spans="1:10" ht="11.25" customHeight="1">
      <c r="A178" s="261">
        <v>920000</v>
      </c>
      <c r="B178" s="260" t="s">
        <v>330</v>
      </c>
      <c r="F178" s="29">
        <f t="shared" si="4"/>
        <v>6393</v>
      </c>
      <c r="H178" s="111">
        <v>6393078</v>
      </c>
      <c r="I178" s="111"/>
      <c r="J178" s="371"/>
    </row>
    <row r="179" spans="1:10" ht="11.25" customHeight="1">
      <c r="A179" s="261">
        <v>921000</v>
      </c>
      <c r="B179" s="260" t="s">
        <v>331</v>
      </c>
      <c r="F179" s="29">
        <f t="shared" si="4"/>
        <v>830</v>
      </c>
      <c r="H179" s="111">
        <v>830279</v>
      </c>
      <c r="I179" s="111"/>
      <c r="J179" s="371"/>
    </row>
    <row r="180" spans="1:10" ht="11.25" customHeight="1">
      <c r="A180" s="261">
        <v>922000</v>
      </c>
      <c r="B180" s="260" t="s">
        <v>332</v>
      </c>
      <c r="F180" s="29">
        <f t="shared" si="4"/>
        <v>-14</v>
      </c>
      <c r="H180" s="111">
        <v>-13882</v>
      </c>
      <c r="I180" s="111"/>
      <c r="J180" s="371"/>
    </row>
    <row r="181" spans="1:10" ht="11.25" customHeight="1">
      <c r="A181" s="261">
        <v>923000</v>
      </c>
      <c r="B181" s="260" t="s">
        <v>333</v>
      </c>
      <c r="F181" s="29">
        <f t="shared" si="4"/>
        <v>1449</v>
      </c>
      <c r="H181" s="111">
        <v>1448640</v>
      </c>
      <c r="I181" s="111"/>
      <c r="J181" s="371"/>
    </row>
    <row r="182" spans="1:10" ht="11.25" customHeight="1">
      <c r="A182" s="261">
        <v>924000</v>
      </c>
      <c r="B182" s="260" t="s">
        <v>334</v>
      </c>
      <c r="F182" s="29">
        <f t="shared" si="4"/>
        <v>223</v>
      </c>
      <c r="H182" s="111">
        <v>223150</v>
      </c>
      <c r="I182" s="111"/>
      <c r="J182" s="371"/>
    </row>
    <row r="183" spans="1:10" ht="11.25" customHeight="1">
      <c r="A183" s="258" t="s">
        <v>335</v>
      </c>
      <c r="B183" s="260" t="s">
        <v>336</v>
      </c>
      <c r="F183" s="29">
        <f t="shared" si="4"/>
        <v>628</v>
      </c>
      <c r="H183" s="111">
        <v>628044</v>
      </c>
      <c r="I183" s="111"/>
      <c r="J183" s="371"/>
    </row>
    <row r="184" spans="1:10" ht="11.25" customHeight="1">
      <c r="A184" s="258" t="s">
        <v>337</v>
      </c>
      <c r="B184" s="260" t="s">
        <v>338</v>
      </c>
      <c r="F184" s="29">
        <f t="shared" si="4"/>
        <v>304</v>
      </c>
      <c r="H184" s="111">
        <v>304098</v>
      </c>
      <c r="I184" s="111"/>
      <c r="J184" s="371"/>
    </row>
    <row r="185" spans="1:10" ht="11.25" customHeight="1">
      <c r="A185" s="261">
        <v>928000</v>
      </c>
      <c r="B185" s="260" t="s">
        <v>339</v>
      </c>
      <c r="F185" s="29">
        <f t="shared" si="4"/>
        <v>829</v>
      </c>
      <c r="H185" s="111">
        <v>829023</v>
      </c>
      <c r="I185" s="111"/>
      <c r="J185" s="371"/>
    </row>
    <row r="186" spans="1:10" ht="11.25" customHeight="1">
      <c r="A186" s="261">
        <v>930000</v>
      </c>
      <c r="B186" s="260" t="s">
        <v>340</v>
      </c>
      <c r="F186" s="29">
        <f t="shared" si="4"/>
        <v>821</v>
      </c>
      <c r="H186" s="111">
        <v>821435</v>
      </c>
      <c r="I186" s="111"/>
      <c r="J186" s="371"/>
    </row>
    <row r="187" spans="1:10" ht="11.25" customHeight="1">
      <c r="A187" s="261">
        <v>931000</v>
      </c>
      <c r="B187" s="260" t="s">
        <v>302</v>
      </c>
      <c r="F187" s="29">
        <f t="shared" si="4"/>
        <v>211</v>
      </c>
      <c r="H187" s="111">
        <v>210752</v>
      </c>
      <c r="I187" s="111"/>
      <c r="J187" s="371"/>
    </row>
    <row r="188" spans="1:10" ht="11.25" customHeight="1">
      <c r="A188" s="261">
        <v>935000</v>
      </c>
      <c r="B188" s="260" t="s">
        <v>341</v>
      </c>
      <c r="F188" s="29">
        <f t="shared" si="4"/>
        <v>2088</v>
      </c>
      <c r="H188" s="111">
        <v>2088143</v>
      </c>
      <c r="I188" s="111"/>
      <c r="J188" s="371"/>
    </row>
    <row r="189" spans="1:10" ht="11.25" customHeight="1">
      <c r="A189" s="258"/>
      <c r="B189" s="260" t="s">
        <v>342</v>
      </c>
      <c r="F189" s="29">
        <f t="shared" si="4"/>
        <v>13763</v>
      </c>
      <c r="H189" s="111">
        <v>13762760</v>
      </c>
      <c r="I189" s="111"/>
      <c r="J189" s="371"/>
    </row>
    <row r="190" spans="1:10" ht="11.25" customHeight="1">
      <c r="A190" s="258"/>
      <c r="B190" s="260"/>
      <c r="F190" s="29">
        <f t="shared" si="4"/>
        <v>0</v>
      </c>
      <c r="H190" s="111"/>
      <c r="I190" s="111"/>
      <c r="J190" s="371"/>
    </row>
    <row r="191" spans="1:10" ht="11.25" customHeight="1">
      <c r="A191" s="258"/>
      <c r="B191" s="260" t="s">
        <v>343</v>
      </c>
      <c r="F191" s="29">
        <f t="shared" si="4"/>
        <v>3159</v>
      </c>
      <c r="H191" s="111">
        <v>3159114</v>
      </c>
      <c r="I191" s="111"/>
      <c r="J191" s="371"/>
    </row>
    <row r="192" spans="1:10" ht="11.25" customHeight="1">
      <c r="A192" s="258"/>
      <c r="B192" s="260" t="s">
        <v>344</v>
      </c>
      <c r="F192" s="29">
        <f t="shared" si="4"/>
        <v>110</v>
      </c>
      <c r="H192" s="111">
        <v>110345</v>
      </c>
      <c r="I192" s="111"/>
      <c r="J192" s="371"/>
    </row>
    <row r="193" spans="1:10" ht="11.25" customHeight="1">
      <c r="A193" s="258"/>
      <c r="B193" s="260" t="s">
        <v>345</v>
      </c>
      <c r="F193" s="29">
        <f t="shared" si="4"/>
        <v>2988</v>
      </c>
      <c r="H193" s="111">
        <v>2987894</v>
      </c>
      <c r="I193" s="111"/>
      <c r="J193" s="371"/>
    </row>
    <row r="194" spans="1:10" ht="11.25" customHeight="1">
      <c r="A194" s="259"/>
      <c r="B194" s="260" t="s">
        <v>346</v>
      </c>
      <c r="F194" s="29">
        <f t="shared" si="4"/>
        <v>3</v>
      </c>
      <c r="H194" s="111">
        <v>2802</v>
      </c>
      <c r="I194" s="111"/>
      <c r="J194" s="371"/>
    </row>
    <row r="195" spans="1:10" ht="11.25" customHeight="1">
      <c r="A195" s="265">
        <v>407025</v>
      </c>
      <c r="B195" s="260" t="s">
        <v>347</v>
      </c>
      <c r="F195" s="29">
        <f t="shared" si="4"/>
        <v>0</v>
      </c>
      <c r="H195" s="111">
        <v>0</v>
      </c>
      <c r="I195" s="111"/>
      <c r="J195" s="371"/>
    </row>
    <row r="196" spans="1:10" ht="11.25" customHeight="1">
      <c r="A196" s="261">
        <v>407229</v>
      </c>
      <c r="B196" s="260" t="s">
        <v>478</v>
      </c>
      <c r="F196" s="29">
        <f t="shared" ref="F196" si="5">ROUND(H196/1000,0)</f>
        <v>0</v>
      </c>
      <c r="H196" s="111">
        <v>0</v>
      </c>
      <c r="I196" s="111"/>
      <c r="J196" s="371"/>
    </row>
    <row r="197" spans="1:10" ht="11.25" customHeight="1">
      <c r="A197" s="261">
        <v>407329</v>
      </c>
      <c r="B197" s="260" t="s">
        <v>348</v>
      </c>
      <c r="F197" s="29">
        <f t="shared" si="4"/>
        <v>0</v>
      </c>
      <c r="H197" s="111">
        <v>0</v>
      </c>
      <c r="I197" s="111"/>
      <c r="J197" s="371"/>
    </row>
    <row r="198" spans="1:10" ht="11.25" customHeight="1">
      <c r="A198" s="262">
        <v>407335</v>
      </c>
      <c r="B198" s="367" t="s">
        <v>349</v>
      </c>
      <c r="F198" s="29">
        <f t="shared" si="4"/>
        <v>0</v>
      </c>
      <c r="H198" s="111">
        <v>0</v>
      </c>
      <c r="I198" s="111"/>
      <c r="J198" s="372"/>
    </row>
    <row r="199" spans="1:10" ht="11.25" customHeight="1">
      <c r="A199" s="265" t="s">
        <v>350</v>
      </c>
      <c r="B199" s="260" t="s">
        <v>351</v>
      </c>
      <c r="F199" s="29">
        <f t="shared" si="4"/>
        <v>0</v>
      </c>
      <c r="H199" s="111">
        <v>0</v>
      </c>
      <c r="I199" s="111"/>
      <c r="J199" s="371"/>
    </row>
    <row r="200" spans="1:10" ht="16.2" customHeight="1">
      <c r="A200" s="373" t="s">
        <v>481</v>
      </c>
      <c r="B200" s="371" t="s">
        <v>480</v>
      </c>
      <c r="F200" s="29">
        <f t="shared" si="4"/>
        <v>0</v>
      </c>
      <c r="H200" s="111">
        <v>0</v>
      </c>
      <c r="I200" s="111"/>
      <c r="J200" s="371"/>
    </row>
    <row r="201" spans="1:10" ht="11.25" customHeight="1">
      <c r="A201" s="258"/>
      <c r="B201" s="260" t="s">
        <v>352</v>
      </c>
      <c r="F201" s="29">
        <f t="shared" si="4"/>
        <v>6260</v>
      </c>
      <c r="H201" s="111">
        <v>6260155</v>
      </c>
      <c r="I201" s="111"/>
      <c r="J201" s="371"/>
    </row>
    <row r="202" spans="1:10" ht="11.25" customHeight="1">
      <c r="A202" s="258"/>
      <c r="B202" s="260"/>
      <c r="F202" s="29">
        <f t="shared" si="4"/>
        <v>0</v>
      </c>
      <c r="H202" s="111"/>
      <c r="I202" s="111"/>
      <c r="J202" s="371"/>
    </row>
    <row r="203" spans="1:10" ht="11.25" customHeight="1">
      <c r="A203" s="261"/>
      <c r="B203" s="260" t="s">
        <v>353</v>
      </c>
      <c r="F203" s="29">
        <f t="shared" si="4"/>
        <v>20023</v>
      </c>
      <c r="H203" s="111">
        <v>20022915</v>
      </c>
      <c r="I203" s="111"/>
      <c r="J203" s="371"/>
    </row>
    <row r="204" spans="1:10" ht="11.25" customHeight="1">
      <c r="A204" s="261"/>
      <c r="B204" s="260"/>
      <c r="F204" s="29">
        <f t="shared" si="4"/>
        <v>0</v>
      </c>
      <c r="H204" s="111"/>
      <c r="I204" s="111"/>
      <c r="J204" s="371"/>
    </row>
    <row r="205" spans="1:10" ht="11.25" customHeight="1">
      <c r="A205" s="261"/>
      <c r="B205" s="260" t="s">
        <v>354</v>
      </c>
      <c r="F205" s="29">
        <f t="shared" si="4"/>
        <v>187893</v>
      </c>
      <c r="H205" s="111">
        <v>187893481</v>
      </c>
      <c r="I205" s="111"/>
      <c r="J205" s="371"/>
    </row>
    <row r="206" spans="1:10" ht="11.25" customHeight="1">
      <c r="A206" s="261"/>
      <c r="B206" s="260"/>
      <c r="F206" s="29">
        <f t="shared" si="4"/>
        <v>0</v>
      </c>
      <c r="H206" s="111"/>
      <c r="I206" s="111"/>
      <c r="J206" s="371"/>
    </row>
    <row r="207" spans="1:10" ht="11.25" customHeight="1">
      <c r="A207" s="261"/>
      <c r="B207" s="260" t="s">
        <v>355</v>
      </c>
      <c r="F207" s="29">
        <f t="shared" si="4"/>
        <v>32522</v>
      </c>
      <c r="H207" s="111">
        <v>32522137</v>
      </c>
      <c r="I207" s="111"/>
      <c r="J207" s="371"/>
    </row>
    <row r="208" spans="1:10" ht="11.25" customHeight="1">
      <c r="A208" s="261"/>
      <c r="B208" s="260"/>
      <c r="F208" s="29">
        <f t="shared" si="4"/>
        <v>0</v>
      </c>
      <c r="H208" s="111"/>
      <c r="I208" s="111"/>
      <c r="J208" s="371"/>
    </row>
    <row r="209" spans="1:10" ht="11.25" customHeight="1">
      <c r="A209" s="261"/>
      <c r="B209" s="260" t="s">
        <v>56</v>
      </c>
      <c r="F209" s="29">
        <f t="shared" si="4"/>
        <v>-841</v>
      </c>
      <c r="H209" s="111">
        <v>-840846</v>
      </c>
      <c r="I209" s="111"/>
      <c r="J209" s="371"/>
    </row>
    <row r="210" spans="1:10" ht="11.25" customHeight="1">
      <c r="A210" s="261"/>
      <c r="B210" s="260" t="s">
        <v>356</v>
      </c>
      <c r="F210" s="29">
        <f t="shared" si="4"/>
        <v>9923</v>
      </c>
      <c r="H210" s="111">
        <v>9922880</v>
      </c>
      <c r="I210" s="111"/>
      <c r="J210" s="371"/>
    </row>
    <row r="211" spans="1:10" ht="11.25" customHeight="1">
      <c r="A211" s="261"/>
      <c r="B211" s="260" t="s">
        <v>357</v>
      </c>
      <c r="F211" s="29">
        <f t="shared" si="4"/>
        <v>-17</v>
      </c>
      <c r="H211" s="111">
        <v>-17490</v>
      </c>
      <c r="I211" s="111"/>
      <c r="J211" s="371"/>
    </row>
    <row r="212" spans="1:10" ht="11.25" customHeight="1">
      <c r="A212" s="258"/>
      <c r="B212" s="260" t="s">
        <v>358</v>
      </c>
      <c r="F212" s="29">
        <f t="shared" si="4"/>
        <v>23458</v>
      </c>
      <c r="H212" s="111">
        <v>23457593</v>
      </c>
      <c r="I212" s="111"/>
      <c r="J212" s="371"/>
    </row>
    <row r="213" spans="1:10" ht="11.25" customHeight="1">
      <c r="F213" s="29">
        <f t="shared" si="4"/>
        <v>0</v>
      </c>
    </row>
    <row r="214" spans="1:10" ht="11.25" customHeight="1">
      <c r="A214" s="266"/>
      <c r="B214" s="267" t="s">
        <v>108</v>
      </c>
      <c r="F214" s="29">
        <f t="shared" si="4"/>
        <v>0</v>
      </c>
      <c r="J214" s="374"/>
    </row>
    <row r="215" spans="1:10" ht="11.25" customHeight="1">
      <c r="A215" s="266"/>
      <c r="B215" s="267" t="s">
        <v>359</v>
      </c>
      <c r="F215" s="29">
        <f t="shared" si="4"/>
        <v>0</v>
      </c>
      <c r="J215" s="374"/>
    </row>
    <row r="216" spans="1:10" ht="11.25" customHeight="1">
      <c r="A216" s="268">
        <v>303000</v>
      </c>
      <c r="B216" s="269" t="s">
        <v>360</v>
      </c>
      <c r="F216" s="29">
        <f t="shared" si="4"/>
        <v>2312</v>
      </c>
      <c r="H216" s="111">
        <v>2312129</v>
      </c>
      <c r="I216" s="111"/>
      <c r="J216" s="375"/>
    </row>
    <row r="217" spans="1:10" ht="11.25" customHeight="1">
      <c r="A217" s="270" t="s">
        <v>361</v>
      </c>
      <c r="B217" s="267" t="s">
        <v>362</v>
      </c>
      <c r="F217" s="29">
        <f t="shared" si="4"/>
        <v>23408</v>
      </c>
      <c r="H217" s="111">
        <v>23408267</v>
      </c>
      <c r="I217" s="111"/>
      <c r="J217" s="374"/>
    </row>
    <row r="218" spans="1:10" ht="11.25" customHeight="1">
      <c r="A218" s="271"/>
      <c r="B218" s="267" t="s">
        <v>363</v>
      </c>
      <c r="F218" s="29">
        <f t="shared" si="4"/>
        <v>25720</v>
      </c>
      <c r="H218" s="111">
        <v>25720396</v>
      </c>
      <c r="I218" s="111"/>
      <c r="J218" s="374"/>
    </row>
    <row r="219" spans="1:10" ht="11.25" customHeight="1">
      <c r="A219" s="271"/>
      <c r="B219" s="267"/>
      <c r="F219" s="29">
        <f t="shared" ref="F219:F283" si="6">ROUND(H219/1000,0)</f>
        <v>0</v>
      </c>
      <c r="H219" s="111"/>
      <c r="I219" s="111"/>
      <c r="J219" s="374"/>
    </row>
    <row r="220" spans="1:10" ht="11.25" customHeight="1">
      <c r="A220" s="271"/>
      <c r="B220" s="267" t="s">
        <v>364</v>
      </c>
      <c r="F220" s="29">
        <f t="shared" si="6"/>
        <v>0</v>
      </c>
      <c r="H220" s="111"/>
      <c r="I220" s="111"/>
      <c r="J220" s="374"/>
    </row>
    <row r="221" spans="1:10" ht="11.25" customHeight="1">
      <c r="A221" s="272" t="s">
        <v>365</v>
      </c>
      <c r="B221" s="267" t="s">
        <v>366</v>
      </c>
      <c r="F221" s="29">
        <f t="shared" si="6"/>
        <v>777</v>
      </c>
      <c r="H221" s="111">
        <v>777458</v>
      </c>
      <c r="I221" s="111"/>
      <c r="J221" s="374"/>
    </row>
    <row r="222" spans="1:10" ht="11.25" customHeight="1">
      <c r="A222" s="272" t="s">
        <v>367</v>
      </c>
      <c r="B222" s="267" t="s">
        <v>368</v>
      </c>
      <c r="F222" s="29">
        <f t="shared" si="6"/>
        <v>1359</v>
      </c>
      <c r="H222" s="111">
        <v>1358620</v>
      </c>
      <c r="I222" s="111"/>
      <c r="J222" s="374"/>
    </row>
    <row r="223" spans="1:10" ht="11.25" customHeight="1">
      <c r="A223" s="272" t="s">
        <v>369</v>
      </c>
      <c r="B223" s="267" t="s">
        <v>370</v>
      </c>
      <c r="F223" s="29">
        <f t="shared" si="6"/>
        <v>13272</v>
      </c>
      <c r="H223" s="111">
        <v>13271690</v>
      </c>
      <c r="I223" s="111"/>
      <c r="J223" s="374"/>
    </row>
    <row r="224" spans="1:10" ht="11.25" customHeight="1">
      <c r="A224" s="272">
        <v>353000</v>
      </c>
      <c r="B224" s="267" t="s">
        <v>371</v>
      </c>
      <c r="F224" s="29">
        <f t="shared" si="6"/>
        <v>737</v>
      </c>
      <c r="H224" s="111">
        <v>736670</v>
      </c>
      <c r="I224" s="111"/>
      <c r="J224" s="374"/>
    </row>
    <row r="225" spans="1:10" ht="11.25" customHeight="1">
      <c r="A225" s="272">
        <v>354000</v>
      </c>
      <c r="B225" s="267" t="s">
        <v>372</v>
      </c>
      <c r="F225" s="29">
        <f t="shared" si="6"/>
        <v>8499</v>
      </c>
      <c r="H225" s="111">
        <v>8498734</v>
      </c>
      <c r="I225" s="111"/>
      <c r="J225" s="374"/>
    </row>
    <row r="226" spans="1:10" ht="11.25" customHeight="1">
      <c r="A226" s="272">
        <v>355000</v>
      </c>
      <c r="B226" s="267" t="s">
        <v>373</v>
      </c>
      <c r="F226" s="29">
        <f t="shared" si="6"/>
        <v>508</v>
      </c>
      <c r="H226" s="111">
        <v>508218</v>
      </c>
      <c r="I226" s="111"/>
      <c r="J226" s="374"/>
    </row>
    <row r="227" spans="1:10" ht="11.25" customHeight="1">
      <c r="A227" s="272">
        <v>356000</v>
      </c>
      <c r="B227" s="267" t="s">
        <v>374</v>
      </c>
      <c r="F227" s="29">
        <f t="shared" si="6"/>
        <v>285</v>
      </c>
      <c r="H227" s="111">
        <v>284739</v>
      </c>
      <c r="I227" s="111"/>
      <c r="J227" s="374"/>
    </row>
    <row r="228" spans="1:10" ht="11.25" customHeight="1">
      <c r="A228" s="272">
        <v>357000</v>
      </c>
      <c r="B228" s="267" t="s">
        <v>286</v>
      </c>
      <c r="F228" s="29">
        <f t="shared" si="6"/>
        <v>1432</v>
      </c>
      <c r="H228" s="111">
        <v>1431546</v>
      </c>
      <c r="I228" s="111"/>
      <c r="J228" s="374"/>
    </row>
    <row r="229" spans="1:10" ht="11.25" customHeight="1">
      <c r="A229" s="272"/>
      <c r="B229" s="267" t="s">
        <v>375</v>
      </c>
      <c r="F229" s="29">
        <f t="shared" si="6"/>
        <v>26868</v>
      </c>
      <c r="H229" s="111">
        <v>26867675</v>
      </c>
      <c r="I229" s="111"/>
      <c r="J229" s="374"/>
    </row>
    <row r="230" spans="1:10" ht="11.25" customHeight="1">
      <c r="A230" s="272"/>
      <c r="B230" s="267"/>
      <c r="F230" s="29">
        <f t="shared" si="6"/>
        <v>0</v>
      </c>
      <c r="H230" s="111"/>
      <c r="I230" s="111"/>
      <c r="J230" s="374"/>
    </row>
    <row r="231" spans="1:10" ht="11.25" customHeight="1">
      <c r="A231" s="272"/>
      <c r="B231" s="267" t="s">
        <v>376</v>
      </c>
      <c r="F231" s="29">
        <f t="shared" si="6"/>
        <v>0</v>
      </c>
      <c r="H231" s="111"/>
      <c r="I231" s="111"/>
      <c r="J231" s="374"/>
    </row>
    <row r="232" spans="1:10" ht="11.25" customHeight="1">
      <c r="A232" s="272">
        <v>374200</v>
      </c>
      <c r="B232" s="267" t="s">
        <v>366</v>
      </c>
      <c r="F232" s="29">
        <f t="shared" si="6"/>
        <v>64</v>
      </c>
      <c r="H232" s="111">
        <v>63925</v>
      </c>
      <c r="I232" s="111"/>
      <c r="J232" s="374"/>
    </row>
    <row r="233" spans="1:10" ht="11.25" customHeight="1">
      <c r="A233" s="272">
        <v>374400</v>
      </c>
      <c r="B233" s="267" t="s">
        <v>366</v>
      </c>
      <c r="F233" s="29">
        <f t="shared" si="6"/>
        <v>123</v>
      </c>
      <c r="H233" s="111">
        <v>123263</v>
      </c>
      <c r="I233" s="111"/>
      <c r="J233" s="374"/>
    </row>
    <row r="234" spans="1:10" ht="11.25" customHeight="1">
      <c r="A234" s="272">
        <v>375000</v>
      </c>
      <c r="B234" s="267" t="s">
        <v>368</v>
      </c>
      <c r="F234" s="29">
        <f t="shared" si="6"/>
        <v>557</v>
      </c>
      <c r="H234" s="111">
        <v>557491</v>
      </c>
      <c r="I234" s="111"/>
      <c r="J234" s="374"/>
    </row>
    <row r="235" spans="1:10" ht="11.25" customHeight="1">
      <c r="A235" s="272">
        <v>376000</v>
      </c>
      <c r="B235" s="273" t="s">
        <v>304</v>
      </c>
      <c r="F235" s="29">
        <f t="shared" si="6"/>
        <v>192797</v>
      </c>
      <c r="H235" s="111">
        <v>192796710</v>
      </c>
      <c r="I235" s="111"/>
      <c r="J235" s="376"/>
    </row>
    <row r="236" spans="1:10" ht="11.25" customHeight="1">
      <c r="A236" s="272">
        <v>378000</v>
      </c>
      <c r="B236" s="267" t="s">
        <v>377</v>
      </c>
      <c r="F236" s="29">
        <f t="shared" si="6"/>
        <v>3470</v>
      </c>
      <c r="H236" s="111">
        <v>3470244</v>
      </c>
      <c r="I236" s="111"/>
      <c r="J236" s="374"/>
    </row>
    <row r="237" spans="1:10" ht="11.25" customHeight="1">
      <c r="A237" s="272">
        <v>379000</v>
      </c>
      <c r="B237" s="267" t="s">
        <v>378</v>
      </c>
      <c r="F237" s="29">
        <f t="shared" si="6"/>
        <v>2318</v>
      </c>
      <c r="H237" s="111">
        <v>2318264</v>
      </c>
      <c r="I237" s="111"/>
      <c r="J237" s="374"/>
    </row>
    <row r="238" spans="1:10" ht="11.25" customHeight="1">
      <c r="A238" s="272">
        <v>380000</v>
      </c>
      <c r="B238" s="267" t="s">
        <v>305</v>
      </c>
      <c r="F238" s="29">
        <f t="shared" si="6"/>
        <v>136966</v>
      </c>
      <c r="H238" s="111">
        <v>136965858</v>
      </c>
      <c r="I238" s="111"/>
      <c r="J238" s="374"/>
    </row>
    <row r="239" spans="1:10" ht="11.25" customHeight="1">
      <c r="A239" s="272">
        <v>381000</v>
      </c>
      <c r="B239" s="267" t="s">
        <v>379</v>
      </c>
      <c r="F239" s="29">
        <f t="shared" si="6"/>
        <v>51608</v>
      </c>
      <c r="H239" s="111">
        <v>51607604</v>
      </c>
      <c r="I239" s="111"/>
      <c r="J239" s="374"/>
    </row>
    <row r="240" spans="1:10" ht="11.25" customHeight="1">
      <c r="A240" s="272">
        <v>382000</v>
      </c>
      <c r="B240" s="267" t="s">
        <v>380</v>
      </c>
      <c r="F240" s="29">
        <f t="shared" si="6"/>
        <v>0</v>
      </c>
      <c r="H240" s="111">
        <v>0</v>
      </c>
      <c r="I240" s="111"/>
      <c r="J240" s="374"/>
    </row>
    <row r="241" spans="1:10" ht="11.25" customHeight="1">
      <c r="A241" s="272">
        <v>383000</v>
      </c>
      <c r="B241" s="267" t="s">
        <v>381</v>
      </c>
      <c r="F241" s="29">
        <f t="shared" si="6"/>
        <v>0</v>
      </c>
      <c r="H241" s="111">
        <v>0</v>
      </c>
      <c r="I241" s="111"/>
      <c r="J241" s="374"/>
    </row>
    <row r="242" spans="1:10" ht="11.25" customHeight="1">
      <c r="A242" s="272">
        <v>384000</v>
      </c>
      <c r="B242" s="267" t="s">
        <v>382</v>
      </c>
      <c r="F242" s="29">
        <f t="shared" si="6"/>
        <v>0</v>
      </c>
      <c r="H242" s="111">
        <v>0</v>
      </c>
      <c r="I242" s="111"/>
      <c r="J242" s="374"/>
    </row>
    <row r="243" spans="1:10" ht="11.25" customHeight="1">
      <c r="A243" s="272">
        <v>385000</v>
      </c>
      <c r="B243" s="267" t="s">
        <v>383</v>
      </c>
      <c r="F243" s="29">
        <f t="shared" si="6"/>
        <v>2605</v>
      </c>
      <c r="H243" s="111">
        <v>2604708</v>
      </c>
      <c r="I243" s="111"/>
      <c r="J243" s="374"/>
    </row>
    <row r="244" spans="1:10" ht="11.25" customHeight="1">
      <c r="A244" s="272">
        <v>387000</v>
      </c>
      <c r="B244" s="267" t="s">
        <v>286</v>
      </c>
      <c r="F244" s="29">
        <f t="shared" si="6"/>
        <v>0</v>
      </c>
      <c r="H244" s="111">
        <v>0</v>
      </c>
      <c r="I244" s="111"/>
      <c r="J244" s="374"/>
    </row>
    <row r="245" spans="1:10" ht="11.25" customHeight="1">
      <c r="A245" s="272"/>
      <c r="B245" s="267" t="s">
        <v>384</v>
      </c>
      <c r="F245" s="29">
        <f t="shared" si="6"/>
        <v>390508</v>
      </c>
      <c r="H245" s="111">
        <v>390508067</v>
      </c>
      <c r="I245" s="111"/>
      <c r="J245" s="374"/>
    </row>
    <row r="246" spans="1:10" ht="11.25" customHeight="1">
      <c r="A246" s="272"/>
      <c r="B246" s="267"/>
      <c r="F246" s="29">
        <f t="shared" si="6"/>
        <v>0</v>
      </c>
      <c r="H246" s="111"/>
      <c r="I246" s="111"/>
      <c r="J246" s="374"/>
    </row>
    <row r="247" spans="1:10" ht="11.25" customHeight="1">
      <c r="A247" s="272"/>
      <c r="B247" s="267" t="s">
        <v>385</v>
      </c>
      <c r="F247" s="29">
        <f t="shared" si="6"/>
        <v>0</v>
      </c>
      <c r="H247" s="111"/>
      <c r="I247" s="111"/>
      <c r="J247" s="374"/>
    </row>
    <row r="248" spans="1:10" ht="11.25" customHeight="1">
      <c r="A248" s="272" t="s">
        <v>386</v>
      </c>
      <c r="B248" s="267" t="s">
        <v>366</v>
      </c>
      <c r="F248" s="29">
        <f t="shared" si="6"/>
        <v>2160</v>
      </c>
      <c r="H248" s="111">
        <v>2160362</v>
      </c>
      <c r="I248" s="111"/>
      <c r="J248" s="374"/>
    </row>
    <row r="249" spans="1:10" ht="11.25" customHeight="1">
      <c r="A249" s="270" t="s">
        <v>387</v>
      </c>
      <c r="B249" s="267" t="s">
        <v>368</v>
      </c>
      <c r="F249" s="29">
        <f t="shared" si="6"/>
        <v>19009</v>
      </c>
      <c r="H249" s="111">
        <v>19008592</v>
      </c>
      <c r="I249" s="111"/>
      <c r="J249" s="374"/>
    </row>
    <row r="250" spans="1:10" ht="11.25" customHeight="1">
      <c r="A250" s="270" t="s">
        <v>388</v>
      </c>
      <c r="B250" s="267" t="s">
        <v>389</v>
      </c>
      <c r="F250" s="29">
        <f t="shared" si="6"/>
        <v>8906</v>
      </c>
      <c r="H250" s="111">
        <v>8905991</v>
      </c>
      <c r="I250" s="111"/>
      <c r="J250" s="374"/>
    </row>
    <row r="251" spans="1:10" ht="11.25" customHeight="1">
      <c r="A251" s="270" t="s">
        <v>390</v>
      </c>
      <c r="B251" s="267" t="s">
        <v>391</v>
      </c>
      <c r="F251" s="29">
        <f t="shared" si="6"/>
        <v>9099</v>
      </c>
      <c r="H251" s="111">
        <v>9098889</v>
      </c>
      <c r="I251" s="111"/>
      <c r="J251" s="374"/>
    </row>
    <row r="252" spans="1:10" ht="11.25" customHeight="1">
      <c r="A252" s="272">
        <v>393000</v>
      </c>
      <c r="B252" s="267" t="s">
        <v>392</v>
      </c>
      <c r="F252" s="29">
        <f t="shared" si="6"/>
        <v>653</v>
      </c>
      <c r="H252" s="111">
        <v>653060</v>
      </c>
      <c r="I252" s="111"/>
      <c r="J252" s="374"/>
    </row>
    <row r="253" spans="1:10" ht="11.25" customHeight="1">
      <c r="A253" s="272">
        <v>394000</v>
      </c>
      <c r="B253" s="267" t="s">
        <v>393</v>
      </c>
      <c r="F253" s="29">
        <f t="shared" si="6"/>
        <v>5392</v>
      </c>
      <c r="H253" s="111">
        <v>5392411</v>
      </c>
      <c r="I253" s="111"/>
      <c r="J253" s="374"/>
    </row>
    <row r="254" spans="1:10" ht="11.25" customHeight="1">
      <c r="A254" s="272">
        <v>395000</v>
      </c>
      <c r="B254" s="267" t="s">
        <v>394</v>
      </c>
      <c r="F254" s="29">
        <f t="shared" si="6"/>
        <v>262</v>
      </c>
      <c r="H254" s="111">
        <v>261993</v>
      </c>
      <c r="I254" s="111"/>
      <c r="J254" s="374"/>
    </row>
    <row r="255" spans="1:10" ht="11.25" customHeight="1">
      <c r="A255" s="272" t="s">
        <v>395</v>
      </c>
      <c r="B255" s="267" t="s">
        <v>396</v>
      </c>
      <c r="F255" s="29">
        <f t="shared" si="6"/>
        <v>3691</v>
      </c>
      <c r="H255" s="111">
        <v>3691203</v>
      </c>
      <c r="I255" s="111"/>
      <c r="J255" s="374"/>
    </row>
    <row r="256" spans="1:10" ht="11.25" customHeight="1">
      <c r="A256" s="272" t="s">
        <v>397</v>
      </c>
      <c r="B256" s="267" t="s">
        <v>398</v>
      </c>
      <c r="F256" s="29">
        <f t="shared" si="6"/>
        <v>7671</v>
      </c>
      <c r="H256" s="111">
        <v>7671362</v>
      </c>
      <c r="I256" s="111"/>
      <c r="J256" s="374"/>
    </row>
    <row r="257" spans="1:10" ht="11.25" customHeight="1">
      <c r="A257" s="272">
        <v>398000</v>
      </c>
      <c r="B257" s="267" t="s">
        <v>399</v>
      </c>
      <c r="F257" s="29">
        <f t="shared" si="6"/>
        <v>60</v>
      </c>
      <c r="H257" s="111">
        <v>60195</v>
      </c>
      <c r="I257" s="111"/>
      <c r="J257" s="374"/>
    </row>
    <row r="258" spans="1:10" ht="11.25" customHeight="1">
      <c r="A258" s="272"/>
      <c r="B258" s="267" t="s">
        <v>400</v>
      </c>
      <c r="F258" s="29">
        <f t="shared" si="6"/>
        <v>56904</v>
      </c>
      <c r="H258" s="111">
        <v>56904058</v>
      </c>
      <c r="I258" s="111"/>
      <c r="J258" s="374"/>
    </row>
    <row r="259" spans="1:10" ht="11.25" customHeight="1">
      <c r="A259" s="272"/>
      <c r="B259" s="267"/>
      <c r="F259" s="29">
        <f t="shared" si="6"/>
        <v>0</v>
      </c>
      <c r="H259" s="111"/>
      <c r="I259" s="111"/>
      <c r="J259" s="374"/>
    </row>
    <row r="260" spans="1:10" ht="11.25" customHeight="1">
      <c r="A260" s="272"/>
      <c r="B260" s="267" t="s">
        <v>401</v>
      </c>
      <c r="F260" s="29">
        <f t="shared" si="6"/>
        <v>500000</v>
      </c>
      <c r="H260" s="111">
        <v>500000196</v>
      </c>
      <c r="I260" s="111"/>
      <c r="J260" s="374"/>
    </row>
    <row r="261" spans="1:10" ht="11.25" customHeight="1">
      <c r="A261" s="272"/>
      <c r="B261" s="267"/>
      <c r="F261" s="29">
        <f t="shared" si="6"/>
        <v>0</v>
      </c>
      <c r="H261" s="111"/>
      <c r="I261" s="111"/>
      <c r="J261" s="374"/>
    </row>
    <row r="262" spans="1:10" ht="11.25" customHeight="1">
      <c r="A262" s="272"/>
      <c r="B262" s="267"/>
      <c r="F262" s="29">
        <f t="shared" si="6"/>
        <v>0</v>
      </c>
      <c r="H262" s="111"/>
      <c r="I262" s="111"/>
      <c r="J262" s="374"/>
    </row>
    <row r="263" spans="1:10" ht="11.25" customHeight="1">
      <c r="A263" s="270"/>
      <c r="B263" s="267" t="s">
        <v>65</v>
      </c>
      <c r="F263" s="29">
        <f t="shared" si="6"/>
        <v>0</v>
      </c>
      <c r="H263" s="111"/>
      <c r="I263" s="111"/>
      <c r="J263" s="374"/>
    </row>
    <row r="264" spans="1:10" ht="11.25" customHeight="1">
      <c r="A264" s="270"/>
      <c r="B264" s="267" t="s">
        <v>43</v>
      </c>
      <c r="F264" s="29">
        <f t="shared" si="6"/>
        <v>-10148</v>
      </c>
      <c r="H264" s="111">
        <v>-10148063</v>
      </c>
      <c r="I264" s="111"/>
      <c r="J264" s="374"/>
    </row>
    <row r="265" spans="1:10" ht="11.25" customHeight="1">
      <c r="A265" s="270"/>
      <c r="B265" s="267" t="s">
        <v>62</v>
      </c>
      <c r="F265" s="29">
        <f t="shared" si="6"/>
        <v>-129098</v>
      </c>
      <c r="H265" s="111">
        <v>-129098113</v>
      </c>
      <c r="I265" s="111"/>
      <c r="J265" s="374"/>
    </row>
    <row r="266" spans="1:10" ht="11.25" customHeight="1">
      <c r="A266" s="270"/>
      <c r="B266" s="267" t="s">
        <v>63</v>
      </c>
      <c r="F266" s="29">
        <f t="shared" si="6"/>
        <v>-16999</v>
      </c>
      <c r="H266" s="111">
        <v>-16998620</v>
      </c>
      <c r="I266" s="111"/>
      <c r="J266" s="374"/>
    </row>
    <row r="267" spans="1:10" ht="11.25" customHeight="1">
      <c r="A267" s="266"/>
      <c r="B267" s="267" t="s">
        <v>402</v>
      </c>
      <c r="F267" s="29">
        <f t="shared" si="6"/>
        <v>-156245</v>
      </c>
      <c r="H267" s="111">
        <v>-156244796</v>
      </c>
      <c r="I267" s="111"/>
      <c r="J267" s="374"/>
    </row>
    <row r="268" spans="1:10" ht="11.25" customHeight="1">
      <c r="A268" s="266"/>
      <c r="B268" s="267"/>
      <c r="F268" s="29">
        <f t="shared" si="6"/>
        <v>0</v>
      </c>
      <c r="H268" s="111"/>
      <c r="I268" s="111"/>
      <c r="J268" s="374"/>
    </row>
    <row r="269" spans="1:10" ht="11.25" customHeight="1">
      <c r="A269" s="266"/>
      <c r="B269" s="267" t="s">
        <v>403</v>
      </c>
      <c r="F269" s="29">
        <f t="shared" si="6"/>
        <v>0</v>
      </c>
      <c r="H269" s="111"/>
      <c r="I269" s="111"/>
      <c r="J269" s="374"/>
    </row>
    <row r="270" spans="1:10" ht="11.25" customHeight="1">
      <c r="A270" s="270"/>
      <c r="B270" s="267" t="s">
        <v>404</v>
      </c>
      <c r="F270" s="29">
        <f t="shared" si="6"/>
        <v>-392</v>
      </c>
      <c r="H270" s="111">
        <v>-392384</v>
      </c>
      <c r="I270" s="111"/>
      <c r="J270" s="374"/>
    </row>
    <row r="271" spans="1:10" ht="11.25" customHeight="1">
      <c r="A271" s="270"/>
      <c r="B271" s="267" t="s">
        <v>405</v>
      </c>
      <c r="F271" s="29">
        <f t="shared" si="6"/>
        <v>-6044</v>
      </c>
      <c r="H271" s="111">
        <v>-6044460</v>
      </c>
      <c r="I271" s="111"/>
      <c r="J271" s="374"/>
    </row>
    <row r="272" spans="1:10" ht="11.25" customHeight="1">
      <c r="A272" s="270"/>
      <c r="B272" s="267" t="s">
        <v>43</v>
      </c>
      <c r="F272" s="29">
        <f t="shared" si="6"/>
        <v>-169</v>
      </c>
      <c r="H272" s="111">
        <v>-169413</v>
      </c>
      <c r="I272" s="111"/>
      <c r="J272" s="374"/>
    </row>
    <row r="273" spans="1:10" ht="11.25" customHeight="1">
      <c r="A273" s="270"/>
      <c r="B273" s="267" t="s">
        <v>406</v>
      </c>
      <c r="F273" s="29">
        <f t="shared" si="6"/>
        <v>-38</v>
      </c>
      <c r="H273" s="111">
        <v>-38118</v>
      </c>
      <c r="I273" s="111"/>
      <c r="J273" s="374"/>
    </row>
    <row r="274" spans="1:10" ht="11.25" customHeight="1">
      <c r="A274" s="270"/>
      <c r="B274" s="267" t="s">
        <v>407</v>
      </c>
      <c r="F274" s="29">
        <f t="shared" si="6"/>
        <v>-6644</v>
      </c>
      <c r="H274" s="111">
        <v>-6644375</v>
      </c>
      <c r="I274" s="111"/>
      <c r="J274" s="374"/>
    </row>
    <row r="275" spans="1:10" ht="11.25" customHeight="1">
      <c r="A275" s="270"/>
      <c r="B275" s="267"/>
      <c r="F275" s="29">
        <f t="shared" si="6"/>
        <v>0</v>
      </c>
      <c r="H275" s="111"/>
      <c r="I275" s="111"/>
      <c r="J275" s="374"/>
    </row>
    <row r="276" spans="1:10" ht="11.25" customHeight="1">
      <c r="A276" s="270"/>
      <c r="B276" s="267" t="s">
        <v>408</v>
      </c>
      <c r="F276" s="29">
        <f t="shared" si="6"/>
        <v>-162889</v>
      </c>
      <c r="H276" s="111">
        <v>-162889171</v>
      </c>
      <c r="I276" s="111"/>
      <c r="J276" s="374"/>
    </row>
    <row r="277" spans="1:10" ht="11.25" customHeight="1">
      <c r="A277" s="270"/>
      <c r="B277" s="267"/>
      <c r="F277" s="29">
        <f t="shared" si="6"/>
        <v>0</v>
      </c>
      <c r="H277" s="111"/>
      <c r="I277" s="111"/>
      <c r="J277" s="374"/>
    </row>
    <row r="278" spans="1:10" ht="11.25" customHeight="1">
      <c r="A278" s="266"/>
      <c r="B278" s="267" t="s">
        <v>409</v>
      </c>
      <c r="F278" s="29">
        <f t="shared" si="6"/>
        <v>337111</v>
      </c>
      <c r="H278" s="111">
        <v>337111025</v>
      </c>
      <c r="I278" s="111"/>
      <c r="J278" s="374"/>
    </row>
    <row r="279" spans="1:10" ht="11.25" customHeight="1">
      <c r="A279" s="266"/>
      <c r="B279" s="267"/>
      <c r="F279" s="29">
        <f t="shared" si="6"/>
        <v>0</v>
      </c>
      <c r="H279" s="111"/>
      <c r="I279" s="111"/>
      <c r="J279" s="374"/>
    </row>
    <row r="280" spans="1:10" ht="11.25" customHeight="1">
      <c r="A280" s="274"/>
      <c r="B280" s="275" t="s">
        <v>410</v>
      </c>
      <c r="F280" s="29">
        <f t="shared" si="6"/>
        <v>0</v>
      </c>
      <c r="H280" s="111"/>
      <c r="I280" s="111"/>
      <c r="J280" s="377"/>
    </row>
    <row r="281" spans="1:10" ht="11.25" customHeight="1">
      <c r="A281" s="276">
        <v>282900</v>
      </c>
      <c r="B281" s="275" t="s">
        <v>411</v>
      </c>
      <c r="F281" s="29">
        <f t="shared" si="6"/>
        <v>-63730</v>
      </c>
      <c r="H281" s="111">
        <v>-63729945</v>
      </c>
      <c r="I281" s="111"/>
      <c r="J281" s="377"/>
    </row>
    <row r="282" spans="1:10" ht="11.25" customHeight="1">
      <c r="A282" s="276">
        <v>282900</v>
      </c>
      <c r="B282" s="275" t="s">
        <v>412</v>
      </c>
      <c r="F282" s="29">
        <f t="shared" ref="F282" si="7">ROUND(H282/1000,0)</f>
        <v>-9325</v>
      </c>
      <c r="H282" s="111">
        <v>-9325397</v>
      </c>
      <c r="I282" s="111"/>
      <c r="J282" s="377"/>
    </row>
    <row r="283" spans="1:10" ht="11.25" customHeight="1">
      <c r="A283" s="276">
        <v>283750</v>
      </c>
      <c r="B283" s="275" t="s">
        <v>457</v>
      </c>
      <c r="F283" s="29">
        <f t="shared" si="6"/>
        <v>-217</v>
      </c>
      <c r="H283" s="111">
        <v>-217030</v>
      </c>
      <c r="I283" s="111"/>
      <c r="J283" s="377"/>
    </row>
    <row r="284" spans="1:10" ht="11.25" customHeight="1">
      <c r="A284" s="276">
        <v>283850</v>
      </c>
      <c r="B284" s="275" t="s">
        <v>413</v>
      </c>
      <c r="F284" s="29">
        <f t="shared" ref="F284:F302" si="8">ROUND(H284/1000,0)</f>
        <v>-584</v>
      </c>
      <c r="H284" s="111">
        <v>-583946</v>
      </c>
      <c r="I284" s="111"/>
      <c r="J284" s="377"/>
    </row>
    <row r="285" spans="1:10" ht="11.25" customHeight="1">
      <c r="A285" s="270"/>
      <c r="B285" s="267" t="s">
        <v>414</v>
      </c>
      <c r="F285" s="29">
        <f t="shared" si="8"/>
        <v>-73856</v>
      </c>
      <c r="H285" s="111">
        <v>-73856318</v>
      </c>
      <c r="I285" s="111"/>
      <c r="J285" s="374"/>
    </row>
    <row r="286" spans="1:10" ht="11.25" customHeight="1">
      <c r="A286" s="266"/>
      <c r="B286" s="267"/>
      <c r="F286" s="29">
        <f t="shared" si="8"/>
        <v>0</v>
      </c>
      <c r="H286" s="111"/>
      <c r="I286" s="111"/>
      <c r="J286" s="374"/>
    </row>
    <row r="287" spans="1:10" ht="11.25" customHeight="1">
      <c r="A287" s="266"/>
      <c r="B287" s="267" t="s">
        <v>415</v>
      </c>
      <c r="F287" s="29">
        <f t="shared" si="8"/>
        <v>263255</v>
      </c>
      <c r="H287" s="111">
        <v>263254707</v>
      </c>
      <c r="I287" s="111"/>
      <c r="J287" s="374"/>
    </row>
    <row r="289" spans="1:10" ht="11.25" customHeight="1">
      <c r="A289" s="277"/>
      <c r="B289" s="278" t="s">
        <v>416</v>
      </c>
      <c r="F289" s="29">
        <f t="shared" si="8"/>
        <v>0</v>
      </c>
      <c r="J289" s="374"/>
    </row>
    <row r="290" spans="1:10" ht="11.25" customHeight="1">
      <c r="A290" s="279">
        <v>253850</v>
      </c>
      <c r="B290" s="278" t="s">
        <v>417</v>
      </c>
      <c r="F290" s="29">
        <f t="shared" si="8"/>
        <v>0</v>
      </c>
      <c r="H290" s="111">
        <v>0</v>
      </c>
      <c r="I290" s="111"/>
      <c r="J290" s="374"/>
    </row>
    <row r="291" spans="1:10" ht="11.25" customHeight="1">
      <c r="A291" s="279">
        <v>190850</v>
      </c>
      <c r="B291" s="278" t="s">
        <v>418</v>
      </c>
      <c r="F291" s="29">
        <f t="shared" si="8"/>
        <v>0</v>
      </c>
      <c r="H291" s="111">
        <v>0</v>
      </c>
      <c r="I291" s="111"/>
      <c r="J291" s="374"/>
    </row>
    <row r="292" spans="1:10" ht="11.25" customHeight="1">
      <c r="A292" s="280">
        <v>117100</v>
      </c>
      <c r="B292" s="281" t="s">
        <v>419</v>
      </c>
      <c r="F292" s="29">
        <f t="shared" si="8"/>
        <v>4042</v>
      </c>
      <c r="H292" s="111">
        <v>4042119</v>
      </c>
      <c r="I292" s="111"/>
      <c r="J292" s="377"/>
    </row>
    <row r="293" spans="1:10" ht="11.25" customHeight="1">
      <c r="A293" s="280">
        <v>164100</v>
      </c>
      <c r="B293" s="281" t="s">
        <v>420</v>
      </c>
      <c r="F293" s="29">
        <f t="shared" si="8"/>
        <v>5074</v>
      </c>
      <c r="H293" s="111">
        <v>5074110</v>
      </c>
      <c r="I293" s="111"/>
      <c r="J293" s="377"/>
    </row>
    <row r="294" spans="1:10" ht="11.25" customHeight="1">
      <c r="A294" s="280">
        <v>252000</v>
      </c>
      <c r="B294" s="282" t="s">
        <v>421</v>
      </c>
      <c r="F294" s="29">
        <f t="shared" si="8"/>
        <v>-12</v>
      </c>
      <c r="H294" s="111">
        <v>-11831</v>
      </c>
      <c r="I294" s="111"/>
      <c r="J294" s="378"/>
    </row>
    <row r="295" spans="1:10" ht="11.25" customHeight="1">
      <c r="A295" s="280">
        <v>235199</v>
      </c>
      <c r="B295" s="282" t="s">
        <v>422</v>
      </c>
      <c r="F295" s="29">
        <f t="shared" si="8"/>
        <v>-472</v>
      </c>
      <c r="H295" s="111">
        <v>-471646</v>
      </c>
      <c r="I295" s="111"/>
      <c r="J295" s="378"/>
    </row>
    <row r="296" spans="1:10" ht="11.25" customHeight="1">
      <c r="A296" s="411">
        <v>182302</v>
      </c>
      <c r="B296" s="378" t="s">
        <v>515</v>
      </c>
      <c r="F296" s="29">
        <f t="shared" si="8"/>
        <v>361</v>
      </c>
      <c r="H296" s="111">
        <v>360805</v>
      </c>
      <c r="I296" s="111"/>
      <c r="J296" s="378"/>
    </row>
    <row r="297" spans="1:10" ht="11.25" customHeight="1">
      <c r="A297" s="411">
        <v>283302</v>
      </c>
      <c r="B297" s="378" t="s">
        <v>516</v>
      </c>
      <c r="F297" s="29">
        <f t="shared" si="8"/>
        <v>-126</v>
      </c>
      <c r="H297" s="111">
        <v>-126282</v>
      </c>
      <c r="I297" s="111"/>
      <c r="J297" s="378"/>
    </row>
    <row r="298" spans="1:10" ht="11.25" customHeight="1">
      <c r="A298" s="283"/>
      <c r="B298" s="284" t="s">
        <v>423</v>
      </c>
      <c r="F298" s="29">
        <f t="shared" si="8"/>
        <v>15664</v>
      </c>
      <c r="H298" s="111">
        <v>15664179</v>
      </c>
      <c r="I298" s="111"/>
      <c r="J298" s="378"/>
    </row>
    <row r="299" spans="1:10" ht="11.25" customHeight="1">
      <c r="A299" s="280">
        <v>186710</v>
      </c>
      <c r="B299" s="281" t="s">
        <v>424</v>
      </c>
      <c r="F299" s="29">
        <f t="shared" si="8"/>
        <v>0</v>
      </c>
      <c r="H299" s="111">
        <v>0</v>
      </c>
      <c r="I299" s="111"/>
      <c r="J299" s="377"/>
    </row>
    <row r="300" spans="1:10" ht="11.25" customHeight="1">
      <c r="A300" s="282"/>
      <c r="B300" s="278" t="s">
        <v>425</v>
      </c>
      <c r="F300" s="29">
        <f t="shared" si="8"/>
        <v>24531</v>
      </c>
      <c r="H300" s="111">
        <v>24531454</v>
      </c>
      <c r="I300" s="111"/>
      <c r="J300" s="374"/>
    </row>
    <row r="301" spans="1:10" ht="11.25" customHeight="1">
      <c r="A301" s="282"/>
      <c r="B301" s="278"/>
      <c r="F301" s="29">
        <f t="shared" si="8"/>
        <v>0</v>
      </c>
      <c r="H301" s="111"/>
      <c r="I301" s="111"/>
      <c r="J301" s="374"/>
    </row>
    <row r="302" spans="1:10" ht="11.25" customHeight="1">
      <c r="A302" s="282"/>
      <c r="B302" s="278" t="s">
        <v>426</v>
      </c>
      <c r="F302" s="29">
        <f t="shared" si="8"/>
        <v>287786</v>
      </c>
      <c r="H302" s="111">
        <v>287786161</v>
      </c>
      <c r="I302" s="111"/>
      <c r="J302" s="374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81" orientation="portrait" horizontalDpi="300" verticalDpi="300" r:id="rId3"/>
  <headerFooter alignWithMargins="0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84"/>
  <sheetViews>
    <sheetView view="pageBreakPreview" zoomScaleNormal="100" zoomScaleSheetLayoutView="100" workbookViewId="0">
      <selection activeCell="E83" sqref="E83"/>
    </sheetView>
  </sheetViews>
  <sheetFormatPr defaultColWidth="9.21875" defaultRowHeight="13.2"/>
  <cols>
    <col min="1" max="1" width="4.77734375" style="61" customWidth="1"/>
    <col min="2" max="3" width="1.77734375" style="59" customWidth="1"/>
    <col min="4" max="4" width="2.77734375" style="59" customWidth="1"/>
    <col min="5" max="5" width="28.21875" style="112" customWidth="1"/>
    <col min="6" max="6" width="16" style="112" customWidth="1"/>
    <col min="7" max="7" width="14.44140625" style="112" customWidth="1"/>
    <col min="8" max="8" width="15.21875" style="112" customWidth="1"/>
    <col min="9" max="9" width="15" style="112" customWidth="1"/>
    <col min="10" max="10" width="16.21875" style="112" customWidth="1"/>
    <col min="11" max="11" width="15.77734375" style="379" customWidth="1"/>
    <col min="12" max="13" width="9" style="379" customWidth="1"/>
    <col min="14" max="14" width="9.21875" style="379"/>
    <col min="15" max="15" width="9.77734375" style="379" bestFit="1" customWidth="1"/>
    <col min="16" max="17" width="9.21875" style="379"/>
    <col min="18" max="18" width="11.21875" style="379" bestFit="1" customWidth="1"/>
    <col min="19" max="31" width="9.21875" style="379"/>
    <col min="32" max="32" width="14.77734375" style="379" customWidth="1"/>
    <col min="33" max="33" width="13" style="379" customWidth="1"/>
    <col min="34" max="16384" width="9.21875" style="379"/>
  </cols>
  <sheetData>
    <row r="2" spans="1:44">
      <c r="A2" s="60" t="str">
        <f>'ROO INPUT'!A3:C3</f>
        <v>AVISTA UTILITIES</v>
      </c>
      <c r="D2" s="61"/>
      <c r="G2" s="408"/>
      <c r="H2" s="408"/>
    </row>
    <row r="3" spans="1:44" ht="17.399999999999999">
      <c r="A3" s="60" t="str">
        <f>'ADJ DETAIL INPUT'!A3</f>
        <v>WASHINGTON NATURAL GAS RESULTS</v>
      </c>
      <c r="D3" s="61"/>
      <c r="G3" s="98"/>
      <c r="H3" s="99"/>
      <c r="I3" s="99"/>
      <c r="J3" s="99"/>
      <c r="K3" s="383"/>
      <c r="L3" s="383"/>
      <c r="M3" s="383"/>
      <c r="N3" s="383"/>
      <c r="O3" s="383"/>
    </row>
    <row r="4" spans="1:44">
      <c r="A4" s="60" t="str">
        <f>'ROO INPUT'!A5:C5</f>
        <v>TWELVE MONTHS ENDED DECEMBER 31, 2016</v>
      </c>
      <c r="D4" s="61"/>
      <c r="G4" s="399"/>
      <c r="H4" s="399"/>
      <c r="I4" s="399"/>
      <c r="J4" s="399"/>
      <c r="K4" s="301"/>
    </row>
    <row r="5" spans="1:44" ht="13.8" thickBot="1">
      <c r="A5" s="60" t="str">
        <f>'ROO INPUT'!A6:C6</f>
        <v xml:space="preserve">(000'S OF DOLLARS)   </v>
      </c>
      <c r="D5" s="61"/>
      <c r="G5" s="99"/>
      <c r="H5" s="99"/>
      <c r="I5" s="99"/>
      <c r="J5" s="99"/>
      <c r="K5" s="383"/>
    </row>
    <row r="6" spans="1:44" ht="13.8">
      <c r="D6" s="61"/>
      <c r="F6" s="967" t="s">
        <v>503</v>
      </c>
      <c r="G6" s="968"/>
      <c r="H6" s="968"/>
      <c r="I6" s="968"/>
      <c r="J6" s="968"/>
      <c r="K6" s="969"/>
      <c r="AE6" s="383"/>
      <c r="AF6" s="302"/>
      <c r="AG6" s="30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</row>
    <row r="7" spans="1:44">
      <c r="A7" s="62"/>
      <c r="B7" s="62"/>
      <c r="C7" s="63"/>
      <c r="D7" s="63"/>
      <c r="E7" s="62"/>
      <c r="F7" s="64" t="s">
        <v>150</v>
      </c>
      <c r="G7" s="65"/>
      <c r="H7" s="66"/>
      <c r="I7" s="66"/>
      <c r="J7" s="66" t="s">
        <v>513</v>
      </c>
      <c r="K7" s="66"/>
      <c r="Q7" s="383"/>
      <c r="Z7" s="383"/>
      <c r="AA7" s="383"/>
      <c r="AE7" s="383"/>
      <c r="AF7" s="308"/>
      <c r="AG7" s="309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</row>
    <row r="8" spans="1:44">
      <c r="A8" s="67"/>
      <c r="B8" s="68"/>
      <c r="C8" s="69"/>
      <c r="D8" s="70"/>
      <c r="E8" s="71"/>
      <c r="F8" s="400" t="s">
        <v>493</v>
      </c>
      <c r="G8" s="400" t="s">
        <v>503</v>
      </c>
      <c r="H8" s="400" t="s">
        <v>503</v>
      </c>
      <c r="I8" s="38" t="s">
        <v>500</v>
      </c>
      <c r="J8" s="38" t="s">
        <v>514</v>
      </c>
      <c r="K8" s="403" t="s">
        <v>503</v>
      </c>
      <c r="AF8" s="304"/>
      <c r="AG8" s="305"/>
    </row>
    <row r="9" spans="1:44">
      <c r="A9" s="72" t="s">
        <v>7</v>
      </c>
      <c r="B9" s="73"/>
      <c r="C9" s="74"/>
      <c r="D9" s="75"/>
      <c r="E9" s="76"/>
      <c r="F9" s="39" t="s">
        <v>15</v>
      </c>
      <c r="G9" s="39" t="s">
        <v>498</v>
      </c>
      <c r="H9" s="39" t="s">
        <v>463</v>
      </c>
      <c r="I9" s="39" t="s">
        <v>153</v>
      </c>
      <c r="J9" s="39" t="s">
        <v>153</v>
      </c>
      <c r="K9" s="39" t="s">
        <v>152</v>
      </c>
      <c r="AF9" s="304"/>
      <c r="AG9" s="305"/>
    </row>
    <row r="10" spans="1:44">
      <c r="A10" s="77" t="s">
        <v>16</v>
      </c>
      <c r="B10" s="78"/>
      <c r="C10" s="79"/>
      <c r="D10" s="80"/>
      <c r="E10" s="81" t="s">
        <v>17</v>
      </c>
      <c r="F10" s="40" t="s">
        <v>502</v>
      </c>
      <c r="G10" s="40" t="s">
        <v>120</v>
      </c>
      <c r="H10" s="40" t="s">
        <v>26</v>
      </c>
      <c r="I10" s="40" t="s">
        <v>154</v>
      </c>
      <c r="J10" s="40" t="s">
        <v>154</v>
      </c>
      <c r="K10" s="40" t="s">
        <v>26</v>
      </c>
      <c r="AF10" s="304"/>
      <c r="AG10" s="305"/>
    </row>
    <row r="11" spans="1:44">
      <c r="A11" s="82"/>
      <c r="B11" s="82"/>
      <c r="C11" s="83"/>
      <c r="D11" s="83"/>
      <c r="E11" s="83" t="s">
        <v>27</v>
      </c>
      <c r="F11" s="41" t="s">
        <v>28</v>
      </c>
      <c r="G11" s="41" t="s">
        <v>29</v>
      </c>
      <c r="H11" s="41" t="s">
        <v>30</v>
      </c>
      <c r="I11" s="41" t="s">
        <v>31</v>
      </c>
      <c r="J11" s="41" t="s">
        <v>32</v>
      </c>
      <c r="K11" s="41" t="s">
        <v>499</v>
      </c>
      <c r="AF11" s="304"/>
      <c r="AG11" s="305"/>
    </row>
    <row r="12" spans="1:44" ht="3.75" customHeight="1">
      <c r="A12" s="82"/>
      <c r="B12" s="82"/>
      <c r="C12" s="83"/>
      <c r="D12" s="83"/>
      <c r="E12" s="83"/>
      <c r="F12" s="41"/>
      <c r="G12" s="41"/>
      <c r="H12" s="41"/>
      <c r="I12" s="41"/>
      <c r="J12" s="41"/>
      <c r="K12" s="41"/>
      <c r="AF12" s="304"/>
      <c r="AG12" s="305"/>
    </row>
    <row r="13" spans="1:44" ht="5.25" customHeight="1">
      <c r="A13" s="82"/>
      <c r="B13" s="82"/>
      <c r="C13" s="83"/>
      <c r="D13" s="83"/>
      <c r="E13" s="83"/>
      <c r="F13" s="41"/>
      <c r="G13" s="41"/>
      <c r="H13" s="41"/>
      <c r="I13" s="41"/>
      <c r="J13" s="41"/>
      <c r="K13" s="41"/>
      <c r="AF13" s="304"/>
      <c r="AG13" s="305"/>
    </row>
    <row r="14" spans="1:44">
      <c r="A14" s="115"/>
      <c r="B14" s="1" t="s">
        <v>33</v>
      </c>
      <c r="C14" s="1"/>
      <c r="D14" s="1"/>
      <c r="E14" s="1"/>
      <c r="F14" s="56"/>
      <c r="G14" s="56"/>
      <c r="K14" s="112"/>
      <c r="AF14" s="304"/>
      <c r="AG14" s="305"/>
    </row>
    <row r="15" spans="1:44">
      <c r="A15" s="115">
        <v>1</v>
      </c>
      <c r="B15" s="2"/>
      <c r="C15" s="2" t="s">
        <v>34</v>
      </c>
      <c r="D15" s="2"/>
      <c r="E15" s="2"/>
      <c r="F15" s="57">
        <f>'PROP0SED RATES-2018'!H15</f>
        <v>84299</v>
      </c>
      <c r="G15" s="57" t="e">
        <f>H15-F15</f>
        <v>#REF!</v>
      </c>
      <c r="H15" s="57" t="e">
        <f>'ADJ DETAIL INPUT'!#REF!</f>
        <v>#REF!</v>
      </c>
      <c r="I15" s="346">
        <f>CF!J12</f>
        <v>-4135</v>
      </c>
      <c r="J15" s="346">
        <f>CF!K12</f>
        <v>0</v>
      </c>
      <c r="K15" s="57" t="e">
        <f>H15+I15+J15</f>
        <v>#REF!</v>
      </c>
      <c r="AF15" s="304"/>
      <c r="AG15" s="305"/>
    </row>
    <row r="16" spans="1:44">
      <c r="A16" s="115">
        <v>2</v>
      </c>
      <c r="B16" s="1"/>
      <c r="C16" s="3" t="s">
        <v>35</v>
      </c>
      <c r="D16" s="3"/>
      <c r="E16" s="3"/>
      <c r="F16" s="248">
        <f>'PROP0SED RATES-2018'!H16</f>
        <v>4533</v>
      </c>
      <c r="G16" s="248" t="e">
        <f>H16-F16</f>
        <v>#REF!</v>
      </c>
      <c r="H16" s="57" t="e">
        <f>'ADJ DETAIL INPUT'!#REF!</f>
        <v>#REF!</v>
      </c>
      <c r="I16" s="248"/>
      <c r="J16" s="248"/>
      <c r="K16" s="88" t="e">
        <f>H16+I16+J16</f>
        <v>#REF!</v>
      </c>
      <c r="AF16" s="304"/>
      <c r="AG16" s="305"/>
    </row>
    <row r="17" spans="1:33">
      <c r="A17" s="115">
        <v>3</v>
      </c>
      <c r="B17" s="1"/>
      <c r="C17" s="3" t="s">
        <v>36</v>
      </c>
      <c r="D17" s="3"/>
      <c r="E17" s="3"/>
      <c r="F17" s="250">
        <f>'PROP0SED RATES-2018'!H17</f>
        <v>244</v>
      </c>
      <c r="G17" s="250" t="e">
        <f>H17-F17</f>
        <v>#REF!</v>
      </c>
      <c r="H17" s="368" t="e">
        <f>'ADJ DETAIL INPUT'!#REF!</f>
        <v>#REF!</v>
      </c>
      <c r="I17" s="250"/>
      <c r="J17" s="250"/>
      <c r="K17" s="401" t="e">
        <f>H17+I17+J17</f>
        <v>#REF!</v>
      </c>
      <c r="AF17" s="304"/>
      <c r="AG17" s="305"/>
    </row>
    <row r="18" spans="1:33">
      <c r="A18" s="115">
        <v>4</v>
      </c>
      <c r="B18" s="1" t="s">
        <v>37</v>
      </c>
      <c r="C18" s="3"/>
      <c r="D18" s="3"/>
      <c r="E18" s="3"/>
      <c r="F18" s="248">
        <f>SUM(F15:F17)</f>
        <v>89076</v>
      </c>
      <c r="G18" s="248" t="e">
        <f t="shared" ref="G18:K18" si="0">SUM(G15:G17)</f>
        <v>#REF!</v>
      </c>
      <c r="H18" s="248" t="e">
        <f t="shared" si="0"/>
        <v>#REF!</v>
      </c>
      <c r="I18" s="248">
        <f t="shared" si="0"/>
        <v>-4135</v>
      </c>
      <c r="J18" s="248">
        <f t="shared" ref="J18" si="1">SUM(J15:J17)</f>
        <v>0</v>
      </c>
      <c r="K18" s="248" t="e">
        <f t="shared" si="0"/>
        <v>#REF!</v>
      </c>
      <c r="AF18" s="304"/>
      <c r="AG18" s="305"/>
    </row>
    <row r="19" spans="1:33">
      <c r="A19" s="115"/>
      <c r="B19" s="1"/>
      <c r="C19" s="3"/>
      <c r="D19" s="3"/>
      <c r="E19" s="3"/>
      <c r="F19" s="248"/>
      <c r="G19" s="248"/>
      <c r="H19" s="248"/>
      <c r="I19" s="248"/>
      <c r="J19" s="248"/>
      <c r="K19" s="248"/>
      <c r="AF19" s="304"/>
      <c r="AG19" s="305"/>
    </row>
    <row r="20" spans="1:33">
      <c r="A20" s="115"/>
      <c r="B20" s="1" t="s">
        <v>38</v>
      </c>
      <c r="C20" s="3"/>
      <c r="D20" s="3"/>
      <c r="E20" s="3"/>
      <c r="F20" s="248"/>
      <c r="G20" s="248"/>
      <c r="H20" s="248"/>
      <c r="I20" s="248"/>
      <c r="J20" s="248"/>
      <c r="K20" s="248"/>
      <c r="AF20" s="304"/>
      <c r="AG20" s="305"/>
    </row>
    <row r="21" spans="1:33">
      <c r="A21" s="115"/>
      <c r="B21" s="1"/>
      <c r="C21" s="3" t="s">
        <v>254</v>
      </c>
      <c r="D21" s="3"/>
      <c r="E21" s="3"/>
      <c r="F21" s="248"/>
      <c r="G21" s="248"/>
      <c r="H21" s="248"/>
      <c r="I21" s="248"/>
      <c r="J21" s="248"/>
      <c r="K21" s="248"/>
      <c r="AF21" s="304"/>
      <c r="AG21" s="305"/>
    </row>
    <row r="22" spans="1:33">
      <c r="A22" s="115">
        <v>5</v>
      </c>
      <c r="B22" s="1"/>
      <c r="C22" s="3"/>
      <c r="D22" s="3" t="s">
        <v>39</v>
      </c>
      <c r="E22" s="3"/>
      <c r="F22" s="248">
        <f>'PROP0SED RATES-2018'!H22</f>
        <v>0</v>
      </c>
      <c r="G22" s="248" t="e">
        <f>H22-F22</f>
        <v>#REF!</v>
      </c>
      <c r="H22" s="249" t="e">
        <f>'ADJ DETAIL INPUT'!#REF!</f>
        <v>#REF!</v>
      </c>
      <c r="I22" s="248"/>
      <c r="J22" s="248"/>
      <c r="K22" s="88" t="e">
        <f t="shared" ref="K22:K24" si="2">H22+I22+J22</f>
        <v>#REF!</v>
      </c>
      <c r="AF22" s="304"/>
      <c r="AG22" s="305"/>
    </row>
    <row r="23" spans="1:33">
      <c r="A23" s="115">
        <v>6</v>
      </c>
      <c r="B23" s="1"/>
      <c r="C23" s="3"/>
      <c r="D23" s="3" t="s">
        <v>40</v>
      </c>
      <c r="E23" s="3"/>
      <c r="F23" s="248">
        <f>'PROP0SED RATES-2018'!H23</f>
        <v>1019</v>
      </c>
      <c r="G23" s="248" t="e">
        <f>H23-F23</f>
        <v>#REF!</v>
      </c>
      <c r="H23" s="249" t="e">
        <f>'ADJ DETAIL INPUT'!#REF!</f>
        <v>#REF!</v>
      </c>
      <c r="I23" s="248"/>
      <c r="J23" s="248"/>
      <c r="K23" s="88" t="e">
        <f t="shared" si="2"/>
        <v>#REF!</v>
      </c>
      <c r="AF23" s="304"/>
      <c r="AG23" s="305"/>
    </row>
    <row r="24" spans="1:33">
      <c r="A24" s="115">
        <v>7</v>
      </c>
      <c r="B24" s="1"/>
      <c r="C24" s="3"/>
      <c r="D24" s="3" t="s">
        <v>41</v>
      </c>
      <c r="E24" s="3"/>
      <c r="F24" s="250">
        <f>'PROP0SED RATES-2018'!H24</f>
        <v>0</v>
      </c>
      <c r="G24" s="250" t="e">
        <f>H24-F24</f>
        <v>#REF!</v>
      </c>
      <c r="H24" s="251" t="e">
        <f>'ADJ DETAIL INPUT'!#REF!</f>
        <v>#REF!</v>
      </c>
      <c r="I24" s="250"/>
      <c r="J24" s="250"/>
      <c r="K24" s="401" t="e">
        <f t="shared" si="2"/>
        <v>#REF!</v>
      </c>
      <c r="AF24" s="304"/>
      <c r="AG24" s="305"/>
    </row>
    <row r="25" spans="1:33">
      <c r="A25" s="115">
        <v>8</v>
      </c>
      <c r="B25" s="1"/>
      <c r="C25" s="3"/>
      <c r="D25" s="3"/>
      <c r="E25" s="3" t="s">
        <v>42</v>
      </c>
      <c r="F25" s="248">
        <f>'PROP0SED RATES-2018'!H25</f>
        <v>1019</v>
      </c>
      <c r="G25" s="248" t="e">
        <f t="shared" ref="G25:K25" si="3">SUM(G22:G24)</f>
        <v>#REF!</v>
      </c>
      <c r="H25" s="248" t="e">
        <f t="shared" si="3"/>
        <v>#REF!</v>
      </c>
      <c r="I25" s="248">
        <f t="shared" si="3"/>
        <v>0</v>
      </c>
      <c r="J25" s="248">
        <f t="shared" ref="J25" si="4">SUM(J22:J24)</f>
        <v>0</v>
      </c>
      <c r="K25" s="248" t="e">
        <f t="shared" si="3"/>
        <v>#REF!</v>
      </c>
      <c r="AF25" s="304"/>
      <c r="AG25" s="305"/>
    </row>
    <row r="26" spans="1:33">
      <c r="A26" s="115"/>
      <c r="B26" s="1"/>
      <c r="C26" s="3"/>
      <c r="D26" s="3"/>
      <c r="E26" s="3"/>
      <c r="F26" s="248"/>
      <c r="G26" s="248"/>
      <c r="H26" s="249"/>
      <c r="I26" s="248"/>
      <c r="J26" s="248"/>
      <c r="K26" s="248"/>
      <c r="AF26" s="304"/>
      <c r="AG26" s="305"/>
    </row>
    <row r="27" spans="1:33">
      <c r="A27" s="115"/>
      <c r="B27" s="1"/>
      <c r="C27" s="3" t="s">
        <v>43</v>
      </c>
      <c r="D27" s="3"/>
      <c r="E27" s="3"/>
      <c r="F27" s="248"/>
      <c r="G27" s="248"/>
      <c r="H27" s="248"/>
      <c r="I27" s="248"/>
      <c r="J27" s="248"/>
      <c r="K27" s="248"/>
      <c r="AF27" s="304"/>
      <c r="AG27" s="305"/>
    </row>
    <row r="28" spans="1:33">
      <c r="A28" s="115">
        <v>9</v>
      </c>
      <c r="B28" s="1"/>
      <c r="C28" s="3"/>
      <c r="D28" s="3" t="s">
        <v>44</v>
      </c>
      <c r="E28" s="3"/>
      <c r="F28" s="248">
        <f>'PROP0SED RATES-2018'!H28</f>
        <v>974</v>
      </c>
      <c r="G28" s="248" t="e">
        <f>H28-F28</f>
        <v>#REF!</v>
      </c>
      <c r="H28" s="249" t="e">
        <f>'ADJ DETAIL INPUT'!#REF!</f>
        <v>#REF!</v>
      </c>
      <c r="I28" s="248"/>
      <c r="J28" s="248"/>
      <c r="K28" s="88" t="e">
        <f t="shared" ref="K28:K30" si="5">H28+I28+J28</f>
        <v>#REF!</v>
      </c>
      <c r="AF28" s="304"/>
      <c r="AG28" s="305"/>
    </row>
    <row r="29" spans="1:33">
      <c r="A29" s="115">
        <v>10</v>
      </c>
      <c r="B29" s="1"/>
      <c r="C29" s="3"/>
      <c r="D29" s="3" t="s">
        <v>45</v>
      </c>
      <c r="E29" s="3"/>
      <c r="F29" s="248">
        <f>'PROP0SED RATES-2018'!H29</f>
        <v>492</v>
      </c>
      <c r="G29" s="248" t="e">
        <f>H29-F29</f>
        <v>#REF!</v>
      </c>
      <c r="H29" s="249" t="e">
        <f>'ADJ DETAIL INPUT'!#REF!</f>
        <v>#REF!</v>
      </c>
      <c r="I29" s="248"/>
      <c r="J29" s="248"/>
      <c r="K29" s="88" t="e">
        <f t="shared" si="5"/>
        <v>#REF!</v>
      </c>
      <c r="AF29" s="304"/>
      <c r="AG29" s="305"/>
    </row>
    <row r="30" spans="1:33">
      <c r="A30" s="286">
        <v>11</v>
      </c>
      <c r="B30" s="1"/>
      <c r="C30" s="3"/>
      <c r="D30" s="3" t="s">
        <v>21</v>
      </c>
      <c r="E30" s="3"/>
      <c r="F30" s="248">
        <f>'PROP0SED RATES-2018'!H30</f>
        <v>249</v>
      </c>
      <c r="G30" s="250" t="e">
        <f>H30-F30</f>
        <v>#REF!</v>
      </c>
      <c r="H30" s="251" t="e">
        <f>'ADJ DETAIL INPUT'!#REF!</f>
        <v>#REF!</v>
      </c>
      <c r="I30" s="250"/>
      <c r="J30" s="250"/>
      <c r="K30" s="401" t="e">
        <f t="shared" si="5"/>
        <v>#REF!</v>
      </c>
      <c r="AF30" s="304"/>
      <c r="AG30" s="305"/>
    </row>
    <row r="31" spans="1:33">
      <c r="A31" s="115">
        <v>12</v>
      </c>
      <c r="B31" s="1"/>
      <c r="C31" s="3"/>
      <c r="D31" s="3"/>
      <c r="E31" s="3" t="s">
        <v>46</v>
      </c>
      <c r="F31" s="248">
        <f t="shared" ref="F31:K31" si="6">SUM(F28:F30)</f>
        <v>1715</v>
      </c>
      <c r="G31" s="248" t="e">
        <f t="shared" si="6"/>
        <v>#REF!</v>
      </c>
      <c r="H31" s="248" t="e">
        <f t="shared" si="6"/>
        <v>#REF!</v>
      </c>
      <c r="I31" s="248">
        <f t="shared" si="6"/>
        <v>0</v>
      </c>
      <c r="J31" s="248">
        <f t="shared" si="6"/>
        <v>0</v>
      </c>
      <c r="K31" s="248" t="e">
        <f t="shared" si="6"/>
        <v>#REF!</v>
      </c>
      <c r="AF31" s="304"/>
      <c r="AG31" s="305"/>
    </row>
    <row r="32" spans="1:33">
      <c r="A32" s="115"/>
      <c r="B32" s="1"/>
      <c r="C32" s="3"/>
      <c r="D32" s="3"/>
      <c r="E32" s="3"/>
      <c r="F32" s="248"/>
      <c r="G32" s="248"/>
      <c r="H32" s="249"/>
      <c r="I32" s="248"/>
      <c r="J32" s="248"/>
      <c r="K32" s="248"/>
      <c r="AF32" s="304"/>
      <c r="AG32" s="305"/>
    </row>
    <row r="33" spans="1:33">
      <c r="A33" s="115"/>
      <c r="B33" s="1"/>
      <c r="C33" s="3" t="s">
        <v>47</v>
      </c>
      <c r="D33" s="3"/>
      <c r="E33" s="3"/>
      <c r="F33" s="248"/>
      <c r="G33" s="248"/>
      <c r="H33" s="248"/>
      <c r="I33" s="248"/>
      <c r="J33" s="248"/>
      <c r="K33" s="248"/>
      <c r="AF33" s="304"/>
      <c r="AG33" s="305"/>
    </row>
    <row r="34" spans="1:33">
      <c r="A34" s="115">
        <v>13</v>
      </c>
      <c r="B34" s="1"/>
      <c r="C34" s="3"/>
      <c r="D34" s="3" t="s">
        <v>44</v>
      </c>
      <c r="E34" s="3"/>
      <c r="F34" s="248">
        <f>'PROP0SED RATES-2018'!H34</f>
        <v>12693</v>
      </c>
      <c r="G34" s="248" t="e">
        <f>H34-F34</f>
        <v>#REF!</v>
      </c>
      <c r="H34" s="249" t="e">
        <f>'ADJ DETAIL INPUT'!#REF!</f>
        <v>#REF!</v>
      </c>
      <c r="I34" s="248"/>
      <c r="J34" s="248"/>
      <c r="K34" s="88" t="e">
        <f t="shared" ref="K34:K36" si="7">H34+I34+J34</f>
        <v>#REF!</v>
      </c>
      <c r="AF34" s="304"/>
      <c r="AG34" s="305"/>
    </row>
    <row r="35" spans="1:33">
      <c r="A35" s="115">
        <v>14</v>
      </c>
      <c r="B35" s="1"/>
      <c r="C35" s="3"/>
      <c r="D35" s="3" t="s">
        <v>45</v>
      </c>
      <c r="E35" s="3"/>
      <c r="F35" s="248">
        <f>'PROP0SED RATES-2018'!H35</f>
        <v>10063</v>
      </c>
      <c r="G35" s="248" t="e">
        <f>H35-F35</f>
        <v>#REF!</v>
      </c>
      <c r="H35" s="249" t="e">
        <f>'ADJ DETAIL INPUT'!#REF!</f>
        <v>#REF!</v>
      </c>
      <c r="I35" s="248"/>
      <c r="J35" s="248"/>
      <c r="K35" s="88" t="e">
        <f t="shared" si="7"/>
        <v>#REF!</v>
      </c>
      <c r="AF35" s="304"/>
      <c r="AG35" s="305"/>
    </row>
    <row r="36" spans="1:33">
      <c r="A36" s="115">
        <v>15</v>
      </c>
      <c r="B36" s="1"/>
      <c r="C36" s="3"/>
      <c r="D36" s="3" t="s">
        <v>21</v>
      </c>
      <c r="E36" s="3"/>
      <c r="F36" s="248">
        <f>'PROP0SED RATES-2018'!H36</f>
        <v>6107</v>
      </c>
      <c r="G36" s="250" t="e">
        <f>H36-F36</f>
        <v>#REF!</v>
      </c>
      <c r="H36" s="251" t="e">
        <f>'ADJ DETAIL INPUT'!#REF!</f>
        <v>#REF!</v>
      </c>
      <c r="I36" s="250">
        <f>CF!J19</f>
        <v>-158</v>
      </c>
      <c r="J36" s="250">
        <f>CF!K19</f>
        <v>0</v>
      </c>
      <c r="K36" s="401" t="e">
        <f t="shared" si="7"/>
        <v>#REF!</v>
      </c>
      <c r="AF36" s="304"/>
      <c r="AG36" s="305"/>
    </row>
    <row r="37" spans="1:33">
      <c r="A37" s="115">
        <v>16</v>
      </c>
      <c r="B37" s="1"/>
      <c r="C37" s="3"/>
      <c r="D37" s="3"/>
      <c r="E37" s="3" t="s">
        <v>48</v>
      </c>
      <c r="F37" s="248">
        <f>SUM(F34:F36)</f>
        <v>28863</v>
      </c>
      <c r="G37" s="248" t="e">
        <f t="shared" ref="G37:K37" si="8">SUM(G34:G36)</f>
        <v>#REF!</v>
      </c>
      <c r="H37" s="248" t="e">
        <f t="shared" si="8"/>
        <v>#REF!</v>
      </c>
      <c r="I37" s="248">
        <f t="shared" si="8"/>
        <v>-158</v>
      </c>
      <c r="J37" s="248">
        <f t="shared" ref="J37" si="9">SUM(J34:J36)</f>
        <v>0</v>
      </c>
      <c r="K37" s="248" t="e">
        <f t="shared" si="8"/>
        <v>#REF!</v>
      </c>
      <c r="AF37" s="304"/>
      <c r="AG37" s="305"/>
    </row>
    <row r="38" spans="1:33">
      <c r="A38" s="115"/>
      <c r="B38" s="1"/>
      <c r="C38" s="3"/>
      <c r="D38" s="3"/>
      <c r="E38" s="3"/>
      <c r="F38" s="248"/>
      <c r="G38" s="248"/>
      <c r="H38" s="248"/>
      <c r="I38" s="248"/>
      <c r="J38" s="248"/>
      <c r="K38" s="248"/>
      <c r="AF38" s="304"/>
      <c r="AG38" s="305"/>
    </row>
    <row r="39" spans="1:33">
      <c r="A39" s="115">
        <v>17</v>
      </c>
      <c r="B39" s="1" t="s">
        <v>49</v>
      </c>
      <c r="C39" s="3"/>
      <c r="D39" s="3"/>
      <c r="E39" s="3"/>
      <c r="F39" s="248">
        <f>'PROP0SED RATES-2018'!H39</f>
        <v>6779</v>
      </c>
      <c r="G39" s="248" t="e">
        <f>H39-F39</f>
        <v>#REF!</v>
      </c>
      <c r="H39" s="249" t="e">
        <f>'ADJ DETAIL INPUT'!#REF!</f>
        <v>#REF!</v>
      </c>
      <c r="I39" s="248">
        <f>CF!J15</f>
        <v>-26</v>
      </c>
      <c r="J39" s="248">
        <f>CF!K15</f>
        <v>0</v>
      </c>
      <c r="K39" s="88" t="e">
        <f t="shared" ref="K39:K41" si="10">H39+I39+J39</f>
        <v>#REF!</v>
      </c>
      <c r="AF39" s="304"/>
      <c r="AG39" s="305"/>
    </row>
    <row r="40" spans="1:33">
      <c r="A40" s="115">
        <v>18</v>
      </c>
      <c r="B40" s="1" t="s">
        <v>50</v>
      </c>
      <c r="C40" s="3"/>
      <c r="D40" s="3"/>
      <c r="E40" s="3"/>
      <c r="F40" s="248">
        <f>'PROP0SED RATES-2018'!H40</f>
        <v>977</v>
      </c>
      <c r="G40" s="248" t="e">
        <f>H40-F40</f>
        <v>#REF!</v>
      </c>
      <c r="H40" s="249" t="e">
        <f>'ADJ DETAIL INPUT'!#REF!</f>
        <v>#REF!</v>
      </c>
      <c r="I40" s="248"/>
      <c r="J40" s="248"/>
      <c r="K40" s="88" t="e">
        <f t="shared" si="10"/>
        <v>#REF!</v>
      </c>
      <c r="AF40" s="304"/>
      <c r="AG40" s="305"/>
    </row>
    <row r="41" spans="1:33">
      <c r="A41" s="115">
        <v>19</v>
      </c>
      <c r="B41" s="1" t="s">
        <v>51</v>
      </c>
      <c r="C41" s="3"/>
      <c r="D41" s="3"/>
      <c r="E41" s="3"/>
      <c r="F41" s="248">
        <f>'ADJ DETAIL INPUT'!E41</f>
        <v>0</v>
      </c>
      <c r="G41" s="248" t="e">
        <f>H41-F41</f>
        <v>#REF!</v>
      </c>
      <c r="H41" s="253" t="e">
        <f>'ADJ DETAIL INPUT'!#REF!</f>
        <v>#REF!</v>
      </c>
      <c r="I41" s="248"/>
      <c r="J41" s="248"/>
      <c r="K41" s="88" t="e">
        <f t="shared" si="10"/>
        <v>#REF!</v>
      </c>
      <c r="AF41" s="304"/>
      <c r="AG41" s="305"/>
    </row>
    <row r="42" spans="1:33">
      <c r="A42" s="115"/>
      <c r="B42" s="1"/>
      <c r="C42" s="3"/>
      <c r="D42" s="3"/>
      <c r="E42" s="3"/>
      <c r="F42" s="248"/>
      <c r="G42" s="248"/>
      <c r="H42" s="253"/>
      <c r="I42" s="248"/>
      <c r="J42" s="248"/>
      <c r="K42" s="248"/>
      <c r="AF42" s="304"/>
      <c r="AG42" s="305"/>
    </row>
    <row r="43" spans="1:33">
      <c r="A43" s="115"/>
      <c r="B43" s="1" t="s">
        <v>52</v>
      </c>
      <c r="C43" s="3"/>
      <c r="D43" s="3"/>
      <c r="E43" s="3"/>
      <c r="F43" s="248"/>
      <c r="G43" s="248"/>
      <c r="H43" s="248"/>
      <c r="I43" s="248"/>
      <c r="J43" s="248"/>
      <c r="K43" s="248"/>
      <c r="AF43" s="304"/>
      <c r="AG43" s="305"/>
    </row>
    <row r="44" spans="1:33">
      <c r="A44" s="115">
        <v>20</v>
      </c>
      <c r="B44" s="1"/>
      <c r="C44" s="3" t="s">
        <v>44</v>
      </c>
      <c r="D44" s="3"/>
      <c r="E44" s="3"/>
      <c r="F44" s="248">
        <f>'PROP0SED RATES-2018'!H44</f>
        <v>13624</v>
      </c>
      <c r="G44" s="248" t="e">
        <f>H44-F44</f>
        <v>#REF!</v>
      </c>
      <c r="H44" s="249" t="e">
        <f>'ADJ DETAIL INPUT'!#REF!</f>
        <v>#REF!</v>
      </c>
      <c r="I44" s="248">
        <f>CF!J17</f>
        <v>-8</v>
      </c>
      <c r="J44" s="248">
        <f>CF!K17</f>
        <v>0</v>
      </c>
      <c r="K44" s="88" t="e">
        <f t="shared" ref="K44:K47" si="11">H44+I44+J44</f>
        <v>#REF!</v>
      </c>
      <c r="AF44" s="304"/>
      <c r="AG44" s="305"/>
    </row>
    <row r="45" spans="1:33">
      <c r="A45" s="115">
        <v>21</v>
      </c>
      <c r="B45" s="1"/>
      <c r="C45" s="3" t="s">
        <v>214</v>
      </c>
      <c r="D45" s="3"/>
      <c r="E45" s="3"/>
      <c r="F45" s="248">
        <f>'PROP0SED RATES-2018'!H45</f>
        <v>6540</v>
      </c>
      <c r="G45" s="248" t="e">
        <f>H45-F45</f>
        <v>#REF!</v>
      </c>
      <c r="H45" s="249" t="e">
        <f>'ADJ DETAIL INPUT'!#REF!</f>
        <v>#REF!</v>
      </c>
      <c r="I45" s="248"/>
      <c r="J45" s="248"/>
      <c r="K45" s="88" t="e">
        <f t="shared" si="11"/>
        <v>#REF!</v>
      </c>
      <c r="AF45" s="304"/>
      <c r="AG45" s="305"/>
    </row>
    <row r="46" spans="1:33">
      <c r="A46" s="115">
        <v>22</v>
      </c>
      <c r="B46" s="1"/>
      <c r="C46" s="8" t="s">
        <v>428</v>
      </c>
      <c r="D46" s="3"/>
      <c r="E46" s="3"/>
      <c r="F46" s="248">
        <f>'PROP0SED RATES-2018'!H46</f>
        <v>584</v>
      </c>
      <c r="G46" s="248" t="e">
        <f>H46-F46</f>
        <v>#REF!</v>
      </c>
      <c r="H46" s="249" t="e">
        <f>'ADJ DETAIL INPUT'!#REF!</f>
        <v>#REF!</v>
      </c>
      <c r="I46" s="248"/>
      <c r="J46" s="248"/>
      <c r="K46" s="88" t="e">
        <f t="shared" si="11"/>
        <v>#REF!</v>
      </c>
      <c r="AF46" s="304"/>
      <c r="AG46" s="305"/>
    </row>
    <row r="47" spans="1:33">
      <c r="A47" s="115">
        <v>23</v>
      </c>
      <c r="B47" s="1"/>
      <c r="C47" s="3" t="s">
        <v>21</v>
      </c>
      <c r="D47" s="3"/>
      <c r="E47" s="3"/>
      <c r="F47" s="248">
        <f>'PROP0SED RATES-2018'!H47</f>
        <v>0</v>
      </c>
      <c r="G47" s="250" t="e">
        <f>H47-F47</f>
        <v>#REF!</v>
      </c>
      <c r="H47" s="251" t="e">
        <f>'ADJ DETAIL INPUT'!#REF!</f>
        <v>#REF!</v>
      </c>
      <c r="I47" s="250"/>
      <c r="J47" s="250"/>
      <c r="K47" s="88" t="e">
        <f t="shared" si="11"/>
        <v>#REF!</v>
      </c>
      <c r="AF47" s="304"/>
      <c r="AG47" s="305"/>
    </row>
    <row r="48" spans="1:33">
      <c r="A48" s="115">
        <v>24</v>
      </c>
      <c r="B48" s="1"/>
      <c r="C48" s="3"/>
      <c r="D48" s="3" t="s">
        <v>53</v>
      </c>
      <c r="E48" s="379"/>
      <c r="F48" s="254">
        <f>SUM(F44:F47)</f>
        <v>20748</v>
      </c>
      <c r="G48" s="254" t="e">
        <f t="shared" ref="G48:K48" si="12">SUM(G44:G47)</f>
        <v>#REF!</v>
      </c>
      <c r="H48" s="254" t="e">
        <f t="shared" si="12"/>
        <v>#REF!</v>
      </c>
      <c r="I48" s="254">
        <f t="shared" si="12"/>
        <v>-8</v>
      </c>
      <c r="J48" s="254">
        <f t="shared" ref="J48" si="13">SUM(J44:J47)</f>
        <v>0</v>
      </c>
      <c r="K48" s="254" t="e">
        <f t="shared" si="12"/>
        <v>#REF!</v>
      </c>
      <c r="AF48" s="304"/>
      <c r="AG48" s="305"/>
    </row>
    <row r="49" spans="1:33">
      <c r="A49" s="115">
        <v>25</v>
      </c>
      <c r="B49" s="1" t="s">
        <v>54</v>
      </c>
      <c r="C49" s="3"/>
      <c r="D49" s="3"/>
      <c r="E49" s="3"/>
      <c r="F49" s="250">
        <f t="shared" ref="F49:K49" si="14">F48+F37+F31+F25+F39+F40+F41</f>
        <v>60101</v>
      </c>
      <c r="G49" s="250" t="e">
        <f t="shared" si="14"/>
        <v>#REF!</v>
      </c>
      <c r="H49" s="250" t="e">
        <f t="shared" si="14"/>
        <v>#REF!</v>
      </c>
      <c r="I49" s="250">
        <f t="shared" si="14"/>
        <v>-192</v>
      </c>
      <c r="J49" s="250">
        <f t="shared" si="14"/>
        <v>0</v>
      </c>
      <c r="K49" s="250" t="e">
        <f t="shared" si="14"/>
        <v>#REF!</v>
      </c>
      <c r="AF49" s="304"/>
      <c r="AG49" s="305"/>
    </row>
    <row r="50" spans="1:33">
      <c r="A50" s="115"/>
      <c r="B50" s="1"/>
      <c r="C50" s="3"/>
      <c r="D50" s="3"/>
      <c r="E50" s="3"/>
      <c r="F50" s="248"/>
      <c r="G50" s="248"/>
      <c r="H50" s="248"/>
      <c r="I50" s="248"/>
      <c r="J50" s="248"/>
      <c r="K50" s="248"/>
      <c r="AF50" s="304"/>
      <c r="AG50" s="305"/>
    </row>
    <row r="51" spans="1:33">
      <c r="A51" s="115">
        <v>26</v>
      </c>
      <c r="B51" s="1" t="s">
        <v>55</v>
      </c>
      <c r="C51" s="3"/>
      <c r="D51" s="3"/>
      <c r="E51" s="3"/>
      <c r="F51" s="248">
        <f t="shared" ref="F51:K51" si="15">F18-F49</f>
        <v>28975</v>
      </c>
      <c r="G51" s="248" t="e">
        <f t="shared" si="15"/>
        <v>#REF!</v>
      </c>
      <c r="H51" s="248" t="e">
        <f t="shared" si="15"/>
        <v>#REF!</v>
      </c>
      <c r="I51" s="248">
        <f t="shared" si="15"/>
        <v>-3943</v>
      </c>
      <c r="J51" s="248">
        <f t="shared" si="15"/>
        <v>0</v>
      </c>
      <c r="K51" s="248" t="e">
        <f t="shared" si="15"/>
        <v>#REF!</v>
      </c>
      <c r="AF51" s="304"/>
      <c r="AG51" s="305"/>
    </row>
    <row r="52" spans="1:33">
      <c r="A52" s="115"/>
      <c r="B52" s="1"/>
      <c r="C52" s="3"/>
      <c r="D52" s="3"/>
      <c r="E52" s="3"/>
      <c r="F52" s="248"/>
      <c r="G52" s="248"/>
      <c r="H52" s="248"/>
      <c r="I52" s="248"/>
      <c r="J52" s="248"/>
      <c r="K52" s="248"/>
      <c r="AF52" s="304"/>
      <c r="AG52" s="305"/>
    </row>
    <row r="53" spans="1:33">
      <c r="A53" s="115"/>
      <c r="B53" s="1" t="s">
        <v>56</v>
      </c>
      <c r="C53" s="3"/>
      <c r="D53" s="3"/>
      <c r="E53" s="3"/>
      <c r="F53" s="248"/>
      <c r="G53" s="248"/>
      <c r="H53" s="248"/>
      <c r="I53" s="248"/>
      <c r="J53" s="248"/>
      <c r="K53" s="248"/>
      <c r="O53" s="343"/>
      <c r="AF53" s="304"/>
      <c r="AG53" s="305"/>
    </row>
    <row r="54" spans="1:33">
      <c r="A54" s="115">
        <v>27</v>
      </c>
      <c r="B54" s="1"/>
      <c r="C54" s="3" t="s">
        <v>57</v>
      </c>
      <c r="D54" s="3"/>
      <c r="E54" s="3"/>
      <c r="F54" s="248">
        <f>'PROP0SED RATES-2018'!H54</f>
        <v>-1289.8800000000003</v>
      </c>
      <c r="G54" s="248" t="e">
        <f>H54-F54</f>
        <v>#REF!</v>
      </c>
      <c r="H54" s="249" t="e">
        <f>'ADJ DETAIL INPUT'!#REF!</f>
        <v>#REF!</v>
      </c>
      <c r="I54" s="248">
        <f>CF!J25</f>
        <v>-1380</v>
      </c>
      <c r="J54" s="248">
        <f>CF!K25</f>
        <v>0</v>
      </c>
      <c r="K54" s="88" t="e">
        <f t="shared" ref="K54:K57" si="16">H54+I54+J54</f>
        <v>#REF!</v>
      </c>
      <c r="O54" s="90"/>
      <c r="R54" s="90"/>
      <c r="AF54" s="304"/>
      <c r="AG54" s="305"/>
    </row>
    <row r="55" spans="1:33">
      <c r="A55" s="115">
        <v>28</v>
      </c>
      <c r="B55" s="1"/>
      <c r="C55" s="151" t="s">
        <v>195</v>
      </c>
      <c r="D55" s="3"/>
      <c r="E55" s="3"/>
      <c r="F55" s="248">
        <f>'PROP0SED RATES-2018'!H55</f>
        <v>-116.16940864199998</v>
      </c>
      <c r="G55" s="248" t="e">
        <f>H55-F55</f>
        <v>#REF!</v>
      </c>
      <c r="H55" s="249" t="e">
        <f>'ADJ DETAIL INPUT'!#REF!</f>
        <v>#REF!</v>
      </c>
      <c r="I55" s="248">
        <f>CF!J26</f>
        <v>0</v>
      </c>
      <c r="J55" s="248">
        <f>CF!K26</f>
        <v>0</v>
      </c>
      <c r="K55" s="88" t="e">
        <f t="shared" si="16"/>
        <v>#REF!</v>
      </c>
      <c r="O55" s="343"/>
      <c r="AF55" s="304"/>
      <c r="AG55" s="305"/>
    </row>
    <row r="56" spans="1:33">
      <c r="A56" s="115">
        <v>29</v>
      </c>
      <c r="B56" s="1"/>
      <c r="C56" s="3" t="s">
        <v>58</v>
      </c>
      <c r="D56" s="3"/>
      <c r="E56" s="3"/>
      <c r="F56" s="248">
        <f>'PROP0SED RATES-2018'!H56</f>
        <v>5132.0333333333338</v>
      </c>
      <c r="G56" s="248" t="e">
        <f>H56-F56</f>
        <v>#REF!</v>
      </c>
      <c r="H56" s="249" t="e">
        <f>'ADJ DETAIL INPUT'!#REF!</f>
        <v>#REF!</v>
      </c>
      <c r="I56" s="248"/>
      <c r="J56" s="248"/>
      <c r="K56" s="88" t="e">
        <f t="shared" si="16"/>
        <v>#REF!</v>
      </c>
      <c r="AF56" s="304"/>
      <c r="AG56" s="305"/>
    </row>
    <row r="57" spans="1:33">
      <c r="A57" s="115">
        <v>30</v>
      </c>
      <c r="B57" s="1"/>
      <c r="C57" s="3" t="s">
        <v>59</v>
      </c>
      <c r="D57" s="3"/>
      <c r="E57" s="3"/>
      <c r="F57" s="250">
        <f>'PROP0SED RATES-2018'!H57</f>
        <v>-17</v>
      </c>
      <c r="G57" s="250" t="e">
        <f>H57-F57</f>
        <v>#REF!</v>
      </c>
      <c r="H57" s="251" t="e">
        <f>'ADJ DETAIL INPUT'!#REF!</f>
        <v>#REF!</v>
      </c>
      <c r="I57" s="250"/>
      <c r="J57" s="250"/>
      <c r="K57" s="401" t="e">
        <f t="shared" si="16"/>
        <v>#REF!</v>
      </c>
      <c r="O57" s="382"/>
      <c r="AF57" s="304"/>
      <c r="AG57" s="305"/>
    </row>
    <row r="58" spans="1:33">
      <c r="A58" s="115"/>
      <c r="B58" s="1"/>
      <c r="C58" s="1"/>
      <c r="D58" s="1"/>
      <c r="E58" s="1"/>
      <c r="F58" s="248"/>
      <c r="G58" s="248"/>
      <c r="H58" s="248"/>
      <c r="I58" s="255"/>
      <c r="J58" s="255"/>
      <c r="K58" s="248"/>
      <c r="AF58" s="304"/>
      <c r="AG58" s="305"/>
    </row>
    <row r="59" spans="1:33" ht="13.8" thickBot="1">
      <c r="A59" s="115">
        <v>31</v>
      </c>
      <c r="B59" s="2" t="s">
        <v>60</v>
      </c>
      <c r="C59" s="2"/>
      <c r="D59" s="2"/>
      <c r="E59" s="2"/>
      <c r="F59" s="256">
        <f t="shared" ref="F59:K59" si="17">F51-SUM(F54:F57)</f>
        <v>25266.016075308667</v>
      </c>
      <c r="G59" s="256" t="e">
        <f t="shared" si="17"/>
        <v>#REF!</v>
      </c>
      <c r="H59" s="256" t="e">
        <f t="shared" si="17"/>
        <v>#REF!</v>
      </c>
      <c r="I59" s="256">
        <f t="shared" si="17"/>
        <v>-2563</v>
      </c>
      <c r="J59" s="256">
        <f t="shared" si="17"/>
        <v>0</v>
      </c>
      <c r="K59" s="256" t="e">
        <f t="shared" si="17"/>
        <v>#REF!</v>
      </c>
      <c r="O59" s="100"/>
      <c r="AF59" s="304"/>
      <c r="AG59" s="305"/>
    </row>
    <row r="60" spans="1:33" ht="12.75" customHeight="1" thickTop="1">
      <c r="A60" s="115"/>
      <c r="B60" s="1"/>
      <c r="C60" s="1"/>
      <c r="D60" s="1"/>
      <c r="E60" s="1"/>
      <c r="F60" s="248"/>
      <c r="G60" s="248"/>
      <c r="H60" s="248"/>
      <c r="I60" s="248"/>
      <c r="J60" s="248"/>
      <c r="K60" s="248"/>
      <c r="AF60" s="304"/>
      <c r="AG60" s="305"/>
    </row>
    <row r="61" spans="1:33" hidden="1">
      <c r="A61" s="115"/>
      <c r="B61" s="1"/>
      <c r="C61" s="1"/>
      <c r="D61" s="1"/>
      <c r="E61" s="1"/>
      <c r="F61" s="248"/>
      <c r="G61" s="248"/>
      <c r="H61" s="248"/>
      <c r="I61" s="248"/>
      <c r="J61" s="248"/>
      <c r="K61" s="248"/>
      <c r="AF61" s="304"/>
      <c r="AG61" s="305"/>
    </row>
    <row r="62" spans="1:33">
      <c r="A62" s="115"/>
      <c r="B62" s="1" t="s">
        <v>61</v>
      </c>
      <c r="C62" s="1"/>
      <c r="D62" s="1"/>
      <c r="E62" s="1"/>
      <c r="F62" s="248"/>
      <c r="G62" s="248"/>
      <c r="H62" s="248"/>
      <c r="I62" s="248"/>
      <c r="J62" s="248"/>
      <c r="K62" s="248"/>
      <c r="AF62" s="304"/>
      <c r="AG62" s="305"/>
    </row>
    <row r="63" spans="1:33">
      <c r="A63" s="115">
        <v>32</v>
      </c>
      <c r="B63" s="3"/>
      <c r="C63" s="3" t="s">
        <v>43</v>
      </c>
      <c r="D63" s="3"/>
      <c r="E63" s="3"/>
      <c r="F63" s="402">
        <f>'PROP0SED RATES-2018'!H63</f>
        <v>27143</v>
      </c>
      <c r="G63" s="248" t="e">
        <f>H63-F63</f>
        <v>#REF!</v>
      </c>
      <c r="H63" s="249" t="e">
        <f>'ADJ DETAIL INPUT'!#REF!</f>
        <v>#REF!</v>
      </c>
      <c r="I63" s="248"/>
      <c r="J63" s="248"/>
      <c r="K63" s="57" t="e">
        <f>H63+I63+J63</f>
        <v>#REF!</v>
      </c>
      <c r="AF63" s="304"/>
      <c r="AG63" s="305"/>
    </row>
    <row r="64" spans="1:33">
      <c r="A64" s="115">
        <v>33</v>
      </c>
      <c r="B64" s="3"/>
      <c r="C64" s="3" t="s">
        <v>62</v>
      </c>
      <c r="D64" s="3"/>
      <c r="E64" s="3"/>
      <c r="F64" s="248">
        <f>'PROP0SED RATES-2018'!H64</f>
        <v>416918</v>
      </c>
      <c r="G64" s="248" t="e">
        <f>H64-F64</f>
        <v>#REF!</v>
      </c>
      <c r="H64" s="249" t="e">
        <f>'ADJ DETAIL INPUT'!#REF!</f>
        <v>#REF!</v>
      </c>
      <c r="I64" s="248"/>
      <c r="J64" s="248"/>
      <c r="K64" s="88" t="e">
        <f>H64+I64+J64</f>
        <v>#REF!</v>
      </c>
      <c r="AF64" s="304"/>
      <c r="AG64" s="305"/>
    </row>
    <row r="65" spans="1:33">
      <c r="A65" s="115">
        <v>34</v>
      </c>
      <c r="B65" s="3"/>
      <c r="C65" s="3" t="s">
        <v>63</v>
      </c>
      <c r="D65" s="3"/>
      <c r="E65" s="3"/>
      <c r="F65" s="250">
        <f>'PROP0SED RATES-2018'!H65</f>
        <v>88432</v>
      </c>
      <c r="G65" s="250" t="e">
        <f>H65-F65</f>
        <v>#REF!</v>
      </c>
      <c r="H65" s="251" t="e">
        <f>'ADJ DETAIL INPUT'!#REF!</f>
        <v>#REF!</v>
      </c>
      <c r="I65" s="250"/>
      <c r="J65" s="250"/>
      <c r="K65" s="401" t="e">
        <f>H65+I65+J65</f>
        <v>#REF!</v>
      </c>
      <c r="AF65" s="304"/>
      <c r="AG65" s="305"/>
    </row>
    <row r="66" spans="1:33">
      <c r="A66" s="115">
        <v>35</v>
      </c>
      <c r="B66" s="3"/>
      <c r="C66" s="3"/>
      <c r="D66" s="3"/>
      <c r="E66" s="3" t="s">
        <v>64</v>
      </c>
      <c r="F66" s="257">
        <f>SUM(F63:F65)</f>
        <v>532493</v>
      </c>
      <c r="G66" s="257" t="e">
        <f t="shared" ref="G66:K66" si="18">SUM(G63:G65)</f>
        <v>#REF!</v>
      </c>
      <c r="H66" s="257" t="e">
        <f t="shared" si="18"/>
        <v>#REF!</v>
      </c>
      <c r="I66" s="257">
        <f t="shared" si="18"/>
        <v>0</v>
      </c>
      <c r="J66" s="257">
        <f t="shared" ref="J66" si="19">SUM(J63:J65)</f>
        <v>0</v>
      </c>
      <c r="K66" s="257" t="e">
        <f t="shared" si="18"/>
        <v>#REF!</v>
      </c>
      <c r="AF66" s="304"/>
      <c r="AG66" s="305"/>
    </row>
    <row r="67" spans="1:33">
      <c r="A67" s="115"/>
      <c r="B67" s="3"/>
      <c r="C67" s="3"/>
      <c r="D67" s="3"/>
      <c r="E67" s="3"/>
      <c r="F67" s="257"/>
      <c r="G67" s="257"/>
      <c r="H67" s="257"/>
      <c r="I67" s="257"/>
      <c r="J67" s="257"/>
      <c r="K67" s="257"/>
      <c r="AF67" s="304"/>
      <c r="AG67" s="305"/>
    </row>
    <row r="68" spans="1:33">
      <c r="A68" s="115"/>
      <c r="B68" s="3" t="s">
        <v>433</v>
      </c>
      <c r="C68" s="3"/>
      <c r="D68" s="3"/>
      <c r="E68" s="3"/>
      <c r="F68" s="248"/>
      <c r="G68" s="248"/>
      <c r="H68" s="248"/>
      <c r="I68" s="248"/>
      <c r="J68" s="248"/>
      <c r="K68" s="248"/>
      <c r="AF68" s="304"/>
      <c r="AG68" s="305"/>
    </row>
    <row r="69" spans="1:33">
      <c r="A69" s="115">
        <v>36</v>
      </c>
      <c r="B69" s="3"/>
      <c r="C69" s="3" t="s">
        <v>43</v>
      </c>
      <c r="D69" s="3"/>
      <c r="E69" s="3"/>
      <c r="F69" s="248">
        <f>'PROP0SED RATES-2018'!H69</f>
        <v>-10472</v>
      </c>
      <c r="G69" s="248" t="e">
        <f t="shared" ref="G69:G79" si="20">H69-F69</f>
        <v>#REF!</v>
      </c>
      <c r="H69" s="249" t="e">
        <f>'ADJ DETAIL INPUT'!#REF!</f>
        <v>#REF!</v>
      </c>
      <c r="I69" s="248"/>
      <c r="J69" s="248"/>
      <c r="K69" s="88" t="e">
        <f t="shared" ref="K69:K71" si="21">H69+I69+J69</f>
        <v>#REF!</v>
      </c>
      <c r="AF69" s="304"/>
      <c r="AG69" s="305"/>
    </row>
    <row r="70" spans="1:33">
      <c r="A70" s="115">
        <v>37</v>
      </c>
      <c r="B70" s="3"/>
      <c r="C70" s="3" t="s">
        <v>62</v>
      </c>
      <c r="D70" s="3"/>
      <c r="E70" s="3"/>
      <c r="F70" s="248">
        <f>'PROP0SED RATES-2018'!H70</f>
        <v>-132896</v>
      </c>
      <c r="G70" s="248" t="e">
        <f t="shared" si="20"/>
        <v>#REF!</v>
      </c>
      <c r="H70" s="249" t="e">
        <f>'ADJ DETAIL INPUT'!#REF!</f>
        <v>#REF!</v>
      </c>
      <c r="I70" s="248"/>
      <c r="J70" s="248"/>
      <c r="K70" s="88" t="e">
        <f t="shared" si="21"/>
        <v>#REF!</v>
      </c>
      <c r="AF70" s="304"/>
      <c r="AG70" s="305"/>
    </row>
    <row r="71" spans="1:33">
      <c r="A71" s="115">
        <v>38</v>
      </c>
      <c r="B71" s="3"/>
      <c r="C71" s="3" t="s">
        <v>63</v>
      </c>
      <c r="D71" s="3"/>
      <c r="E71" s="3"/>
      <c r="F71" s="248">
        <f>'PROP0SED RATES-2018'!H71</f>
        <v>-25025</v>
      </c>
      <c r="G71" s="250" t="e">
        <f t="shared" si="20"/>
        <v>#REF!</v>
      </c>
      <c r="H71" s="251" t="e">
        <f>'ADJ DETAIL INPUT'!#REF!</f>
        <v>#REF!</v>
      </c>
      <c r="I71" s="250"/>
      <c r="J71" s="250"/>
      <c r="K71" s="88" t="e">
        <f t="shared" si="21"/>
        <v>#REF!</v>
      </c>
      <c r="AF71" s="304"/>
      <c r="AG71" s="305"/>
    </row>
    <row r="72" spans="1:33">
      <c r="A72" s="115">
        <v>39</v>
      </c>
      <c r="B72" s="3" t="s">
        <v>434</v>
      </c>
      <c r="C72" s="3"/>
      <c r="D72" s="3"/>
      <c r="E72" s="379"/>
      <c r="F72" s="254">
        <f>SUM(F69:F71)</f>
        <v>-168393</v>
      </c>
      <c r="G72" s="254" t="e">
        <f t="shared" ref="G72:K72" si="22">SUM(G69:G71)</f>
        <v>#REF!</v>
      </c>
      <c r="H72" s="254" t="e">
        <f t="shared" si="22"/>
        <v>#REF!</v>
      </c>
      <c r="I72" s="254">
        <f t="shared" si="22"/>
        <v>0</v>
      </c>
      <c r="J72" s="254">
        <f t="shared" ref="J72" si="23">SUM(J69:J71)</f>
        <v>0</v>
      </c>
      <c r="K72" s="254" t="e">
        <f t="shared" si="22"/>
        <v>#REF!</v>
      </c>
      <c r="AF72" s="304"/>
      <c r="AG72" s="305"/>
    </row>
    <row r="73" spans="1:33">
      <c r="A73" s="115">
        <v>40</v>
      </c>
      <c r="B73" s="151" t="s">
        <v>186</v>
      </c>
      <c r="C73" s="3"/>
      <c r="D73" s="3"/>
      <c r="E73" s="3"/>
      <c r="F73" s="257">
        <f>F66+F72</f>
        <v>364100</v>
      </c>
      <c r="G73" s="257" t="e">
        <f t="shared" ref="G73:K73" si="24">G66+G72</f>
        <v>#REF!</v>
      </c>
      <c r="H73" s="257" t="e">
        <f t="shared" si="24"/>
        <v>#REF!</v>
      </c>
      <c r="I73" s="257">
        <f t="shared" si="24"/>
        <v>0</v>
      </c>
      <c r="J73" s="257">
        <f t="shared" ref="J73" si="25">J66+J72</f>
        <v>0</v>
      </c>
      <c r="K73" s="257" t="e">
        <f t="shared" si="24"/>
        <v>#REF!</v>
      </c>
      <c r="AF73" s="304"/>
      <c r="AG73" s="305"/>
    </row>
    <row r="74" spans="1:33">
      <c r="A74" s="4">
        <v>41</v>
      </c>
      <c r="B74" s="5" t="s">
        <v>66</v>
      </c>
      <c r="C74" s="5"/>
      <c r="D74" s="5"/>
      <c r="E74" s="5"/>
      <c r="F74" s="250">
        <f>'PROP0SED RATES-2018'!H74</f>
        <v>-78287</v>
      </c>
      <c r="G74" s="250" t="e">
        <f t="shared" si="20"/>
        <v>#REF!</v>
      </c>
      <c r="H74" s="251" t="e">
        <f>'ADJ DETAIL INPUT'!#REF!</f>
        <v>#REF!</v>
      </c>
      <c r="I74" s="250"/>
      <c r="J74" s="250"/>
      <c r="K74" s="401" t="e">
        <f>H74+I74+J74</f>
        <v>#REF!</v>
      </c>
      <c r="AF74" s="304"/>
      <c r="AG74" s="305"/>
    </row>
    <row r="75" spans="1:33">
      <c r="A75" s="4">
        <v>42</v>
      </c>
      <c r="B75" s="5"/>
      <c r="C75" s="153" t="s">
        <v>217</v>
      </c>
      <c r="D75" s="5"/>
      <c r="E75" s="5"/>
      <c r="F75" s="248">
        <f>F73+F74</f>
        <v>285813</v>
      </c>
      <c r="G75" s="248" t="e">
        <f t="shared" ref="G75:K75" si="26">G73+G74</f>
        <v>#REF!</v>
      </c>
      <c r="H75" s="248" t="e">
        <f>H73+H74</f>
        <v>#REF!</v>
      </c>
      <c r="I75" s="248">
        <f t="shared" si="26"/>
        <v>0</v>
      </c>
      <c r="J75" s="248">
        <f t="shared" ref="J75" si="27">J73+J74</f>
        <v>0</v>
      </c>
      <c r="K75" s="248" t="e">
        <f t="shared" si="26"/>
        <v>#REF!</v>
      </c>
      <c r="AF75" s="304"/>
      <c r="AG75" s="305"/>
    </row>
    <row r="76" spans="1:33" ht="12" customHeight="1">
      <c r="A76" s="115">
        <v>43</v>
      </c>
      <c r="B76" s="296" t="s">
        <v>67</v>
      </c>
      <c r="C76" s="296"/>
      <c r="D76" s="296"/>
      <c r="E76" s="296"/>
      <c r="F76" s="248">
        <f>'PROP0SED RATES-2018'!H76</f>
        <v>9116</v>
      </c>
      <c r="G76" s="297" t="e">
        <f t="shared" si="20"/>
        <v>#REF!</v>
      </c>
      <c r="H76" s="298" t="e">
        <f>'ADJ DETAIL INPUT'!#REF!</f>
        <v>#REF!</v>
      </c>
      <c r="I76" s="297"/>
      <c r="J76" s="297"/>
      <c r="K76" s="88" t="e">
        <f t="shared" ref="K76:K79" si="28">H76+I76+J76</f>
        <v>#REF!</v>
      </c>
      <c r="AF76" s="304"/>
      <c r="AG76" s="305"/>
    </row>
    <row r="77" spans="1:33">
      <c r="A77" s="115">
        <v>44</v>
      </c>
      <c r="B77" s="296" t="s">
        <v>68</v>
      </c>
      <c r="C77" s="296"/>
      <c r="D77" s="296"/>
      <c r="E77" s="296"/>
      <c r="F77" s="248">
        <f>'PROP0SED RATES-2018'!H77</f>
        <v>0</v>
      </c>
      <c r="G77" s="297" t="e">
        <f>H77-F77</f>
        <v>#REF!</v>
      </c>
      <c r="H77" s="298" t="e">
        <f>'ADJ DETAIL INPUT'!#REF!</f>
        <v>#REF!</v>
      </c>
      <c r="I77" s="297"/>
      <c r="J77" s="297"/>
      <c r="K77" s="88" t="e">
        <f t="shared" si="28"/>
        <v>#REF!</v>
      </c>
      <c r="AF77" s="304"/>
      <c r="AG77" s="305"/>
    </row>
    <row r="78" spans="1:33">
      <c r="A78" s="115">
        <v>45</v>
      </c>
      <c r="B78" s="296" t="s">
        <v>435</v>
      </c>
      <c r="C78" s="296"/>
      <c r="D78" s="296"/>
      <c r="E78" s="296"/>
      <c r="F78" s="248">
        <f>'PROP0SED RATES-2018'!H78</f>
        <v>1225</v>
      </c>
      <c r="G78" s="297" t="e">
        <f t="shared" ref="G78" si="29">H78-F78</f>
        <v>#REF!</v>
      </c>
      <c r="H78" s="298" t="e">
        <f>'ADJ DETAIL INPUT'!#REF!</f>
        <v>#REF!</v>
      </c>
      <c r="I78" s="297"/>
      <c r="J78" s="297"/>
      <c r="K78" s="88" t="e">
        <f t="shared" si="28"/>
        <v>#REF!</v>
      </c>
      <c r="AF78" s="304"/>
      <c r="AG78" s="305"/>
    </row>
    <row r="79" spans="1:33">
      <c r="A79" s="115">
        <v>46</v>
      </c>
      <c r="B79" s="296" t="s">
        <v>190</v>
      </c>
      <c r="C79" s="296"/>
      <c r="D79" s="296"/>
      <c r="E79" s="296"/>
      <c r="F79" s="250">
        <f>'PROP0SED RATES-2018'!H79</f>
        <v>11482</v>
      </c>
      <c r="G79" s="252" t="e">
        <f t="shared" si="20"/>
        <v>#REF!</v>
      </c>
      <c r="H79" s="299" t="e">
        <f>'ADJ DETAIL INPUT'!#REF!</f>
        <v>#REF!</v>
      </c>
      <c r="I79" s="252"/>
      <c r="J79" s="252"/>
      <c r="K79" s="401" t="e">
        <f t="shared" si="28"/>
        <v>#REF!</v>
      </c>
      <c r="AF79" s="304"/>
      <c r="AG79" s="305"/>
    </row>
    <row r="80" spans="1:33">
      <c r="A80" s="115"/>
      <c r="B80" s="1"/>
      <c r="C80" s="1"/>
      <c r="D80" s="1"/>
      <c r="E80" s="1"/>
      <c r="F80" s="56"/>
      <c r="G80" s="56"/>
      <c r="H80" s="88"/>
      <c r="I80" s="56"/>
      <c r="J80" s="56"/>
      <c r="K80" s="56"/>
      <c r="AF80" s="304"/>
      <c r="AG80" s="305"/>
    </row>
    <row r="81" spans="1:37" ht="13.8" thickBot="1">
      <c r="A81" s="115">
        <v>47</v>
      </c>
      <c r="B81" s="2" t="s">
        <v>69</v>
      </c>
      <c r="C81" s="2"/>
      <c r="D81" s="2"/>
      <c r="E81" s="2"/>
      <c r="F81" s="87">
        <f>F79+F77+F76+F75+F78</f>
        <v>307636</v>
      </c>
      <c r="G81" s="87" t="e">
        <f>G79+G77+G76+G75</f>
        <v>#REF!</v>
      </c>
      <c r="H81" s="87" t="e">
        <f>H79+H77+H76+H75+H78</f>
        <v>#REF!</v>
      </c>
      <c r="I81" s="87">
        <f>I79+I77+I76+I75</f>
        <v>0</v>
      </c>
      <c r="J81" s="87">
        <f>J79+J77+J76+J75</f>
        <v>0</v>
      </c>
      <c r="K81" s="87" t="e">
        <f>K79+K77+K76+K75+K78</f>
        <v>#REF!</v>
      </c>
      <c r="AF81" s="304"/>
      <c r="AG81" s="305"/>
    </row>
    <row r="82" spans="1:37" ht="13.8" thickTop="1">
      <c r="A82" s="115">
        <v>48</v>
      </c>
      <c r="B82" s="1" t="s">
        <v>479</v>
      </c>
      <c r="C82" s="1"/>
      <c r="D82" s="1"/>
      <c r="E82" s="1"/>
      <c r="F82" s="330">
        <f>ROUND(F59/F81,4)</f>
        <v>8.2100000000000006E-2</v>
      </c>
      <c r="G82" s="84"/>
      <c r="H82" s="330" t="e">
        <f>ROUND(H59/H81,4)</f>
        <v>#REF!</v>
      </c>
      <c r="I82" s="6"/>
      <c r="J82" s="6"/>
      <c r="K82" s="330" t="e">
        <f>ROUND(K59/K81,4)</f>
        <v>#REF!</v>
      </c>
      <c r="AF82" s="304"/>
      <c r="AG82" s="305"/>
    </row>
    <row r="83" spans="1:37">
      <c r="A83" s="85"/>
      <c r="B83" s="1"/>
      <c r="C83" s="86"/>
      <c r="D83" s="86"/>
      <c r="E83" s="404"/>
      <c r="F83" s="342"/>
      <c r="G83" s="58"/>
      <c r="H83" s="58"/>
      <c r="I83" s="58"/>
      <c r="J83" s="58"/>
      <c r="K83" s="58"/>
      <c r="AF83" s="310"/>
      <c r="AG83" s="311"/>
    </row>
    <row r="84" spans="1:37" ht="13.8" thickBot="1">
      <c r="A84" s="85"/>
      <c r="B84" s="86"/>
      <c r="C84" s="86"/>
      <c r="D84" s="86"/>
      <c r="E84" s="58"/>
      <c r="F84" s="58"/>
      <c r="G84" s="58"/>
      <c r="H84" s="58"/>
      <c r="I84" s="58"/>
      <c r="J84" s="58"/>
      <c r="K84" s="58"/>
      <c r="AF84" s="306"/>
      <c r="AG84" s="307"/>
      <c r="AK84" s="379">
        <f>AK90</f>
        <v>0</v>
      </c>
    </row>
  </sheetData>
  <mergeCells count="1">
    <mergeCell ref="F6:K6"/>
  </mergeCells>
  <pageMargins left="0.75" right="0.5" top="0.72" bottom="0.84" header="0.5" footer="0.5"/>
  <pageSetup scale="68" orientation="portrait" r:id="rId1"/>
  <headerFooter scaleWithDoc="0" alignWithMargins="0">
    <oddHeader xml:space="preserve">&amp;RExhibit No. ___(JSS-3)
</oddHeader>
    <oddFooter>&amp;LStaff_DR_091-Supplemental 3 -Attachment G         (09.2015 PF/CC Study Update)&amp;RPage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121"/>
  <sheetViews>
    <sheetView topLeftCell="C1" zoomScaleNormal="100" zoomScaleSheetLayoutView="130" workbookViewId="0">
      <selection activeCell="F37" sqref="F37"/>
    </sheetView>
  </sheetViews>
  <sheetFormatPr defaultRowHeight="13.2"/>
  <cols>
    <col min="1" max="1" width="7.21875" style="35" customWidth="1"/>
    <col min="2" max="2" width="1.44140625" style="35" customWidth="1"/>
    <col min="3" max="3" width="43.77734375" style="35" customWidth="1"/>
    <col min="4" max="4" width="1.21875" style="35" customWidth="1"/>
    <col min="5" max="5" width="1.77734375" style="35" customWidth="1"/>
    <col min="6" max="6" width="14.44140625" style="35" customWidth="1"/>
    <col min="7" max="7" width="12.44140625" style="379" customWidth="1"/>
    <col min="8" max="8" width="13.21875" style="379" customWidth="1"/>
    <col min="9" max="9" width="3.44140625" style="383" customWidth="1"/>
    <col min="10" max="10" width="13.77734375" style="35" customWidth="1"/>
    <col min="11" max="11" width="7.77734375" style="35" customWidth="1"/>
    <col min="12" max="12" width="11.44140625" style="35" customWidth="1"/>
    <col min="13" max="13" width="14.21875" style="35" customWidth="1"/>
    <col min="14" max="14" width="14.77734375" style="35" customWidth="1"/>
    <col min="15" max="15" width="14.77734375" style="379" customWidth="1"/>
    <col min="16" max="16" width="14" style="35" customWidth="1"/>
    <col min="17" max="17" width="9.21875" customWidth="1"/>
  </cols>
  <sheetData>
    <row r="1" spans="1:35">
      <c r="A1" s="439"/>
      <c r="B1" s="439"/>
      <c r="C1" s="439"/>
      <c r="D1" s="439"/>
      <c r="E1" s="439"/>
      <c r="F1" s="439"/>
      <c r="G1" s="439"/>
      <c r="H1" s="439"/>
      <c r="I1" s="449"/>
      <c r="J1" s="439"/>
      <c r="K1" s="439"/>
      <c r="L1" s="439"/>
      <c r="M1" s="439"/>
      <c r="N1" s="439"/>
      <c r="O1" s="439"/>
      <c r="P1" s="439"/>
      <c r="Q1" s="559"/>
    </row>
    <row r="2" spans="1:35">
      <c r="A2" s="439"/>
      <c r="B2" s="439"/>
      <c r="C2" s="439"/>
      <c r="D2" s="439"/>
      <c r="E2" s="439"/>
      <c r="F2" s="439"/>
      <c r="G2" s="439"/>
      <c r="H2" s="439"/>
      <c r="I2" s="449"/>
      <c r="J2" s="439"/>
      <c r="K2" s="439"/>
      <c r="L2" s="439"/>
      <c r="M2" s="439"/>
      <c r="N2" s="439"/>
      <c r="O2" s="439"/>
      <c r="P2" s="439"/>
      <c r="Q2" s="559"/>
    </row>
    <row r="3" spans="1:35">
      <c r="A3" s="439"/>
      <c r="B3" s="439"/>
      <c r="C3" s="439"/>
      <c r="D3" s="439"/>
      <c r="E3" s="439"/>
      <c r="F3" s="439"/>
      <c r="G3" s="439"/>
      <c r="H3" s="439"/>
      <c r="I3" s="449"/>
      <c r="J3" s="439"/>
      <c r="K3" s="439"/>
      <c r="L3" s="439"/>
      <c r="M3" s="439"/>
      <c r="N3" s="439"/>
      <c r="O3" s="439"/>
      <c r="P3" s="439"/>
      <c r="Q3" s="559"/>
    </row>
    <row r="4" spans="1:35">
      <c r="A4" s="439"/>
      <c r="B4" s="439"/>
      <c r="C4" s="439"/>
      <c r="D4" s="439"/>
      <c r="E4" s="439"/>
      <c r="F4" s="439"/>
      <c r="G4" s="439"/>
      <c r="H4" s="439"/>
      <c r="I4" s="449"/>
      <c r="J4" s="439"/>
      <c r="K4" s="439"/>
      <c r="L4" s="439"/>
      <c r="M4" s="439"/>
      <c r="N4" s="439"/>
      <c r="O4" s="439"/>
      <c r="P4" s="439"/>
      <c r="Q4" s="559"/>
    </row>
    <row r="5" spans="1:35">
      <c r="A5" s="439"/>
      <c r="B5" s="439"/>
      <c r="C5" s="439"/>
      <c r="D5" s="439"/>
      <c r="E5" s="439"/>
      <c r="F5" s="439"/>
      <c r="G5" s="439"/>
      <c r="H5" s="439"/>
      <c r="I5" s="449"/>
      <c r="J5" s="439"/>
      <c r="K5" s="439"/>
      <c r="L5" s="439"/>
      <c r="M5" s="439"/>
      <c r="N5" s="439"/>
      <c r="O5" s="439"/>
      <c r="P5" s="439"/>
      <c r="Q5" s="559"/>
    </row>
    <row r="6" spans="1:35">
      <c r="A6" s="439"/>
      <c r="B6" s="439"/>
      <c r="C6" s="439"/>
      <c r="D6" s="439"/>
      <c r="E6" s="439"/>
      <c r="F6" s="439"/>
      <c r="G6" s="439"/>
      <c r="H6" s="439"/>
      <c r="I6" s="449"/>
      <c r="J6" s="439"/>
      <c r="K6" s="439"/>
      <c r="L6" s="439"/>
      <c r="M6" s="439"/>
      <c r="N6" s="439"/>
      <c r="O6" s="439"/>
      <c r="P6" s="439"/>
      <c r="Q6" s="559"/>
    </row>
    <row r="7" spans="1:35" ht="11.1" customHeight="1">
      <c r="A7" s="439"/>
      <c r="B7" s="439"/>
      <c r="C7" s="439"/>
      <c r="D7" s="439"/>
      <c r="E7" s="439"/>
      <c r="F7" s="439"/>
      <c r="G7" s="439"/>
      <c r="H7" s="439"/>
      <c r="I7" s="449"/>
      <c r="J7" s="439"/>
      <c r="K7" s="439"/>
      <c r="L7" s="439"/>
      <c r="M7" s="439"/>
      <c r="N7" s="439"/>
      <c r="O7" s="439"/>
      <c r="P7" s="439"/>
      <c r="Q7" s="559"/>
    </row>
    <row r="8" spans="1:35">
      <c r="A8" s="439"/>
      <c r="B8" s="439"/>
      <c r="C8" s="439"/>
      <c r="D8" s="439"/>
      <c r="E8" s="439"/>
      <c r="F8" s="439"/>
      <c r="G8" s="439"/>
      <c r="H8" s="439"/>
      <c r="I8" s="449"/>
      <c r="J8" s="439"/>
      <c r="K8" s="439"/>
      <c r="L8" s="439"/>
      <c r="M8" s="439"/>
      <c r="N8" s="439"/>
      <c r="O8" s="439"/>
      <c r="P8" s="439"/>
      <c r="Q8" s="559"/>
    </row>
    <row r="9" spans="1:35" ht="15.6">
      <c r="A9" s="935" t="s">
        <v>115</v>
      </c>
      <c r="B9" s="935"/>
      <c r="C9" s="935"/>
      <c r="D9" s="935"/>
      <c r="E9" s="935"/>
      <c r="F9" s="935"/>
      <c r="G9" s="935"/>
      <c r="H9" s="531"/>
      <c r="I9" s="779"/>
      <c r="J9" s="935" t="s">
        <v>115</v>
      </c>
      <c r="K9" s="935"/>
      <c r="L9" s="935"/>
      <c r="M9" s="935"/>
      <c r="N9" s="935"/>
      <c r="O9" s="456"/>
      <c r="P9" s="560"/>
      <c r="Q9" s="439"/>
    </row>
    <row r="10" spans="1:35" ht="15.6">
      <c r="A10" s="935" t="s">
        <v>561</v>
      </c>
      <c r="B10" s="935"/>
      <c r="C10" s="935"/>
      <c r="D10" s="935"/>
      <c r="E10" s="935"/>
      <c r="F10" s="935"/>
      <c r="G10" s="935"/>
      <c r="H10" s="531"/>
      <c r="I10" s="563"/>
      <c r="J10" s="935" t="s">
        <v>465</v>
      </c>
      <c r="K10" s="935"/>
      <c r="L10" s="935"/>
      <c r="M10" s="935"/>
      <c r="N10" s="935"/>
      <c r="O10" s="532"/>
      <c r="P10" s="532"/>
      <c r="Q10" s="439"/>
    </row>
    <row r="11" spans="1:35" ht="15.6">
      <c r="A11" s="935" t="s">
        <v>542</v>
      </c>
      <c r="B11" s="935"/>
      <c r="C11" s="935"/>
      <c r="D11" s="935"/>
      <c r="E11" s="935"/>
      <c r="F11" s="935"/>
      <c r="G11" s="935"/>
      <c r="H11" s="545"/>
      <c r="I11" s="779"/>
      <c r="J11" s="935" t="s">
        <v>464</v>
      </c>
      <c r="K11" s="935"/>
      <c r="L11" s="935"/>
      <c r="M11" s="935"/>
      <c r="N11" s="935"/>
      <c r="O11" s="561"/>
      <c r="P11" s="561"/>
      <c r="Q11" s="439"/>
    </row>
    <row r="12" spans="1:35" ht="15.6">
      <c r="A12" s="943" t="str">
        <f>'PROP0SED RATES-2018'!A4</f>
        <v>TWELVE MONTHS ENDED DECEMBER 31, 2016</v>
      </c>
      <c r="B12" s="943"/>
      <c r="C12" s="943"/>
      <c r="D12" s="943"/>
      <c r="E12" s="943"/>
      <c r="F12" s="943"/>
      <c r="G12" s="943"/>
      <c r="H12" s="777"/>
      <c r="I12" s="563"/>
      <c r="J12" s="942"/>
      <c r="K12" s="942"/>
      <c r="L12" s="942"/>
      <c r="M12" s="942"/>
      <c r="N12" s="942"/>
      <c r="O12" s="561"/>
      <c r="P12" s="562"/>
      <c r="Q12" s="559"/>
    </row>
    <row r="13" spans="1:35" ht="16.2" thickBot="1">
      <c r="A13" s="935"/>
      <c r="B13" s="935"/>
      <c r="C13" s="935"/>
      <c r="D13" s="935"/>
      <c r="E13" s="935"/>
      <c r="F13" s="935"/>
      <c r="G13" s="778"/>
      <c r="H13" s="778"/>
      <c r="I13" s="563"/>
      <c r="J13" s="563"/>
      <c r="K13" s="563"/>
      <c r="L13" s="563"/>
      <c r="M13" s="563"/>
      <c r="N13" s="563"/>
      <c r="O13" s="563"/>
      <c r="P13" s="563"/>
      <c r="Q13" s="559"/>
      <c r="S13" s="92"/>
      <c r="T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</row>
    <row r="14" spans="1:35" ht="15.6">
      <c r="A14" s="523"/>
      <c r="B14" s="523"/>
      <c r="C14" s="564"/>
      <c r="D14" s="564"/>
      <c r="E14" s="523"/>
      <c r="F14" s="523"/>
      <c r="G14" s="523"/>
      <c r="H14" s="565"/>
      <c r="I14" s="563"/>
      <c r="J14" s="566" t="s">
        <v>545</v>
      </c>
      <c r="K14" s="567"/>
      <c r="L14" s="567"/>
      <c r="M14" s="567"/>
      <c r="N14" s="568"/>
      <c r="O14" s="569"/>
      <c r="P14" s="569"/>
      <c r="Q14" s="559"/>
    </row>
    <row r="15" spans="1:35" ht="15.6">
      <c r="A15" s="523"/>
      <c r="B15" s="523"/>
      <c r="C15" s="523"/>
      <c r="D15" s="523"/>
      <c r="E15" s="523"/>
      <c r="F15" s="523"/>
      <c r="G15" s="523"/>
      <c r="H15" s="570" t="s">
        <v>538</v>
      </c>
      <c r="I15" s="571"/>
      <c r="J15" s="572"/>
      <c r="K15" s="573"/>
      <c r="L15" s="574"/>
      <c r="M15" s="575"/>
      <c r="N15" s="576"/>
      <c r="O15" s="577"/>
      <c r="P15" s="578"/>
      <c r="Q15" s="559"/>
    </row>
    <row r="16" spans="1:35" ht="15.75" customHeight="1">
      <c r="A16" s="579" t="s">
        <v>138</v>
      </c>
      <c r="B16" s="545"/>
      <c r="C16" s="936" t="s">
        <v>73</v>
      </c>
      <c r="D16" s="937"/>
      <c r="E16" s="536"/>
      <c r="F16" s="523"/>
      <c r="G16" s="523"/>
      <c r="H16" s="940" t="s">
        <v>501</v>
      </c>
      <c r="I16" s="571"/>
      <c r="J16" s="580"/>
      <c r="K16" s="577"/>
      <c r="L16" s="577" t="s">
        <v>139</v>
      </c>
      <c r="M16" s="577"/>
      <c r="N16" s="576" t="s">
        <v>140</v>
      </c>
      <c r="O16" s="577"/>
      <c r="P16" s="578"/>
      <c r="Q16" s="559"/>
    </row>
    <row r="17" spans="1:17" ht="15.6">
      <c r="A17" s="581" t="s">
        <v>16</v>
      </c>
      <c r="B17" s="545"/>
      <c r="C17" s="938"/>
      <c r="D17" s="939"/>
      <c r="E17" s="536"/>
      <c r="F17" s="523"/>
      <c r="G17" s="523"/>
      <c r="H17" s="941"/>
      <c r="I17" s="571"/>
      <c r="J17" s="582" t="s">
        <v>141</v>
      </c>
      <c r="K17" s="577"/>
      <c r="L17" s="583" t="s">
        <v>142</v>
      </c>
      <c r="M17" s="583" t="s">
        <v>143</v>
      </c>
      <c r="N17" s="584" t="s">
        <v>143</v>
      </c>
      <c r="O17" s="577"/>
      <c r="P17" s="578"/>
      <c r="Q17" s="559"/>
    </row>
    <row r="18" spans="1:17" ht="15.6">
      <c r="A18" s="523"/>
      <c r="B18" s="523"/>
      <c r="C18" s="523"/>
      <c r="D18" s="523"/>
      <c r="E18" s="585"/>
      <c r="F18" s="523"/>
      <c r="G18" s="523"/>
      <c r="H18" s="523"/>
      <c r="I18" s="571"/>
      <c r="J18" s="580"/>
      <c r="K18" s="577"/>
      <c r="L18" s="577"/>
      <c r="M18" s="577"/>
      <c r="N18" s="576"/>
      <c r="O18" s="573"/>
      <c r="P18" s="578"/>
      <c r="Q18" s="559"/>
    </row>
    <row r="19" spans="1:17" ht="15.6">
      <c r="A19" s="542">
        <v>1</v>
      </c>
      <c r="B19" s="523"/>
      <c r="C19" s="523" t="s">
        <v>156</v>
      </c>
      <c r="D19" s="523"/>
      <c r="E19" s="523"/>
      <c r="F19" s="523"/>
      <c r="G19" s="523"/>
      <c r="H19" s="586">
        <f>'ADJ DETAIL INPUT'!AS82</f>
        <v>307636</v>
      </c>
      <c r="I19" s="571"/>
      <c r="J19" s="783" t="s">
        <v>565</v>
      </c>
      <c r="K19" s="577"/>
      <c r="L19" s="784">
        <v>2.9000000000000001E-2</v>
      </c>
      <c r="M19" s="784">
        <v>3.2599999999999997E-2</v>
      </c>
      <c r="N19" s="785">
        <f>+L19*M19</f>
        <v>9.4539999999999999E-4</v>
      </c>
      <c r="O19" s="453"/>
      <c r="P19" s="578"/>
      <c r="Q19" s="587"/>
    </row>
    <row r="20" spans="1:17" ht="15.6">
      <c r="A20" s="542"/>
      <c r="B20" s="523"/>
      <c r="C20" s="523"/>
      <c r="D20" s="523"/>
      <c r="E20" s="523"/>
      <c r="F20" s="523"/>
      <c r="G20" s="523"/>
      <c r="H20" s="588"/>
      <c r="I20" s="571"/>
      <c r="J20" s="782" t="s">
        <v>566</v>
      </c>
      <c r="K20" s="573"/>
      <c r="L20" s="792">
        <v>0.48599999999999999</v>
      </c>
      <c r="M20" s="784">
        <v>5.5399999999999998E-2</v>
      </c>
      <c r="N20" s="793">
        <f>+L20*M20</f>
        <v>2.6924399999999998E-2</v>
      </c>
      <c r="O20" s="591"/>
      <c r="P20" s="592"/>
      <c r="Q20" s="559"/>
    </row>
    <row r="21" spans="1:17" ht="15.6">
      <c r="A21" s="542">
        <v>2</v>
      </c>
      <c r="B21" s="523"/>
      <c r="C21" s="523" t="s">
        <v>144</v>
      </c>
      <c r="D21" s="523"/>
      <c r="E21" s="523"/>
      <c r="F21" s="523"/>
      <c r="G21" s="523"/>
      <c r="H21" s="593">
        <f>N26</f>
        <v>7.2004799999999994E-2</v>
      </c>
      <c r="I21" s="571"/>
      <c r="J21" s="589"/>
      <c r="K21" s="569"/>
      <c r="L21" s="784"/>
      <c r="M21" s="784"/>
      <c r="N21" s="785"/>
      <c r="O21" s="591"/>
      <c r="P21" s="594"/>
      <c r="Q21" s="559"/>
    </row>
    <row r="22" spans="1:17" ht="15.6">
      <c r="A22" s="542"/>
      <c r="B22" s="523"/>
      <c r="C22" s="523"/>
      <c r="D22" s="523"/>
      <c r="E22" s="523"/>
      <c r="F22" s="523"/>
      <c r="G22" s="523"/>
      <c r="H22" s="595"/>
      <c r="I22" s="571"/>
      <c r="J22" s="589" t="s">
        <v>447</v>
      </c>
      <c r="K22" s="590"/>
      <c r="L22" s="786">
        <f>100%-L24</f>
        <v>0.51500000000000001</v>
      </c>
      <c r="M22" s="786"/>
      <c r="N22" s="787">
        <f>+N19+N20</f>
        <v>2.7869799999999997E-2</v>
      </c>
      <c r="O22" s="591"/>
      <c r="P22" s="578"/>
      <c r="Q22" s="587"/>
    </row>
    <row r="23" spans="1:17" ht="15.6">
      <c r="A23" s="542">
        <v>3</v>
      </c>
      <c r="B23" s="523"/>
      <c r="C23" s="523" t="s">
        <v>145</v>
      </c>
      <c r="D23" s="523"/>
      <c r="E23" s="523"/>
      <c r="F23" s="523"/>
      <c r="G23" s="523"/>
      <c r="H23" s="588">
        <f>ROUND(H19*H21,0)</f>
        <v>22151</v>
      </c>
      <c r="I23" s="571"/>
      <c r="J23" s="589"/>
      <c r="K23" s="590"/>
      <c r="L23" s="786"/>
      <c r="M23" s="786"/>
      <c r="N23" s="787"/>
      <c r="O23" s="453"/>
      <c r="P23" s="578"/>
      <c r="Q23" s="559"/>
    </row>
    <row r="24" spans="1:17" ht="15.6">
      <c r="A24" s="542"/>
      <c r="B24" s="523"/>
      <c r="C24" s="523"/>
      <c r="D24" s="523"/>
      <c r="E24" s="523"/>
      <c r="F24" s="523"/>
      <c r="G24" s="523"/>
      <c r="H24" s="588"/>
      <c r="I24" s="571"/>
      <c r="J24" s="589" t="s">
        <v>180</v>
      </c>
      <c r="K24" s="590"/>
      <c r="L24" s="786">
        <v>0.48499999999999999</v>
      </c>
      <c r="M24" s="786">
        <v>9.0999999999999998E-2</v>
      </c>
      <c r="N24" s="794">
        <f>L24*M24</f>
        <v>4.4135000000000001E-2</v>
      </c>
      <c r="O24" s="594"/>
      <c r="P24" s="578"/>
      <c r="Q24" s="559"/>
    </row>
    <row r="25" spans="1:17" ht="15.6">
      <c r="A25" s="542">
        <v>4</v>
      </c>
      <c r="B25" s="523"/>
      <c r="C25" s="523" t="s">
        <v>146</v>
      </c>
      <c r="D25" s="523"/>
      <c r="E25" s="523"/>
      <c r="F25" s="523"/>
      <c r="G25" s="523"/>
      <c r="H25" s="596">
        <f>+'ADJ DETAIL INPUT'!AS59</f>
        <v>25266.016075308667</v>
      </c>
      <c r="I25" s="571"/>
      <c r="J25" s="589"/>
      <c r="K25" s="569"/>
      <c r="L25" s="788"/>
      <c r="M25" s="788"/>
      <c r="N25" s="789"/>
      <c r="O25" s="569"/>
      <c r="P25" s="578"/>
      <c r="Q25" s="559"/>
    </row>
    <row r="26" spans="1:17" ht="16.2" thickBot="1">
      <c r="A26" s="542"/>
      <c r="B26" s="523"/>
      <c r="C26" s="523"/>
      <c r="D26" s="523"/>
      <c r="E26" s="523"/>
      <c r="F26" s="523"/>
      <c r="G26" s="523"/>
      <c r="H26" s="523"/>
      <c r="I26" s="571"/>
      <c r="J26" s="589" t="s">
        <v>26</v>
      </c>
      <c r="K26" s="590"/>
      <c r="L26" s="790">
        <f>SUM(L22:L24)</f>
        <v>1</v>
      </c>
      <c r="M26" s="784"/>
      <c r="N26" s="791">
        <f>SUM(N22:N24)</f>
        <v>7.2004799999999994E-2</v>
      </c>
      <c r="O26" s="453"/>
      <c r="P26" s="600"/>
      <c r="Q26" s="559"/>
    </row>
    <row r="27" spans="1:17" ht="16.8" thickTop="1" thickBot="1">
      <c r="A27" s="542">
        <v>5</v>
      </c>
      <c r="B27" s="523"/>
      <c r="C27" s="523" t="s">
        <v>147</v>
      </c>
      <c r="D27" s="523"/>
      <c r="E27" s="523"/>
      <c r="F27" s="523"/>
      <c r="G27" s="523"/>
      <c r="H27" s="588">
        <f>H23-H25</f>
        <v>-3115.0160753086675</v>
      </c>
      <c r="I27" s="571"/>
      <c r="J27" s="597"/>
      <c r="K27" s="598"/>
      <c r="L27" s="598"/>
      <c r="M27" s="598"/>
      <c r="N27" s="599"/>
      <c r="O27" s="453"/>
      <c r="P27" s="453"/>
      <c r="Q27" s="559"/>
    </row>
    <row r="28" spans="1:17" ht="15.6">
      <c r="A28" s="542"/>
      <c r="B28" s="523"/>
      <c r="C28" s="523"/>
      <c r="D28" s="523"/>
      <c r="E28" s="523"/>
      <c r="F28" s="523"/>
      <c r="G28" s="523"/>
      <c r="H28" s="523"/>
      <c r="I28" s="571"/>
      <c r="K28" s="563"/>
      <c r="L28" s="563"/>
      <c r="M28" s="563"/>
      <c r="N28" s="563"/>
      <c r="O28" s="569"/>
      <c r="P28" s="569"/>
      <c r="Q28" s="559"/>
    </row>
    <row r="29" spans="1:17" ht="15.6">
      <c r="A29" s="542">
        <v>6</v>
      </c>
      <c r="B29" s="523"/>
      <c r="C29" s="523" t="s">
        <v>148</v>
      </c>
      <c r="D29" s="523"/>
      <c r="E29" s="523"/>
      <c r="F29" s="523"/>
      <c r="G29" s="523"/>
      <c r="H29" s="537">
        <f>+CF!F27</f>
        <v>0.75329299999999999</v>
      </c>
      <c r="I29" s="571"/>
      <c r="J29" s="780" t="s">
        <v>537</v>
      </c>
      <c r="K29" s="569"/>
      <c r="L29" s="569"/>
      <c r="M29" s="569"/>
      <c r="N29" s="569"/>
      <c r="O29" s="577"/>
      <c r="P29" s="578"/>
      <c r="Q29" s="587"/>
    </row>
    <row r="30" spans="1:17" ht="16.2" thickBot="1">
      <c r="A30" s="542"/>
      <c r="B30" s="523"/>
      <c r="C30" s="523"/>
      <c r="D30" s="523"/>
      <c r="E30" s="523"/>
      <c r="F30" s="523"/>
      <c r="G30" s="523"/>
      <c r="H30" s="523"/>
      <c r="I30" s="601"/>
      <c r="J30" s="569"/>
      <c r="K30" s="569"/>
      <c r="L30" s="569"/>
      <c r="M30" s="569"/>
      <c r="N30" s="569"/>
      <c r="O30" s="577"/>
      <c r="P30" s="578"/>
      <c r="Q30" s="587"/>
    </row>
    <row r="31" spans="1:17" ht="16.2" thickBot="1">
      <c r="A31" s="542">
        <v>7</v>
      </c>
      <c r="B31" s="523"/>
      <c r="C31" s="523" t="s">
        <v>475</v>
      </c>
      <c r="D31" s="523"/>
      <c r="E31" s="602"/>
      <c r="F31" s="523"/>
      <c r="G31" s="523"/>
      <c r="H31" s="603">
        <f>ROUND(H27/H29,0)</f>
        <v>-4135</v>
      </c>
      <c r="I31" s="601"/>
      <c r="J31" s="573"/>
      <c r="K31" s="573"/>
      <c r="L31" s="574"/>
      <c r="M31" s="575"/>
      <c r="N31" s="577"/>
      <c r="O31" s="577"/>
      <c r="P31" s="578"/>
      <c r="Q31" s="587"/>
    </row>
    <row r="32" spans="1:17" ht="15.6">
      <c r="A32" s="523"/>
      <c r="B32" s="523"/>
      <c r="C32" s="523"/>
      <c r="D32" s="523"/>
      <c r="E32" s="602"/>
      <c r="F32" s="523"/>
      <c r="G32" s="523"/>
      <c r="H32" s="523"/>
      <c r="I32" s="601"/>
      <c r="J32" s="439"/>
      <c r="K32" s="439"/>
      <c r="L32" s="577"/>
      <c r="M32" s="577"/>
      <c r="N32" s="577"/>
      <c r="O32" s="573"/>
      <c r="P32" s="578"/>
      <c r="Q32" s="587"/>
    </row>
    <row r="33" spans="1:28" ht="15.6">
      <c r="A33" s="542">
        <v>8</v>
      </c>
      <c r="B33" s="523"/>
      <c r="C33" s="523" t="s">
        <v>494</v>
      </c>
      <c r="D33" s="523"/>
      <c r="E33" s="523"/>
      <c r="F33" s="523"/>
      <c r="G33" s="523"/>
      <c r="H33" s="605">
        <v>88831</v>
      </c>
      <c r="I33" s="601"/>
      <c r="J33" s="439"/>
      <c r="K33" s="439"/>
      <c r="L33" s="439"/>
      <c r="M33" s="439"/>
      <c r="N33" s="577"/>
      <c r="O33" s="451"/>
      <c r="P33" s="578"/>
      <c r="Q33" s="587"/>
    </row>
    <row r="34" spans="1:28" ht="15.6">
      <c r="A34" s="523"/>
      <c r="B34" s="523"/>
      <c r="C34" s="523"/>
      <c r="D34" s="523"/>
      <c r="E34" s="523"/>
      <c r="F34" s="523"/>
      <c r="G34" s="523"/>
      <c r="H34" s="523"/>
      <c r="I34" s="601"/>
      <c r="J34" s="604"/>
      <c r="K34" s="604"/>
      <c r="L34" s="451"/>
      <c r="M34" s="439"/>
      <c r="N34" s="573"/>
      <c r="O34" s="591"/>
      <c r="P34" s="592"/>
      <c r="Q34" s="587"/>
    </row>
    <row r="35" spans="1:28" ht="16.2" thickBot="1">
      <c r="A35" s="542">
        <v>9</v>
      </c>
      <c r="B35" s="523"/>
      <c r="C35" s="523" t="s">
        <v>497</v>
      </c>
      <c r="D35" s="523"/>
      <c r="E35" s="523"/>
      <c r="F35" s="523"/>
      <c r="G35" s="523"/>
      <c r="H35" s="606">
        <f>ROUND(H31/H33,4)</f>
        <v>-4.65E-2</v>
      </c>
      <c r="I35" s="449"/>
      <c r="J35" s="604"/>
      <c r="K35" s="604"/>
      <c r="L35" s="451"/>
      <c r="M35" s="439"/>
      <c r="N35" s="451"/>
      <c r="O35" s="591"/>
      <c r="P35" s="594"/>
      <c r="Q35" s="587"/>
    </row>
    <row r="36" spans="1:28" ht="9.75" customHeight="1" thickTop="1">
      <c r="A36" s="523"/>
      <c r="B36" s="523"/>
      <c r="C36" s="607"/>
      <c r="D36" s="607"/>
      <c r="E36" s="607"/>
      <c r="F36" s="523"/>
      <c r="G36" s="523"/>
      <c r="H36" s="607"/>
      <c r="I36" s="449"/>
      <c r="J36" s="604"/>
      <c r="K36" s="604"/>
      <c r="L36" s="604"/>
      <c r="M36" s="439"/>
      <c r="N36" s="591"/>
      <c r="O36" s="609"/>
      <c r="P36" s="578"/>
      <c r="Q36" s="587"/>
    </row>
    <row r="37" spans="1:28" ht="15.6">
      <c r="A37" s="542">
        <v>10</v>
      </c>
      <c r="B37" s="523"/>
      <c r="C37" s="523" t="s">
        <v>495</v>
      </c>
      <c r="D37" s="523"/>
      <c r="E37" s="523"/>
      <c r="F37" s="523"/>
      <c r="G37" s="523"/>
      <c r="H37" s="610">
        <v>152089</v>
      </c>
      <c r="I37" s="775"/>
      <c r="J37" s="604"/>
      <c r="K37" s="604"/>
      <c r="L37" s="439"/>
      <c r="M37" s="439"/>
      <c r="N37" s="591"/>
      <c r="O37" s="591"/>
      <c r="P37" s="578"/>
      <c r="Q37" s="587"/>
    </row>
    <row r="38" spans="1:28" ht="9" customHeight="1">
      <c r="A38" s="523"/>
      <c r="B38" s="523"/>
      <c r="C38" s="523"/>
      <c r="D38" s="523"/>
      <c r="E38" s="523"/>
      <c r="F38" s="523"/>
      <c r="G38" s="523"/>
      <c r="H38" s="523"/>
      <c r="I38" s="449"/>
      <c r="J38" s="569"/>
      <c r="K38" s="608"/>
      <c r="L38" s="594"/>
      <c r="M38" s="594"/>
      <c r="N38" s="609"/>
      <c r="O38" s="609"/>
      <c r="P38" s="578"/>
      <c r="Q38" s="587"/>
    </row>
    <row r="39" spans="1:28" ht="15.75" customHeight="1" thickBot="1">
      <c r="A39" s="542">
        <v>11</v>
      </c>
      <c r="B39" s="523"/>
      <c r="C39" s="523" t="s">
        <v>496</v>
      </c>
      <c r="D39" s="523"/>
      <c r="E39" s="523"/>
      <c r="F39" s="523"/>
      <c r="G39" s="523"/>
      <c r="H39" s="606">
        <f>ROUND(H31/H37,4)</f>
        <v>-2.7199999999999998E-2</v>
      </c>
      <c r="I39" s="449"/>
      <c r="J39" s="776"/>
      <c r="K39" s="776"/>
      <c r="L39" s="591"/>
      <c r="M39" s="591"/>
      <c r="N39" s="591"/>
      <c r="O39" s="451"/>
      <c r="P39" s="578"/>
      <c r="Q39" s="587"/>
    </row>
    <row r="40" spans="1:28" ht="16.2" thickTop="1">
      <c r="A40" s="523" t="s">
        <v>462</v>
      </c>
      <c r="B40" s="523"/>
      <c r="C40" s="523"/>
      <c r="D40" s="523"/>
      <c r="E40" s="523"/>
      <c r="F40" s="523"/>
      <c r="G40" s="523"/>
      <c r="H40" s="523"/>
      <c r="I40" s="449"/>
      <c r="J40" s="569"/>
      <c r="K40" s="608"/>
      <c r="L40" s="594"/>
      <c r="M40" s="594"/>
      <c r="N40" s="609"/>
      <c r="O40" s="594"/>
      <c r="P40" s="578"/>
      <c r="Q40" s="587"/>
    </row>
    <row r="41" spans="1:28">
      <c r="A41" s="439"/>
      <c r="B41" s="439"/>
      <c r="C41" s="439"/>
      <c r="D41" s="439"/>
      <c r="E41" s="439"/>
      <c r="F41" s="439"/>
      <c r="G41" s="439"/>
      <c r="H41" s="439"/>
      <c r="I41" s="449"/>
      <c r="J41" s="451"/>
      <c r="K41" s="451"/>
      <c r="L41" s="451"/>
      <c r="M41" s="451"/>
      <c r="N41" s="451"/>
      <c r="O41" s="439"/>
      <c r="P41" s="439"/>
      <c r="Q41" s="559"/>
    </row>
    <row r="42" spans="1:28" ht="15.6">
      <c r="A42" s="439"/>
      <c r="B42" s="439"/>
      <c r="C42" s="439"/>
      <c r="D42" s="439"/>
      <c r="E42" s="439"/>
      <c r="F42" s="439"/>
      <c r="G42" s="439"/>
      <c r="H42" s="439"/>
      <c r="I42" s="449"/>
      <c r="J42" s="569"/>
      <c r="K42" s="590"/>
      <c r="L42" s="594"/>
      <c r="M42" s="594"/>
      <c r="N42" s="594"/>
      <c r="O42" s="439"/>
      <c r="P42" s="439"/>
      <c r="Q42" s="559"/>
    </row>
    <row r="43" spans="1:28">
      <c r="A43" s="439"/>
      <c r="B43" s="439"/>
      <c r="C43" s="439"/>
      <c r="D43" s="439"/>
      <c r="E43" s="439"/>
      <c r="F43" s="439"/>
      <c r="G43" s="439"/>
      <c r="H43" s="439"/>
      <c r="I43" s="449"/>
      <c r="J43" s="439"/>
      <c r="K43" s="439"/>
      <c r="L43" s="439"/>
      <c r="M43" s="439"/>
      <c r="N43" s="439"/>
      <c r="O43" s="439"/>
      <c r="P43" s="439"/>
      <c r="Q43" s="559"/>
    </row>
    <row r="44" spans="1:28">
      <c r="A44" s="439"/>
      <c r="B44" s="439"/>
      <c r="C44" s="439"/>
      <c r="D44" s="439"/>
      <c r="E44" s="439"/>
      <c r="F44" s="439"/>
      <c r="G44" s="439"/>
      <c r="H44" s="439"/>
      <c r="I44" s="449"/>
      <c r="J44" s="439"/>
      <c r="K44" s="439"/>
      <c r="L44" s="439"/>
      <c r="M44" s="439"/>
      <c r="N44" s="439"/>
      <c r="O44" s="439"/>
      <c r="P44" s="439"/>
      <c r="Q44" s="559"/>
    </row>
    <row r="45" spans="1:28">
      <c r="A45" s="439"/>
      <c r="B45" s="439"/>
      <c r="C45" s="439"/>
      <c r="D45" s="439"/>
      <c r="E45" s="439"/>
      <c r="F45" s="439"/>
      <c r="G45" s="439"/>
      <c r="H45" s="439"/>
      <c r="I45" s="449"/>
      <c r="J45" s="439"/>
      <c r="K45" s="439"/>
      <c r="L45" s="439"/>
      <c r="M45" s="439"/>
      <c r="N45" s="439"/>
      <c r="O45" s="439"/>
      <c r="P45" s="439"/>
      <c r="Q45" s="559"/>
    </row>
    <row r="46" spans="1:28">
      <c r="A46" s="439"/>
      <c r="B46" s="439"/>
      <c r="C46" s="439"/>
      <c r="D46" s="439"/>
      <c r="E46" s="439"/>
      <c r="F46" s="439"/>
      <c r="G46" s="439"/>
      <c r="H46" s="439"/>
      <c r="I46" s="449"/>
      <c r="J46" s="439"/>
      <c r="K46" s="439"/>
      <c r="L46" s="439"/>
      <c r="M46" s="439"/>
      <c r="N46" s="439"/>
      <c r="O46" s="439"/>
      <c r="P46" s="439"/>
      <c r="Q46" s="559"/>
    </row>
    <row r="47" spans="1:28">
      <c r="A47" s="439"/>
      <c r="B47" s="439"/>
      <c r="C47" s="439"/>
      <c r="D47" s="439"/>
      <c r="E47" s="439"/>
      <c r="F47" s="439"/>
      <c r="G47" s="439"/>
      <c r="H47" s="439"/>
      <c r="I47" s="449"/>
      <c r="J47" s="439"/>
      <c r="K47" s="439"/>
      <c r="L47" s="439"/>
      <c r="M47" s="439"/>
      <c r="N47" s="439"/>
      <c r="O47" s="439"/>
      <c r="P47" s="439"/>
      <c r="Q47" s="559"/>
    </row>
    <row r="48" spans="1:28">
      <c r="A48" s="439"/>
      <c r="B48" s="439"/>
      <c r="C48" s="439"/>
      <c r="D48" s="439"/>
      <c r="E48" s="439"/>
      <c r="F48" s="439"/>
      <c r="G48" s="439"/>
      <c r="H48" s="439"/>
      <c r="I48" s="449"/>
      <c r="J48" s="439"/>
      <c r="K48" s="439"/>
      <c r="L48" s="439"/>
      <c r="M48" s="439"/>
      <c r="N48" s="439"/>
      <c r="O48" s="439"/>
      <c r="P48" s="439"/>
      <c r="Q48" s="559"/>
      <c r="AB48">
        <f>AB54</f>
        <v>0</v>
      </c>
    </row>
    <row r="49" spans="1:17">
      <c r="A49" s="439"/>
      <c r="B49" s="439"/>
      <c r="C49" s="439"/>
      <c r="D49" s="439"/>
      <c r="E49" s="439"/>
      <c r="F49" s="439"/>
      <c r="G49" s="439"/>
      <c r="H49" s="439"/>
      <c r="I49" s="449"/>
      <c r="J49" s="439"/>
      <c r="K49" s="439"/>
      <c r="L49" s="439"/>
      <c r="M49" s="439"/>
      <c r="N49" s="439"/>
      <c r="O49" s="439"/>
      <c r="P49" s="439"/>
      <c r="Q49" s="559"/>
    </row>
    <row r="50" spans="1:17">
      <c r="A50" s="439"/>
      <c r="B50" s="439"/>
      <c r="C50" s="439"/>
      <c r="D50" s="439"/>
      <c r="E50" s="439"/>
      <c r="F50" s="439"/>
      <c r="G50" s="439"/>
      <c r="H50" s="439"/>
      <c r="I50" s="449"/>
      <c r="J50" s="439"/>
      <c r="K50" s="439"/>
      <c r="L50" s="439"/>
      <c r="M50" s="439"/>
      <c r="N50" s="439"/>
      <c r="O50" s="439"/>
      <c r="P50" s="439"/>
      <c r="Q50" s="559"/>
    </row>
    <row r="51" spans="1:17">
      <c r="A51" s="439"/>
      <c r="B51" s="439"/>
      <c r="C51" s="439"/>
      <c r="D51" s="439"/>
      <c r="E51" s="439"/>
      <c r="F51" s="439"/>
      <c r="G51" s="439"/>
      <c r="H51" s="439"/>
      <c r="I51" s="449"/>
      <c r="J51" s="439"/>
      <c r="K51" s="439"/>
      <c r="L51" s="439"/>
      <c r="M51" s="439"/>
      <c r="N51" s="439"/>
      <c r="O51" s="439"/>
      <c r="P51" s="439"/>
      <c r="Q51" s="559"/>
    </row>
    <row r="52" spans="1:17">
      <c r="A52" s="439"/>
      <c r="B52" s="439"/>
      <c r="C52" s="439"/>
      <c r="D52" s="439"/>
      <c r="E52" s="439"/>
      <c r="F52" s="439"/>
      <c r="G52" s="439"/>
      <c r="H52" s="439"/>
      <c r="I52" s="449"/>
      <c r="J52" s="439"/>
      <c r="K52" s="439"/>
      <c r="L52" s="439"/>
      <c r="M52" s="439"/>
      <c r="N52" s="439"/>
      <c r="O52" s="439"/>
      <c r="P52" s="439"/>
      <c r="Q52" s="559"/>
    </row>
    <row r="53" spans="1:17">
      <c r="A53" s="439"/>
      <c r="B53" s="439"/>
      <c r="C53" s="439"/>
      <c r="D53" s="439"/>
      <c r="E53" s="439"/>
      <c r="F53" s="439"/>
      <c r="G53" s="439"/>
      <c r="H53" s="439"/>
      <c r="I53" s="449"/>
      <c r="J53" s="439"/>
      <c r="K53" s="439"/>
      <c r="L53" s="439"/>
      <c r="M53" s="439"/>
      <c r="N53" s="439"/>
      <c r="O53" s="439"/>
      <c r="P53" s="439"/>
      <c r="Q53" s="559"/>
    </row>
    <row r="54" spans="1:17">
      <c r="A54" s="439"/>
      <c r="B54" s="439"/>
      <c r="C54" s="439"/>
      <c r="D54" s="439"/>
      <c r="E54" s="439"/>
      <c r="F54" s="439"/>
      <c r="G54" s="439"/>
      <c r="H54" s="439"/>
      <c r="I54" s="449"/>
      <c r="J54" s="439"/>
      <c r="K54" s="439"/>
      <c r="L54" s="439"/>
      <c r="M54" s="439"/>
      <c r="N54" s="439"/>
      <c r="O54" s="439"/>
      <c r="P54" s="439"/>
      <c r="Q54" s="559"/>
    </row>
    <row r="55" spans="1:17">
      <c r="A55" s="439"/>
      <c r="B55" s="439"/>
      <c r="C55" s="439"/>
      <c r="D55" s="439"/>
      <c r="E55" s="439"/>
      <c r="F55" s="439"/>
      <c r="G55" s="439"/>
      <c r="H55" s="439"/>
      <c r="I55" s="449"/>
      <c r="J55" s="439"/>
      <c r="K55" s="439"/>
      <c r="L55" s="439"/>
      <c r="M55" s="439"/>
      <c r="N55" s="439"/>
      <c r="O55" s="439"/>
      <c r="P55" s="439"/>
      <c r="Q55" s="559"/>
    </row>
    <row r="56" spans="1:17">
      <c r="A56" s="439"/>
      <c r="B56" s="439"/>
      <c r="C56" s="439"/>
      <c r="D56" s="439"/>
      <c r="E56" s="439"/>
      <c r="F56" s="439"/>
      <c r="G56" s="439"/>
      <c r="H56" s="439"/>
      <c r="I56" s="449"/>
      <c r="J56" s="439"/>
      <c r="K56" s="439"/>
      <c r="L56" s="439"/>
      <c r="M56" s="439"/>
      <c r="N56" s="439"/>
      <c r="O56" s="439"/>
      <c r="P56" s="439"/>
      <c r="Q56" s="559"/>
    </row>
    <row r="57" spans="1:17">
      <c r="A57" s="439"/>
      <c r="B57" s="439"/>
      <c r="C57" s="439"/>
      <c r="D57" s="439"/>
      <c r="E57" s="439"/>
      <c r="F57" s="439"/>
      <c r="G57" s="439"/>
      <c r="H57" s="439"/>
      <c r="I57" s="449"/>
      <c r="J57" s="439"/>
      <c r="K57" s="439"/>
      <c r="L57" s="439"/>
      <c r="M57" s="439"/>
      <c r="N57" s="439"/>
      <c r="O57" s="439"/>
      <c r="P57" s="439"/>
      <c r="Q57" s="559"/>
    </row>
    <row r="58" spans="1:17">
      <c r="A58" s="439"/>
      <c r="B58" s="439"/>
      <c r="C58" s="439"/>
      <c r="D58" s="439"/>
      <c r="E58" s="439"/>
      <c r="F58" s="439"/>
      <c r="G58" s="439"/>
      <c r="H58" s="439"/>
      <c r="I58" s="449"/>
      <c r="J58" s="439"/>
      <c r="K58" s="439"/>
      <c r="L58" s="439"/>
      <c r="M58" s="439"/>
      <c r="N58" s="439"/>
      <c r="O58" s="439"/>
      <c r="P58" s="439"/>
      <c r="Q58" s="559"/>
    </row>
    <row r="59" spans="1:17">
      <c r="A59" s="439"/>
      <c r="B59" s="439"/>
      <c r="C59" s="439"/>
      <c r="D59" s="439"/>
      <c r="E59" s="439"/>
      <c r="F59" s="439"/>
      <c r="G59" s="439"/>
      <c r="H59" s="439"/>
      <c r="I59" s="449"/>
      <c r="J59" s="439"/>
      <c r="K59" s="439"/>
      <c r="L59" s="439"/>
      <c r="M59" s="439"/>
      <c r="N59" s="439"/>
      <c r="O59" s="439"/>
      <c r="P59" s="439"/>
      <c r="Q59" s="559"/>
    </row>
    <row r="60" spans="1:17">
      <c r="A60" s="439"/>
      <c r="B60" s="439"/>
      <c r="C60" s="439"/>
      <c r="D60" s="439"/>
      <c r="E60" s="439"/>
      <c r="F60" s="439"/>
      <c r="G60" s="439"/>
      <c r="H60" s="439"/>
      <c r="I60" s="449"/>
      <c r="J60" s="439"/>
      <c r="K60" s="439"/>
      <c r="L60" s="439"/>
      <c r="M60" s="439"/>
      <c r="N60" s="439"/>
      <c r="O60" s="439"/>
      <c r="P60" s="439"/>
      <c r="Q60" s="559"/>
    </row>
    <row r="61" spans="1:17">
      <c r="A61" s="439"/>
      <c r="B61" s="439"/>
      <c r="C61" s="439"/>
      <c r="D61" s="439"/>
      <c r="E61" s="439"/>
      <c r="F61" s="439"/>
      <c r="G61" s="439"/>
      <c r="H61" s="439"/>
      <c r="I61" s="449"/>
      <c r="J61" s="439"/>
      <c r="K61" s="439"/>
      <c r="L61" s="439"/>
      <c r="M61" s="439"/>
      <c r="N61" s="439"/>
      <c r="O61" s="439"/>
      <c r="P61" s="439"/>
      <c r="Q61" s="559"/>
    </row>
    <row r="62" spans="1:17">
      <c r="A62" s="439"/>
      <c r="B62" s="439"/>
      <c r="C62" s="439"/>
      <c r="D62" s="439"/>
      <c r="E62" s="439"/>
      <c r="F62" s="439"/>
      <c r="G62" s="439"/>
      <c r="H62" s="439"/>
      <c r="I62" s="449"/>
      <c r="J62" s="439"/>
      <c r="K62" s="439"/>
      <c r="L62" s="439"/>
      <c r="M62" s="439"/>
      <c r="N62" s="439"/>
      <c r="O62" s="439"/>
      <c r="P62" s="439"/>
      <c r="Q62" s="559"/>
    </row>
    <row r="63" spans="1:17">
      <c r="A63" s="439"/>
      <c r="B63" s="439"/>
      <c r="C63" s="439"/>
      <c r="D63" s="439"/>
      <c r="E63" s="439"/>
      <c r="F63" s="439"/>
      <c r="G63" s="439"/>
      <c r="H63" s="439"/>
      <c r="I63" s="449"/>
      <c r="J63" s="439"/>
      <c r="K63" s="439"/>
      <c r="L63" s="439"/>
      <c r="M63" s="439"/>
      <c r="N63" s="439"/>
      <c r="O63" s="439"/>
      <c r="P63" s="439"/>
      <c r="Q63" s="559"/>
    </row>
    <row r="64" spans="1:17">
      <c r="A64" s="439"/>
      <c r="B64" s="439"/>
      <c r="C64" s="439"/>
      <c r="D64" s="439"/>
      <c r="E64" s="439"/>
      <c r="F64" s="439"/>
      <c r="G64" s="439"/>
      <c r="H64" s="439"/>
      <c r="I64" s="449"/>
      <c r="J64" s="439"/>
      <c r="K64" s="439"/>
      <c r="L64" s="439"/>
      <c r="M64" s="439"/>
      <c r="N64" s="439"/>
      <c r="O64" s="439"/>
      <c r="P64" s="439"/>
      <c r="Q64" s="559"/>
    </row>
    <row r="65" spans="1:17">
      <c r="A65" s="439"/>
      <c r="B65" s="439"/>
      <c r="C65" s="439"/>
      <c r="D65" s="439"/>
      <c r="E65" s="439"/>
      <c r="F65" s="439"/>
      <c r="G65" s="439"/>
      <c r="H65" s="439"/>
      <c r="I65" s="449"/>
      <c r="J65" s="439"/>
      <c r="K65" s="439"/>
      <c r="L65" s="439"/>
      <c r="M65" s="439"/>
      <c r="N65" s="439"/>
      <c r="O65" s="439"/>
      <c r="P65" s="439"/>
      <c r="Q65" s="559"/>
    </row>
    <row r="66" spans="1:17">
      <c r="A66" s="439"/>
      <c r="B66" s="439"/>
      <c r="C66" s="439"/>
      <c r="D66" s="439"/>
      <c r="E66" s="439"/>
      <c r="F66" s="439"/>
      <c r="G66" s="439"/>
      <c r="H66" s="439"/>
      <c r="I66" s="449"/>
      <c r="J66" s="439"/>
      <c r="K66" s="439"/>
      <c r="L66" s="439"/>
      <c r="M66" s="439"/>
      <c r="N66" s="439"/>
      <c r="O66" s="439"/>
      <c r="P66" s="439"/>
      <c r="Q66" s="559"/>
    </row>
    <row r="67" spans="1:17">
      <c r="A67" s="439"/>
      <c r="B67" s="439"/>
      <c r="C67" s="439"/>
      <c r="D67" s="439"/>
      <c r="E67" s="439"/>
      <c r="F67" s="439"/>
      <c r="G67" s="439"/>
      <c r="H67" s="439"/>
      <c r="I67" s="449"/>
      <c r="J67" s="439"/>
      <c r="K67" s="439"/>
      <c r="L67" s="439"/>
      <c r="M67" s="439"/>
      <c r="N67" s="439"/>
      <c r="O67" s="439"/>
      <c r="P67" s="439"/>
      <c r="Q67" s="559"/>
    </row>
    <row r="68" spans="1:17">
      <c r="A68" s="439"/>
      <c r="B68" s="439"/>
      <c r="C68" s="439"/>
      <c r="D68" s="439"/>
      <c r="E68" s="439"/>
      <c r="F68" s="439"/>
      <c r="G68" s="439"/>
      <c r="H68" s="439"/>
      <c r="I68" s="449"/>
      <c r="J68" s="439"/>
      <c r="K68" s="439"/>
      <c r="L68" s="439"/>
      <c r="M68" s="439"/>
      <c r="N68" s="439"/>
      <c r="O68" s="439"/>
      <c r="P68" s="439"/>
      <c r="Q68" s="559"/>
    </row>
    <row r="69" spans="1:17">
      <c r="A69" s="439"/>
      <c r="B69" s="439"/>
      <c r="C69" s="439"/>
      <c r="D69" s="439"/>
      <c r="E69" s="439"/>
      <c r="F69" s="439"/>
      <c r="G69" s="439"/>
      <c r="H69" s="439"/>
      <c r="I69" s="449"/>
      <c r="J69" s="439"/>
      <c r="K69" s="439"/>
      <c r="L69" s="439"/>
      <c r="M69" s="439"/>
      <c r="N69" s="439"/>
      <c r="O69" s="439"/>
      <c r="P69" s="439"/>
      <c r="Q69" s="559"/>
    </row>
    <row r="70" spans="1:17">
      <c r="A70" s="439"/>
      <c r="B70" s="439"/>
      <c r="C70" s="439"/>
      <c r="D70" s="439"/>
      <c r="E70" s="439"/>
      <c r="F70" s="439"/>
      <c r="G70" s="439"/>
      <c r="H70" s="439"/>
      <c r="I70" s="449"/>
      <c r="J70" s="439"/>
      <c r="K70" s="439"/>
      <c r="L70" s="439"/>
      <c r="M70" s="439"/>
      <c r="N70" s="439"/>
      <c r="O70" s="439"/>
      <c r="P70" s="439"/>
      <c r="Q70" s="559"/>
    </row>
    <row r="71" spans="1:17">
      <c r="A71" s="439"/>
      <c r="B71" s="439"/>
      <c r="C71" s="439"/>
      <c r="D71" s="439"/>
      <c r="E71" s="439"/>
      <c r="F71" s="439"/>
      <c r="G71" s="439"/>
      <c r="H71" s="439"/>
      <c r="I71" s="449"/>
      <c r="J71" s="439"/>
      <c r="K71" s="439"/>
      <c r="L71" s="439"/>
      <c r="M71" s="439"/>
      <c r="N71" s="439"/>
      <c r="O71" s="439"/>
      <c r="P71" s="439"/>
      <c r="Q71" s="559"/>
    </row>
    <row r="72" spans="1:17">
      <c r="A72" s="439"/>
      <c r="B72" s="439"/>
      <c r="C72" s="439"/>
      <c r="D72" s="439"/>
      <c r="E72" s="439"/>
      <c r="F72" s="439"/>
      <c r="G72" s="439"/>
      <c r="H72" s="439"/>
      <c r="I72" s="449"/>
      <c r="J72" s="439"/>
      <c r="K72" s="439"/>
      <c r="L72" s="439"/>
      <c r="M72" s="439"/>
      <c r="N72" s="439"/>
      <c r="O72" s="439"/>
      <c r="P72" s="439"/>
      <c r="Q72" s="559"/>
    </row>
    <row r="73" spans="1:17">
      <c r="A73" s="439"/>
      <c r="B73" s="439"/>
      <c r="C73" s="439"/>
      <c r="D73" s="439"/>
      <c r="E73" s="439"/>
      <c r="F73" s="439"/>
      <c r="G73" s="439"/>
      <c r="H73" s="439"/>
      <c r="I73" s="449"/>
      <c r="J73" s="439"/>
      <c r="K73" s="439"/>
      <c r="L73" s="439"/>
      <c r="M73" s="439"/>
      <c r="N73" s="439"/>
      <c r="O73" s="439"/>
      <c r="P73" s="439"/>
      <c r="Q73" s="559"/>
    </row>
    <row r="74" spans="1:17">
      <c r="A74" s="439"/>
      <c r="B74" s="439"/>
      <c r="C74" s="439"/>
      <c r="D74" s="439"/>
      <c r="E74" s="439"/>
      <c r="F74" s="439"/>
      <c r="G74" s="439"/>
      <c r="H74" s="439"/>
      <c r="I74" s="449"/>
      <c r="J74" s="439"/>
      <c r="K74" s="439"/>
      <c r="L74" s="439"/>
      <c r="M74" s="439"/>
      <c r="N74" s="439"/>
      <c r="O74" s="439"/>
      <c r="P74" s="439"/>
      <c r="Q74" s="559"/>
    </row>
    <row r="75" spans="1:17">
      <c r="A75" s="439"/>
      <c r="B75" s="439"/>
      <c r="C75" s="439"/>
      <c r="D75" s="439"/>
      <c r="E75" s="439"/>
      <c r="F75" s="439"/>
      <c r="G75" s="439"/>
      <c r="H75" s="439"/>
      <c r="I75" s="449"/>
      <c r="J75" s="439"/>
      <c r="K75" s="439"/>
      <c r="L75" s="439"/>
      <c r="M75" s="439"/>
      <c r="N75" s="439"/>
      <c r="O75" s="439"/>
      <c r="P75" s="439"/>
      <c r="Q75" s="559"/>
    </row>
    <row r="76" spans="1:17">
      <c r="A76" s="439"/>
      <c r="B76" s="439"/>
      <c r="C76" s="439"/>
      <c r="D76" s="439"/>
      <c r="E76" s="439"/>
      <c r="F76" s="439"/>
      <c r="G76" s="439"/>
      <c r="H76" s="439"/>
      <c r="I76" s="449"/>
      <c r="J76" s="439"/>
      <c r="K76" s="439"/>
      <c r="L76" s="439"/>
      <c r="M76" s="439"/>
      <c r="N76" s="439"/>
      <c r="O76" s="439"/>
      <c r="P76" s="439"/>
      <c r="Q76" s="559"/>
    </row>
    <row r="77" spans="1:17">
      <c r="A77" s="439"/>
      <c r="B77" s="439"/>
      <c r="C77" s="439"/>
      <c r="D77" s="439"/>
      <c r="E77" s="439"/>
      <c r="F77" s="439"/>
      <c r="G77" s="439"/>
      <c r="H77" s="439"/>
      <c r="I77" s="449"/>
      <c r="J77" s="439"/>
      <c r="K77" s="439"/>
      <c r="L77" s="439"/>
      <c r="M77" s="439"/>
      <c r="N77" s="439"/>
      <c r="O77" s="439"/>
      <c r="P77" s="439"/>
      <c r="Q77" s="559"/>
    </row>
    <row r="78" spans="1:17">
      <c r="A78" s="439"/>
      <c r="B78" s="439"/>
      <c r="C78" s="439"/>
      <c r="D78" s="439"/>
      <c r="E78" s="439"/>
      <c r="F78" s="439"/>
      <c r="G78" s="439"/>
      <c r="H78" s="439"/>
      <c r="I78" s="449"/>
      <c r="J78" s="439"/>
      <c r="K78" s="439"/>
      <c r="L78" s="439"/>
      <c r="M78" s="439"/>
      <c r="N78" s="439"/>
      <c r="O78" s="439"/>
      <c r="P78" s="439"/>
      <c r="Q78" s="559"/>
    </row>
    <row r="79" spans="1:17">
      <c r="A79" s="439"/>
      <c r="B79" s="439"/>
      <c r="C79" s="439"/>
      <c r="D79" s="439"/>
      <c r="E79" s="439"/>
      <c r="F79" s="439"/>
      <c r="G79" s="439"/>
      <c r="H79" s="439"/>
      <c r="I79" s="449"/>
      <c r="J79" s="439"/>
      <c r="K79" s="439"/>
      <c r="L79" s="439"/>
      <c r="M79" s="439"/>
      <c r="N79" s="439"/>
      <c r="O79" s="439"/>
      <c r="P79" s="439"/>
      <c r="Q79" s="559"/>
    </row>
    <row r="80" spans="1:17">
      <c r="A80" s="439"/>
      <c r="B80" s="439"/>
      <c r="C80" s="439"/>
      <c r="D80" s="439"/>
      <c r="E80" s="439"/>
      <c r="F80" s="439"/>
      <c r="G80" s="439"/>
      <c r="H80" s="439"/>
      <c r="I80" s="449"/>
      <c r="J80" s="439"/>
      <c r="K80" s="439"/>
      <c r="L80" s="439"/>
      <c r="M80" s="439"/>
      <c r="N80" s="439"/>
      <c r="O80" s="439"/>
      <c r="P80" s="439"/>
      <c r="Q80" s="559"/>
    </row>
    <row r="81" spans="1:17">
      <c r="A81" s="439"/>
      <c r="B81" s="439"/>
      <c r="C81" s="439"/>
      <c r="D81" s="439"/>
      <c r="E81" s="439"/>
      <c r="F81" s="439"/>
      <c r="G81" s="439"/>
      <c r="H81" s="439"/>
      <c r="I81" s="449"/>
      <c r="J81" s="439"/>
      <c r="K81" s="439"/>
      <c r="L81" s="439"/>
      <c r="M81" s="439"/>
      <c r="N81" s="439"/>
      <c r="O81" s="439"/>
      <c r="P81" s="439"/>
      <c r="Q81" s="559"/>
    </row>
    <row r="82" spans="1:17">
      <c r="A82" s="439"/>
      <c r="B82" s="439"/>
      <c r="C82" s="439"/>
      <c r="D82" s="439"/>
      <c r="E82" s="439"/>
      <c r="F82" s="439"/>
      <c r="G82" s="439"/>
      <c r="H82" s="439"/>
      <c r="I82" s="449"/>
      <c r="J82" s="439"/>
      <c r="K82" s="439"/>
      <c r="L82" s="439"/>
      <c r="M82" s="439"/>
      <c r="N82" s="439"/>
      <c r="O82" s="439"/>
      <c r="P82" s="439"/>
      <c r="Q82" s="559"/>
    </row>
    <row r="83" spans="1:17">
      <c r="A83" s="439"/>
      <c r="B83" s="439"/>
      <c r="C83" s="439"/>
      <c r="D83" s="439"/>
      <c r="E83" s="439"/>
      <c r="F83" s="439"/>
      <c r="G83" s="439"/>
      <c r="H83" s="439"/>
      <c r="I83" s="449"/>
      <c r="J83" s="439"/>
      <c r="K83" s="439"/>
      <c r="L83" s="439"/>
      <c r="M83" s="439"/>
      <c r="N83" s="439"/>
      <c r="O83" s="439"/>
      <c r="P83" s="439"/>
      <c r="Q83" s="559"/>
    </row>
    <row r="84" spans="1:17">
      <c r="A84" s="439"/>
      <c r="B84" s="439"/>
      <c r="C84" s="439"/>
      <c r="D84" s="439"/>
      <c r="E84" s="439"/>
      <c r="F84" s="439"/>
      <c r="G84" s="439"/>
      <c r="H84" s="439"/>
      <c r="I84" s="449"/>
      <c r="J84" s="439"/>
      <c r="K84" s="439"/>
      <c r="L84" s="439"/>
      <c r="M84" s="439"/>
      <c r="N84" s="439"/>
      <c r="O84" s="439"/>
      <c r="P84" s="439"/>
      <c r="Q84" s="559"/>
    </row>
    <row r="85" spans="1:17">
      <c r="A85" s="439"/>
      <c r="B85" s="439"/>
      <c r="C85" s="439"/>
      <c r="D85" s="439"/>
      <c r="E85" s="439"/>
      <c r="F85" s="439"/>
      <c r="G85" s="439"/>
      <c r="H85" s="439"/>
      <c r="I85" s="449"/>
      <c r="J85" s="439"/>
      <c r="K85" s="439"/>
      <c r="L85" s="439"/>
      <c r="M85" s="439"/>
      <c r="N85" s="439"/>
      <c r="O85" s="439"/>
      <c r="P85" s="439"/>
      <c r="Q85" s="559"/>
    </row>
    <row r="86" spans="1:17">
      <c r="A86" s="439"/>
      <c r="B86" s="439"/>
      <c r="C86" s="439"/>
      <c r="D86" s="439"/>
      <c r="E86" s="439"/>
      <c r="F86" s="439"/>
      <c r="G86" s="439"/>
      <c r="H86" s="439"/>
      <c r="I86" s="449"/>
      <c r="J86" s="439"/>
      <c r="K86" s="439"/>
      <c r="L86" s="439"/>
      <c r="M86" s="439"/>
      <c r="N86" s="439"/>
      <c r="O86" s="439"/>
      <c r="P86" s="439"/>
      <c r="Q86" s="559"/>
    </row>
    <row r="87" spans="1:17">
      <c r="A87" s="439"/>
      <c r="B87" s="439"/>
      <c r="C87" s="439"/>
      <c r="D87" s="439"/>
      <c r="E87" s="439"/>
      <c r="F87" s="439"/>
      <c r="G87" s="439"/>
      <c r="H87" s="439"/>
      <c r="I87" s="449"/>
      <c r="J87" s="439"/>
      <c r="K87" s="439"/>
      <c r="L87" s="439"/>
      <c r="M87" s="439"/>
      <c r="N87" s="439"/>
      <c r="O87" s="439"/>
      <c r="P87" s="439"/>
      <c r="Q87" s="559"/>
    </row>
    <row r="88" spans="1:17">
      <c r="A88" s="439"/>
      <c r="B88" s="439"/>
      <c r="C88" s="439"/>
      <c r="D88" s="439"/>
      <c r="E88" s="439"/>
      <c r="F88" s="439"/>
      <c r="G88" s="439"/>
      <c r="H88" s="439"/>
      <c r="I88" s="449"/>
      <c r="J88" s="439"/>
      <c r="K88" s="439"/>
      <c r="L88" s="439"/>
      <c r="M88" s="439"/>
      <c r="N88" s="439"/>
      <c r="O88" s="439"/>
      <c r="P88" s="439"/>
      <c r="Q88" s="559"/>
    </row>
    <row r="89" spans="1:17">
      <c r="A89" s="439"/>
      <c r="B89" s="439"/>
      <c r="C89" s="439"/>
      <c r="D89" s="439"/>
      <c r="E89" s="439"/>
      <c r="F89" s="439"/>
      <c r="G89" s="439"/>
      <c r="H89" s="439"/>
      <c r="I89" s="449"/>
      <c r="J89" s="439"/>
      <c r="K89" s="439"/>
      <c r="L89" s="439"/>
      <c r="M89" s="439"/>
      <c r="N89" s="439"/>
      <c r="O89" s="439"/>
      <c r="P89" s="439"/>
      <c r="Q89" s="559"/>
    </row>
    <row r="90" spans="1:17">
      <c r="A90" s="439"/>
      <c r="B90" s="439"/>
      <c r="C90" s="439"/>
      <c r="D90" s="439"/>
      <c r="E90" s="439"/>
      <c r="F90" s="439"/>
      <c r="G90" s="439"/>
      <c r="H90" s="439"/>
      <c r="I90" s="449"/>
      <c r="J90" s="439"/>
      <c r="K90" s="439"/>
      <c r="L90" s="439"/>
      <c r="M90" s="439"/>
      <c r="N90" s="439"/>
      <c r="O90" s="439"/>
      <c r="P90" s="439"/>
      <c r="Q90" s="559"/>
    </row>
    <row r="91" spans="1:17">
      <c r="A91" s="439"/>
      <c r="B91" s="439"/>
      <c r="C91" s="439"/>
      <c r="D91" s="439"/>
      <c r="E91" s="439"/>
      <c r="F91" s="439"/>
      <c r="G91" s="439"/>
      <c r="H91" s="439"/>
      <c r="I91" s="449"/>
      <c r="J91" s="439"/>
      <c r="K91" s="439"/>
      <c r="L91" s="439"/>
      <c r="M91" s="439"/>
      <c r="N91" s="439"/>
      <c r="O91" s="439"/>
      <c r="P91" s="439"/>
      <c r="Q91" s="559"/>
    </row>
    <row r="92" spans="1:17">
      <c r="A92" s="439"/>
      <c r="B92" s="439"/>
      <c r="C92" s="439"/>
      <c r="D92" s="439"/>
      <c r="E92" s="439"/>
      <c r="F92" s="439"/>
      <c r="G92" s="439"/>
      <c r="H92" s="439"/>
      <c r="I92" s="449"/>
      <c r="J92" s="439"/>
      <c r="K92" s="439"/>
      <c r="L92" s="439"/>
      <c r="M92" s="439"/>
      <c r="N92" s="439"/>
      <c r="O92" s="439"/>
      <c r="P92" s="439"/>
      <c r="Q92" s="559"/>
    </row>
    <row r="93" spans="1:17">
      <c r="A93" s="439"/>
      <c r="B93" s="439"/>
      <c r="C93" s="439"/>
      <c r="D93" s="439"/>
      <c r="E93" s="439"/>
      <c r="F93" s="439"/>
      <c r="G93" s="439"/>
      <c r="H93" s="439"/>
      <c r="I93" s="449"/>
      <c r="J93" s="439"/>
      <c r="K93" s="439"/>
      <c r="L93" s="439"/>
      <c r="M93" s="439"/>
      <c r="N93" s="439"/>
      <c r="O93" s="439"/>
      <c r="P93" s="439"/>
      <c r="Q93" s="559"/>
    </row>
    <row r="94" spans="1:17">
      <c r="A94" s="439"/>
      <c r="B94" s="439"/>
      <c r="C94" s="439"/>
      <c r="D94" s="439"/>
      <c r="E94" s="439"/>
      <c r="F94" s="439"/>
      <c r="G94" s="439"/>
      <c r="H94" s="439"/>
      <c r="I94" s="449"/>
      <c r="J94" s="439"/>
      <c r="K94" s="439"/>
      <c r="L94" s="439"/>
      <c r="M94" s="439"/>
      <c r="N94" s="439"/>
      <c r="O94" s="439"/>
      <c r="P94" s="439"/>
      <c r="Q94" s="559"/>
    </row>
    <row r="95" spans="1:17">
      <c r="A95" s="439"/>
      <c r="B95" s="439"/>
      <c r="C95" s="439"/>
      <c r="D95" s="439"/>
      <c r="E95" s="439"/>
      <c r="F95" s="439"/>
      <c r="G95" s="439"/>
      <c r="H95" s="439"/>
      <c r="I95" s="449"/>
      <c r="J95" s="439"/>
      <c r="K95" s="439"/>
      <c r="L95" s="439"/>
      <c r="M95" s="439"/>
      <c r="N95" s="439"/>
      <c r="O95" s="439"/>
      <c r="P95" s="439"/>
      <c r="Q95" s="559"/>
    </row>
    <row r="96" spans="1:17">
      <c r="A96" s="439"/>
      <c r="B96" s="439"/>
      <c r="C96" s="439"/>
      <c r="D96" s="439"/>
      <c r="E96" s="439"/>
      <c r="F96" s="439"/>
      <c r="G96" s="439"/>
      <c r="H96" s="439"/>
      <c r="I96" s="449"/>
      <c r="J96" s="439"/>
      <c r="K96" s="439"/>
      <c r="L96" s="439"/>
      <c r="M96" s="439"/>
      <c r="N96" s="439"/>
      <c r="O96" s="439"/>
      <c r="P96" s="439"/>
      <c r="Q96" s="559"/>
    </row>
    <row r="97" spans="1:17">
      <c r="A97" s="439"/>
      <c r="B97" s="439"/>
      <c r="C97" s="439"/>
      <c r="D97" s="439"/>
      <c r="E97" s="439"/>
      <c r="F97" s="439"/>
      <c r="G97" s="439"/>
      <c r="H97" s="439"/>
      <c r="I97" s="449"/>
      <c r="J97" s="439"/>
      <c r="K97" s="439"/>
      <c r="L97" s="439"/>
      <c r="M97" s="439"/>
      <c r="N97" s="439"/>
      <c r="O97" s="439"/>
      <c r="P97" s="439"/>
      <c r="Q97" s="559"/>
    </row>
    <row r="98" spans="1:17">
      <c r="A98" s="439"/>
      <c r="B98" s="439"/>
      <c r="C98" s="439"/>
      <c r="D98" s="439"/>
      <c r="E98" s="439"/>
      <c r="F98" s="439"/>
      <c r="G98" s="439"/>
      <c r="H98" s="439"/>
      <c r="I98" s="449"/>
      <c r="J98" s="439"/>
      <c r="K98" s="439"/>
      <c r="L98" s="439"/>
      <c r="M98" s="439"/>
      <c r="N98" s="439"/>
      <c r="O98" s="439"/>
      <c r="P98" s="439"/>
      <c r="Q98" s="559"/>
    </row>
    <row r="99" spans="1:17">
      <c r="A99" s="439"/>
      <c r="B99" s="439"/>
      <c r="C99" s="439"/>
      <c r="D99" s="439"/>
      <c r="E99" s="439"/>
      <c r="F99" s="439"/>
      <c r="G99" s="439"/>
      <c r="H99" s="439"/>
      <c r="I99" s="449"/>
      <c r="J99" s="439"/>
      <c r="K99" s="439"/>
      <c r="L99" s="439"/>
      <c r="M99" s="439"/>
      <c r="N99" s="439"/>
      <c r="O99" s="439"/>
      <c r="P99" s="439"/>
      <c r="Q99" s="559"/>
    </row>
    <row r="100" spans="1:17">
      <c r="A100" s="439"/>
      <c r="B100" s="439"/>
      <c r="C100" s="439"/>
      <c r="D100" s="439"/>
      <c r="E100" s="439"/>
      <c r="F100" s="439"/>
      <c r="G100" s="439"/>
      <c r="H100" s="439"/>
      <c r="I100" s="449"/>
      <c r="J100" s="439"/>
      <c r="K100" s="439"/>
      <c r="L100" s="439"/>
      <c r="M100" s="439"/>
      <c r="N100" s="439"/>
      <c r="O100" s="439"/>
      <c r="P100" s="439"/>
      <c r="Q100" s="559"/>
    </row>
    <row r="101" spans="1:17">
      <c r="A101" s="439"/>
      <c r="B101" s="439"/>
      <c r="C101" s="439"/>
      <c r="D101" s="439"/>
      <c r="E101" s="439"/>
      <c r="F101" s="439"/>
      <c r="G101" s="439"/>
      <c r="H101" s="439"/>
      <c r="I101" s="449"/>
      <c r="J101" s="439"/>
      <c r="K101" s="439"/>
      <c r="L101" s="439"/>
      <c r="M101" s="439"/>
      <c r="N101" s="439"/>
      <c r="O101" s="439"/>
      <c r="P101" s="439"/>
      <c r="Q101" s="559"/>
    </row>
    <row r="102" spans="1:17">
      <c r="A102" s="439"/>
      <c r="B102" s="439"/>
      <c r="C102" s="439"/>
      <c r="D102" s="439"/>
      <c r="E102" s="439"/>
      <c r="F102" s="439"/>
      <c r="G102" s="439"/>
      <c r="H102" s="439"/>
      <c r="I102" s="449"/>
      <c r="J102" s="439"/>
      <c r="K102" s="439"/>
      <c r="L102" s="439"/>
      <c r="M102" s="439"/>
      <c r="N102" s="439"/>
      <c r="O102" s="439"/>
      <c r="P102" s="439"/>
      <c r="Q102" s="559"/>
    </row>
    <row r="103" spans="1:17">
      <c r="A103" s="439"/>
      <c r="B103" s="439"/>
      <c r="C103" s="439"/>
      <c r="D103" s="439"/>
      <c r="E103" s="439"/>
      <c r="F103" s="439"/>
      <c r="G103" s="439"/>
      <c r="H103" s="439"/>
      <c r="I103" s="449"/>
      <c r="J103" s="439"/>
      <c r="K103" s="439"/>
      <c r="L103" s="439"/>
      <c r="M103" s="439"/>
      <c r="N103" s="439"/>
      <c r="O103" s="439"/>
      <c r="P103" s="439"/>
      <c r="Q103" s="559"/>
    </row>
    <row r="104" spans="1:17">
      <c r="A104" s="439"/>
      <c r="B104" s="439"/>
      <c r="C104" s="439"/>
      <c r="D104" s="439"/>
      <c r="E104" s="439"/>
      <c r="F104" s="439"/>
      <c r="G104" s="439"/>
      <c r="H104" s="439"/>
      <c r="I104" s="449"/>
      <c r="J104" s="439"/>
      <c r="K104" s="439"/>
      <c r="L104" s="439"/>
      <c r="M104" s="439"/>
      <c r="N104" s="439"/>
      <c r="O104" s="439"/>
      <c r="P104" s="439"/>
      <c r="Q104" s="559"/>
    </row>
    <row r="105" spans="1:17">
      <c r="A105" s="439"/>
      <c r="B105" s="439"/>
      <c r="C105" s="439"/>
      <c r="D105" s="439"/>
      <c r="E105" s="439"/>
      <c r="F105" s="439"/>
      <c r="G105" s="439"/>
      <c r="H105" s="439"/>
      <c r="I105" s="449"/>
      <c r="J105" s="439"/>
      <c r="K105" s="439"/>
      <c r="L105" s="439"/>
      <c r="M105" s="439"/>
      <c r="N105" s="439"/>
      <c r="O105" s="439"/>
      <c r="P105" s="439"/>
      <c r="Q105" s="559"/>
    </row>
    <row r="106" spans="1:17">
      <c r="A106" s="439"/>
      <c r="B106" s="439"/>
      <c r="C106" s="439"/>
      <c r="D106" s="439"/>
      <c r="E106" s="439"/>
      <c r="F106" s="439"/>
      <c r="G106" s="439"/>
      <c r="H106" s="439"/>
      <c r="I106" s="449"/>
      <c r="J106" s="439"/>
      <c r="K106" s="439"/>
      <c r="L106" s="439"/>
      <c r="M106" s="439"/>
      <c r="N106" s="439"/>
      <c r="O106" s="439"/>
      <c r="P106" s="439"/>
      <c r="Q106" s="559"/>
    </row>
    <row r="107" spans="1:17">
      <c r="A107" s="439"/>
      <c r="B107" s="439"/>
      <c r="C107" s="439"/>
      <c r="D107" s="439"/>
      <c r="E107" s="439"/>
      <c r="F107" s="439"/>
      <c r="G107" s="439"/>
      <c r="H107" s="439"/>
      <c r="I107" s="449"/>
      <c r="J107" s="439"/>
      <c r="K107" s="439"/>
      <c r="L107" s="439"/>
      <c r="M107" s="439"/>
      <c r="N107" s="439"/>
      <c r="O107" s="439"/>
      <c r="P107" s="439"/>
      <c r="Q107" s="559"/>
    </row>
    <row r="108" spans="1:17">
      <c r="A108" s="439"/>
      <c r="B108" s="439"/>
      <c r="C108" s="439"/>
      <c r="D108" s="439"/>
      <c r="E108" s="439"/>
      <c r="F108" s="439"/>
      <c r="G108" s="439"/>
      <c r="H108" s="439"/>
      <c r="I108" s="449"/>
      <c r="J108" s="439"/>
      <c r="K108" s="439"/>
      <c r="L108" s="439"/>
      <c r="M108" s="439"/>
      <c r="N108" s="439"/>
      <c r="O108" s="439"/>
      <c r="P108" s="439"/>
      <c r="Q108" s="559"/>
    </row>
    <row r="109" spans="1:17">
      <c r="A109" s="439"/>
      <c r="B109" s="439"/>
      <c r="C109" s="439"/>
      <c r="D109" s="439"/>
      <c r="E109" s="439"/>
      <c r="F109" s="439"/>
      <c r="G109" s="439"/>
      <c r="H109" s="439"/>
      <c r="I109" s="449"/>
      <c r="J109" s="439"/>
      <c r="K109" s="439"/>
      <c r="L109" s="439"/>
      <c r="M109" s="439"/>
      <c r="N109" s="439"/>
      <c r="O109" s="439"/>
      <c r="P109" s="439"/>
      <c r="Q109" s="559"/>
    </row>
    <row r="110" spans="1:17">
      <c r="A110" s="439"/>
      <c r="B110" s="439"/>
      <c r="C110" s="439"/>
      <c r="D110" s="439"/>
      <c r="E110" s="439"/>
      <c r="F110" s="439"/>
      <c r="G110" s="439"/>
      <c r="H110" s="439"/>
      <c r="I110" s="449"/>
      <c r="J110" s="439"/>
      <c r="K110" s="439"/>
      <c r="L110" s="439"/>
      <c r="M110" s="439"/>
      <c r="N110" s="439"/>
      <c r="O110" s="439"/>
      <c r="P110" s="439"/>
      <c r="Q110" s="559"/>
    </row>
    <row r="111" spans="1:17">
      <c r="A111" s="439"/>
      <c r="B111" s="439"/>
      <c r="C111" s="439"/>
      <c r="D111" s="439"/>
      <c r="E111" s="439"/>
      <c r="F111" s="439"/>
      <c r="G111" s="439"/>
      <c r="H111" s="439"/>
      <c r="I111" s="449"/>
      <c r="J111" s="439"/>
      <c r="K111" s="439"/>
      <c r="L111" s="439"/>
      <c r="M111" s="439"/>
      <c r="N111" s="439"/>
      <c r="O111" s="439"/>
      <c r="P111" s="439"/>
      <c r="Q111" s="559"/>
    </row>
    <row r="112" spans="1:17">
      <c r="A112" s="439"/>
      <c r="B112" s="439"/>
      <c r="C112" s="439"/>
      <c r="D112" s="439"/>
      <c r="E112" s="439"/>
      <c r="F112" s="439"/>
      <c r="G112" s="439"/>
      <c r="H112" s="439"/>
      <c r="I112" s="449"/>
      <c r="J112" s="439"/>
      <c r="K112" s="439"/>
      <c r="L112" s="439"/>
      <c r="M112" s="439"/>
      <c r="N112" s="439"/>
      <c r="O112" s="439"/>
      <c r="P112" s="439"/>
      <c r="Q112" s="559"/>
    </row>
    <row r="113" spans="1:17">
      <c r="A113" s="439"/>
      <c r="B113" s="439"/>
      <c r="C113" s="439"/>
      <c r="D113" s="439"/>
      <c r="E113" s="439"/>
      <c r="F113" s="439"/>
      <c r="G113" s="439"/>
      <c r="H113" s="439"/>
      <c r="I113" s="449"/>
      <c r="J113" s="439"/>
      <c r="K113" s="439"/>
      <c r="L113" s="439"/>
      <c r="M113" s="439"/>
      <c r="N113" s="439"/>
      <c r="O113" s="439"/>
      <c r="P113" s="439"/>
      <c r="Q113" s="559"/>
    </row>
    <row r="114" spans="1:17">
      <c r="A114" s="439"/>
      <c r="B114" s="439"/>
      <c r="C114" s="439"/>
      <c r="D114" s="439"/>
      <c r="E114" s="439"/>
      <c r="F114" s="439"/>
      <c r="G114" s="439"/>
      <c r="H114" s="439"/>
      <c r="I114" s="449"/>
      <c r="J114" s="439"/>
      <c r="K114" s="439"/>
      <c r="L114" s="439"/>
      <c r="M114" s="439"/>
      <c r="N114" s="439"/>
      <c r="O114" s="439"/>
      <c r="P114" s="439"/>
      <c r="Q114" s="559"/>
    </row>
    <row r="115" spans="1:17">
      <c r="A115" s="439"/>
      <c r="B115" s="439"/>
      <c r="C115" s="439"/>
      <c r="D115" s="439"/>
      <c r="E115" s="439"/>
      <c r="F115" s="439"/>
      <c r="G115" s="439"/>
      <c r="H115" s="439"/>
      <c r="I115" s="449"/>
      <c r="J115" s="439"/>
      <c r="K115" s="439"/>
      <c r="L115" s="439"/>
      <c r="M115" s="439"/>
      <c r="N115" s="439"/>
      <c r="O115" s="439"/>
      <c r="P115" s="439"/>
      <c r="Q115" s="559"/>
    </row>
    <row r="116" spans="1:17">
      <c r="A116" s="439"/>
      <c r="B116" s="439"/>
      <c r="C116" s="439"/>
      <c r="D116" s="439"/>
      <c r="E116" s="439"/>
      <c r="F116" s="439"/>
      <c r="G116" s="439"/>
      <c r="H116" s="439"/>
      <c r="I116" s="449"/>
      <c r="J116" s="439"/>
      <c r="K116" s="439"/>
      <c r="L116" s="439"/>
      <c r="M116" s="439"/>
      <c r="N116" s="439"/>
      <c r="O116" s="439"/>
      <c r="P116" s="439"/>
      <c r="Q116" s="559"/>
    </row>
    <row r="117" spans="1:17">
      <c r="A117" s="439"/>
      <c r="B117" s="439"/>
      <c r="C117" s="439"/>
      <c r="D117" s="439"/>
      <c r="E117" s="439"/>
      <c r="F117" s="439"/>
      <c r="G117" s="439"/>
      <c r="H117" s="439"/>
      <c r="I117" s="449"/>
      <c r="J117" s="439"/>
      <c r="K117" s="439"/>
      <c r="L117" s="439"/>
      <c r="M117" s="439"/>
      <c r="N117" s="439"/>
      <c r="O117" s="439"/>
      <c r="P117" s="439"/>
      <c r="Q117" s="559"/>
    </row>
    <row r="118" spans="1:17">
      <c r="A118" s="439"/>
      <c r="B118" s="439"/>
      <c r="C118" s="439"/>
      <c r="D118" s="439"/>
      <c r="E118" s="439"/>
      <c r="F118" s="439"/>
      <c r="G118" s="439"/>
      <c r="H118" s="439"/>
      <c r="I118" s="449"/>
      <c r="J118" s="439"/>
      <c r="K118" s="439"/>
      <c r="L118" s="439"/>
      <c r="M118" s="439"/>
      <c r="N118" s="439"/>
      <c r="O118" s="439"/>
      <c r="P118" s="439"/>
      <c r="Q118" s="559"/>
    </row>
    <row r="119" spans="1:17">
      <c r="A119" s="439"/>
      <c r="B119" s="439"/>
      <c r="C119" s="439"/>
      <c r="D119" s="439"/>
      <c r="E119" s="439"/>
      <c r="F119" s="439"/>
      <c r="G119" s="439"/>
      <c r="H119" s="439"/>
      <c r="I119" s="449"/>
      <c r="J119" s="439"/>
      <c r="K119" s="439"/>
      <c r="L119" s="439"/>
      <c r="M119" s="439"/>
      <c r="N119" s="439"/>
      <c r="O119" s="439"/>
      <c r="P119" s="439"/>
      <c r="Q119" s="559"/>
    </row>
    <row r="120" spans="1:17">
      <c r="J120" s="439"/>
      <c r="K120" s="439"/>
      <c r="L120" s="439"/>
      <c r="M120" s="439"/>
      <c r="N120" s="439"/>
    </row>
    <row r="121" spans="1:17">
      <c r="J121" s="439"/>
      <c r="K121" s="439"/>
      <c r="L121" s="439"/>
      <c r="M121" s="439"/>
      <c r="N121" s="439"/>
    </row>
  </sheetData>
  <mergeCells count="11">
    <mergeCell ref="J9:N9"/>
    <mergeCell ref="J10:N10"/>
    <mergeCell ref="J11:N11"/>
    <mergeCell ref="C16:D17"/>
    <mergeCell ref="A13:F13"/>
    <mergeCell ref="H16:H17"/>
    <mergeCell ref="J12:N12"/>
    <mergeCell ref="A9:G9"/>
    <mergeCell ref="A10:G10"/>
    <mergeCell ref="A11:G11"/>
    <mergeCell ref="A12:G12"/>
  </mergeCells>
  <phoneticPr fontId="0" type="noConversion"/>
  <pageMargins left="0.7" right="0.7" top="0.75" bottom="0.75" header="0.3" footer="0.3"/>
  <pageSetup scale="96" orientation="portrait" r:id="rId1"/>
  <headerFooter>
    <oddHeader>&amp;RExhibit No. JH-3
Dockets UE-170485/UG-170486
Page &amp;P of &amp;N</oddHeader>
    <oddFooter>&amp;LBench Request No.9 - Attachment 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AQ119"/>
  <sheetViews>
    <sheetView topLeftCell="A16" zoomScaleNormal="100" zoomScaleSheetLayoutView="130" workbookViewId="0">
      <selection activeCell="F37" sqref="F37"/>
    </sheetView>
  </sheetViews>
  <sheetFormatPr defaultColWidth="9.21875" defaultRowHeight="13.2"/>
  <cols>
    <col min="1" max="1" width="9.21875" style="35"/>
    <col min="2" max="2" width="6.5546875" style="35" customWidth="1"/>
    <col min="3" max="3" width="42" style="35" customWidth="1"/>
    <col min="4" max="4" width="9.21875" style="35"/>
    <col min="5" max="5" width="20.21875" style="91" customWidth="1"/>
    <col min="6" max="6" width="17.21875" style="35" customWidth="1"/>
    <col min="7" max="9" width="9.21875" style="35"/>
    <col min="10" max="10" width="19.77734375" style="35" bestFit="1" customWidth="1"/>
    <col min="11" max="11" width="11.77734375" style="35" customWidth="1"/>
    <col min="12" max="30" width="9.21875" style="35"/>
    <col min="31" max="31" width="14.77734375" style="35" customWidth="1"/>
    <col min="32" max="32" width="13" style="35" customWidth="1"/>
    <col min="33" max="16384" width="9.21875" style="35"/>
  </cols>
  <sheetData>
    <row r="1" spans="1:43" s="89" customFormat="1" ht="15.6">
      <c r="A1" s="523"/>
      <c r="B1" s="523"/>
      <c r="C1" s="524" t="s">
        <v>115</v>
      </c>
      <c r="D1" s="525"/>
      <c r="E1" s="526"/>
      <c r="F1" s="527"/>
      <c r="G1" s="528"/>
      <c r="H1" s="528"/>
      <c r="I1" s="528"/>
      <c r="J1" s="439"/>
      <c r="K1" s="527"/>
      <c r="L1" s="527"/>
      <c r="M1" s="527"/>
      <c r="N1" s="527"/>
      <c r="O1" s="527"/>
      <c r="P1" s="527"/>
      <c r="Q1" s="944" t="s">
        <v>115</v>
      </c>
      <c r="R1" s="945"/>
      <c r="S1" s="945"/>
      <c r="T1" s="945"/>
      <c r="U1" s="945"/>
      <c r="V1" s="945"/>
      <c r="W1" s="945"/>
    </row>
    <row r="2" spans="1:43" s="89" customFormat="1" ht="15.6">
      <c r="A2" s="529"/>
      <c r="B2" s="523"/>
      <c r="C2" s="524" t="s">
        <v>165</v>
      </c>
      <c r="D2" s="525"/>
      <c r="E2" s="530"/>
      <c r="F2" s="527"/>
      <c r="G2" s="527"/>
      <c r="H2" s="527"/>
      <c r="I2" s="527"/>
      <c r="J2" s="439"/>
      <c r="K2" s="527"/>
      <c r="L2" s="527"/>
      <c r="M2" s="527"/>
      <c r="N2" s="527"/>
      <c r="O2" s="527"/>
      <c r="P2" s="527"/>
      <c r="Q2" s="944" t="s">
        <v>179</v>
      </c>
      <c r="R2" s="945"/>
      <c r="S2" s="945"/>
      <c r="T2" s="945"/>
      <c r="U2" s="945"/>
      <c r="V2" s="945"/>
      <c r="W2" s="945"/>
    </row>
    <row r="3" spans="1:43" s="89" customFormat="1" ht="15.6">
      <c r="A3" s="529"/>
      <c r="B3" s="523"/>
      <c r="C3" s="531" t="s">
        <v>543</v>
      </c>
      <c r="D3" s="525"/>
      <c r="E3" s="530"/>
      <c r="F3" s="527"/>
      <c r="G3" s="527"/>
      <c r="H3" s="527"/>
      <c r="I3" s="527"/>
      <c r="J3" s="439"/>
      <c r="K3" s="527"/>
      <c r="L3" s="527"/>
      <c r="M3" s="527"/>
      <c r="N3" s="527"/>
      <c r="O3" s="527"/>
      <c r="P3" s="527"/>
      <c r="Q3" s="532"/>
      <c r="R3" s="300"/>
      <c r="S3" s="300"/>
      <c r="T3" s="300"/>
      <c r="U3" s="300"/>
      <c r="V3" s="300"/>
      <c r="W3" s="300"/>
    </row>
    <row r="4" spans="1:43" ht="15.6">
      <c r="A4" s="523"/>
      <c r="B4" s="533"/>
      <c r="C4" s="524" t="str">
        <f>'PROP0SED RATES-2018'!A4</f>
        <v>TWELVE MONTHS ENDED DECEMBER 31, 2016</v>
      </c>
      <c r="D4" s="533"/>
      <c r="E4" s="533"/>
      <c r="F4" s="534"/>
      <c r="G4" s="534"/>
      <c r="H4" s="534"/>
      <c r="I4" s="534"/>
      <c r="J4" s="534"/>
      <c r="K4" s="534"/>
      <c r="L4" s="534"/>
      <c r="M4" s="534"/>
      <c r="N4" s="535"/>
      <c r="O4" s="535"/>
      <c r="P4" s="535"/>
      <c r="Q4" s="439"/>
    </row>
    <row r="5" spans="1:43" ht="16.2" thickBot="1">
      <c r="A5" s="523"/>
      <c r="B5" s="523"/>
      <c r="C5" s="536"/>
      <c r="D5" s="537"/>
      <c r="E5" s="538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</row>
    <row r="6" spans="1:43" ht="15.6">
      <c r="A6" s="536"/>
      <c r="B6" s="523"/>
      <c r="C6" s="524"/>
      <c r="D6" s="537"/>
      <c r="E6" s="525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49"/>
      <c r="Q6" s="439"/>
      <c r="Y6" s="95"/>
      <c r="Z6" s="95"/>
      <c r="AD6" s="95"/>
      <c r="AE6" s="302"/>
      <c r="AF6" s="303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</row>
    <row r="7" spans="1:43" ht="15.6">
      <c r="A7" s="536"/>
      <c r="B7" s="523"/>
      <c r="C7" s="524"/>
      <c r="D7" s="537"/>
      <c r="E7" s="525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AE7" s="304"/>
      <c r="AF7" s="305"/>
    </row>
    <row r="8" spans="1:43" ht="15.6">
      <c r="A8" s="536"/>
      <c r="B8" s="523"/>
      <c r="C8" s="537"/>
      <c r="D8" s="537"/>
      <c r="E8" s="539"/>
      <c r="F8" s="540"/>
      <c r="G8" s="540"/>
      <c r="H8" s="439"/>
      <c r="I8" s="439"/>
      <c r="J8" s="439"/>
      <c r="K8" s="439"/>
      <c r="L8" s="439"/>
      <c r="M8" s="439"/>
      <c r="N8" s="439"/>
      <c r="O8" s="439"/>
      <c r="P8" s="439"/>
      <c r="Q8" s="439"/>
      <c r="AE8" s="304"/>
      <c r="AF8" s="305"/>
    </row>
    <row r="9" spans="1:43" ht="15.6">
      <c r="A9" s="536" t="s">
        <v>138</v>
      </c>
      <c r="B9" s="523"/>
      <c r="C9" s="536"/>
      <c r="D9" s="537"/>
      <c r="E9" s="536" t="s">
        <v>613</v>
      </c>
      <c r="F9" s="858" t="s">
        <v>614</v>
      </c>
      <c r="G9" s="439"/>
      <c r="H9" s="439"/>
      <c r="I9" s="439"/>
      <c r="J9" s="527" t="s">
        <v>166</v>
      </c>
      <c r="K9" s="439"/>
      <c r="L9" s="439"/>
      <c r="M9" s="451"/>
      <c r="N9" s="451"/>
      <c r="O9" s="451"/>
      <c r="P9" s="451"/>
      <c r="Q9" s="439"/>
      <c r="AE9" s="304"/>
      <c r="AF9" s="305"/>
    </row>
    <row r="10" spans="1:43" ht="15.6">
      <c r="A10" s="541" t="s">
        <v>16</v>
      </c>
      <c r="B10" s="523"/>
      <c r="C10" s="541" t="s">
        <v>73</v>
      </c>
      <c r="D10" s="537"/>
      <c r="E10" s="541" t="s">
        <v>157</v>
      </c>
      <c r="F10" s="541" t="s">
        <v>157</v>
      </c>
      <c r="G10" s="439"/>
      <c r="H10" s="439"/>
      <c r="I10" s="439"/>
      <c r="J10" s="439"/>
      <c r="K10" s="439"/>
      <c r="L10" s="439"/>
      <c r="M10" s="451"/>
      <c r="N10" s="451"/>
      <c r="O10" s="451"/>
      <c r="P10" s="451"/>
      <c r="Q10" s="439"/>
      <c r="AE10" s="304"/>
      <c r="AF10" s="305"/>
    </row>
    <row r="11" spans="1:43" ht="15.6">
      <c r="A11" s="536"/>
      <c r="B11" s="523"/>
      <c r="C11" s="537"/>
      <c r="D11" s="537"/>
      <c r="E11" s="537"/>
      <c r="F11" s="439"/>
      <c r="G11" s="439"/>
      <c r="H11" s="439"/>
      <c r="I11" s="439"/>
      <c r="J11" s="439"/>
      <c r="K11" s="439"/>
      <c r="L11" s="439"/>
      <c r="M11" s="451"/>
      <c r="N11" s="451"/>
      <c r="O11" s="451"/>
      <c r="P11" s="451"/>
      <c r="Q11" s="439"/>
      <c r="AE11" s="304"/>
      <c r="AF11" s="305"/>
    </row>
    <row r="12" spans="1:43" ht="15.6">
      <c r="A12" s="542">
        <v>1</v>
      </c>
      <c r="B12" s="523"/>
      <c r="C12" s="525" t="s">
        <v>158</v>
      </c>
      <c r="D12" s="537"/>
      <c r="E12" s="537">
        <v>1</v>
      </c>
      <c r="F12" s="876">
        <v>1</v>
      </c>
      <c r="G12" s="439"/>
      <c r="H12" s="439"/>
      <c r="I12" s="439"/>
      <c r="J12" s="543">
        <f>'RR SUMMARY'!H31</f>
        <v>-4135</v>
      </c>
      <c r="K12" s="543"/>
      <c r="L12" s="439"/>
      <c r="M12" s="451"/>
      <c r="N12" s="544"/>
      <c r="O12" s="451"/>
      <c r="P12" s="451"/>
      <c r="Q12" s="439"/>
      <c r="AE12" s="304"/>
      <c r="AF12" s="305"/>
    </row>
    <row r="13" spans="1:43" ht="15.6">
      <c r="A13" s="542"/>
      <c r="B13" s="523"/>
      <c r="C13" s="525"/>
      <c r="D13" s="537"/>
      <c r="E13" s="537"/>
      <c r="F13" s="876"/>
      <c r="G13" s="439"/>
      <c r="H13" s="439"/>
      <c r="I13" s="439"/>
      <c r="J13" s="439"/>
      <c r="K13" s="439"/>
      <c r="L13" s="439"/>
      <c r="M13" s="451"/>
      <c r="N13" s="451"/>
      <c r="O13" s="451"/>
      <c r="P13" s="451"/>
      <c r="Q13" s="439"/>
      <c r="AE13" s="304"/>
      <c r="AF13" s="305"/>
    </row>
    <row r="14" spans="1:43" ht="15.6">
      <c r="A14" s="542"/>
      <c r="B14" s="523"/>
      <c r="C14" s="525" t="s">
        <v>159</v>
      </c>
      <c r="D14" s="537"/>
      <c r="E14" s="537"/>
      <c r="F14" s="876"/>
      <c r="G14" s="439"/>
      <c r="H14" s="439"/>
      <c r="I14" s="439"/>
      <c r="J14" s="439"/>
      <c r="K14" s="439"/>
      <c r="L14" s="439"/>
      <c r="M14" s="451"/>
      <c r="N14" s="451"/>
      <c r="O14" s="451"/>
      <c r="P14" s="451"/>
      <c r="Q14" s="439"/>
      <c r="AE14" s="304"/>
      <c r="AF14" s="305"/>
    </row>
    <row r="15" spans="1:43" ht="15.6">
      <c r="A15" s="542">
        <v>2</v>
      </c>
      <c r="B15" s="545"/>
      <c r="C15" s="537" t="s">
        <v>160</v>
      </c>
      <c r="D15" s="537"/>
      <c r="E15" s="433">
        <v>6.1830000000000001E-3</v>
      </c>
      <c r="F15" s="877">
        <v>6.1830000000000001E-3</v>
      </c>
      <c r="G15" s="439"/>
      <c r="H15" s="439"/>
      <c r="I15" s="439"/>
      <c r="J15" s="546">
        <f>ROUND($J$12*E15,0)</f>
        <v>-26</v>
      </c>
      <c r="K15" s="546"/>
      <c r="L15" s="439"/>
      <c r="M15" s="451"/>
      <c r="N15" s="547"/>
      <c r="O15" s="451"/>
      <c r="P15" s="451"/>
      <c r="Q15" s="439"/>
      <c r="AE15" s="304"/>
      <c r="AF15" s="305"/>
    </row>
    <row r="16" spans="1:43" ht="15.6">
      <c r="A16" s="542"/>
      <c r="B16" s="523"/>
      <c r="C16" s="537"/>
      <c r="D16" s="537"/>
      <c r="E16" s="433"/>
      <c r="F16" s="878"/>
      <c r="G16" s="439"/>
      <c r="H16" s="439"/>
      <c r="I16" s="439"/>
      <c r="J16" s="439"/>
      <c r="K16" s="439"/>
      <c r="L16" s="439"/>
      <c r="M16" s="451"/>
      <c r="N16" s="451"/>
      <c r="O16" s="451"/>
      <c r="P16" s="451"/>
      <c r="Q16" s="439"/>
      <c r="AE16" s="304"/>
      <c r="AF16" s="305"/>
    </row>
    <row r="17" spans="1:32" ht="15.6">
      <c r="A17" s="542">
        <v>3</v>
      </c>
      <c r="B17" s="523"/>
      <c r="C17" s="537" t="s">
        <v>161</v>
      </c>
      <c r="D17" s="537"/>
      <c r="E17" s="433">
        <v>2E-3</v>
      </c>
      <c r="F17" s="878">
        <v>2E-3</v>
      </c>
      <c r="G17" s="439"/>
      <c r="H17" s="439"/>
      <c r="I17" s="439"/>
      <c r="J17" s="546">
        <f>ROUND($J$12*E17,0)</f>
        <v>-8</v>
      </c>
      <c r="K17" s="546"/>
      <c r="L17" s="439"/>
      <c r="M17" s="451"/>
      <c r="N17" s="547"/>
      <c r="O17" s="451"/>
      <c r="P17" s="451"/>
      <c r="Q17" s="439"/>
      <c r="AE17" s="304"/>
      <c r="AF17" s="305"/>
    </row>
    <row r="18" spans="1:32" ht="15.6">
      <c r="A18" s="542"/>
      <c r="B18" s="523"/>
      <c r="C18" s="537"/>
      <c r="D18" s="537"/>
      <c r="E18" s="433"/>
      <c r="F18" s="878"/>
      <c r="G18" s="439"/>
      <c r="H18" s="439"/>
      <c r="I18" s="439"/>
      <c r="J18" s="439"/>
      <c r="K18" s="439"/>
      <c r="L18" s="439"/>
      <c r="M18" s="451"/>
      <c r="N18" s="451"/>
      <c r="O18" s="451"/>
      <c r="P18" s="451"/>
      <c r="Q18" s="439"/>
      <c r="AE18" s="304"/>
      <c r="AF18" s="305"/>
    </row>
    <row r="19" spans="1:32" ht="15.6">
      <c r="A19" s="542">
        <v>4</v>
      </c>
      <c r="B19" s="523"/>
      <c r="C19" s="537" t="s">
        <v>162</v>
      </c>
      <c r="D19" s="537"/>
      <c r="E19" s="433">
        <v>3.8281999999999997E-2</v>
      </c>
      <c r="F19" s="877">
        <v>3.8281999999999997E-2</v>
      </c>
      <c r="G19" s="439"/>
      <c r="H19" s="439"/>
      <c r="I19" s="439"/>
      <c r="J19" s="546">
        <f>ROUND($J$12*E19,0)</f>
        <v>-158</v>
      </c>
      <c r="K19" s="546"/>
      <c r="L19" s="439"/>
      <c r="M19" s="451"/>
      <c r="N19" s="547"/>
      <c r="O19" s="451"/>
      <c r="P19" s="451"/>
      <c r="Q19" s="439"/>
      <c r="AE19" s="304"/>
      <c r="AF19" s="305"/>
    </row>
    <row r="20" spans="1:32" ht="15.6">
      <c r="A20" s="542"/>
      <c r="B20" s="523"/>
      <c r="C20" s="537"/>
      <c r="D20" s="537"/>
      <c r="E20" s="537"/>
      <c r="F20" s="879"/>
      <c r="G20" s="439"/>
      <c r="H20" s="439"/>
      <c r="I20" s="439"/>
      <c r="J20" s="439"/>
      <c r="K20" s="439"/>
      <c r="L20" s="439"/>
      <c r="M20" s="451"/>
      <c r="N20" s="451"/>
      <c r="O20" s="451"/>
      <c r="P20" s="451"/>
      <c r="Q20" s="439"/>
      <c r="AE20" s="304"/>
      <c r="AF20" s="305"/>
    </row>
    <row r="21" spans="1:32" ht="15.6">
      <c r="A21" s="542">
        <v>6</v>
      </c>
      <c r="B21" s="523"/>
      <c r="C21" s="537" t="s">
        <v>163</v>
      </c>
      <c r="D21" s="537"/>
      <c r="E21" s="548">
        <f>SUM(E15:E19)</f>
        <v>4.6464999999999992E-2</v>
      </c>
      <c r="F21" s="880">
        <f>SUM(F15:F19)</f>
        <v>4.6464999999999992E-2</v>
      </c>
      <c r="G21" s="439"/>
      <c r="H21" s="439"/>
      <c r="I21" s="439"/>
      <c r="J21" s="549">
        <f>SUM(J15:J20)</f>
        <v>-192</v>
      </c>
      <c r="K21" s="549"/>
      <c r="L21" s="439"/>
      <c r="M21" s="451"/>
      <c r="N21" s="547"/>
      <c r="O21" s="451"/>
      <c r="P21" s="451"/>
      <c r="Q21" s="439"/>
      <c r="AE21" s="304"/>
      <c r="AF21" s="305"/>
    </row>
    <row r="22" spans="1:32" ht="15.6">
      <c r="A22" s="542"/>
      <c r="B22" s="523"/>
      <c r="C22" s="537"/>
      <c r="D22" s="537"/>
      <c r="E22" s="537"/>
      <c r="F22" s="876"/>
      <c r="G22" s="439"/>
      <c r="H22" s="439"/>
      <c r="I22" s="439"/>
      <c r="J22" s="547"/>
      <c r="K22" s="547"/>
      <c r="L22" s="439"/>
      <c r="M22" s="451"/>
      <c r="N22" s="547"/>
      <c r="O22" s="451"/>
      <c r="P22" s="451"/>
      <c r="Q22" s="439"/>
      <c r="AE22" s="304"/>
      <c r="AF22" s="305"/>
    </row>
    <row r="23" spans="1:32" ht="15.6">
      <c r="A23" s="542">
        <v>7</v>
      </c>
      <c r="B23" s="523"/>
      <c r="C23" s="537" t="s">
        <v>164</v>
      </c>
      <c r="D23" s="537"/>
      <c r="E23" s="537">
        <f>E12-E21</f>
        <v>0.95353500000000002</v>
      </c>
      <c r="F23" s="876">
        <f>F12-F21</f>
        <v>0.95353500000000002</v>
      </c>
      <c r="G23" s="439"/>
      <c r="H23" s="439"/>
      <c r="I23" s="439"/>
      <c r="J23" s="547">
        <f>J12-J21</f>
        <v>-3943</v>
      </c>
      <c r="K23" s="547"/>
      <c r="L23" s="439"/>
      <c r="M23" s="451"/>
      <c r="N23" s="547"/>
      <c r="O23" s="451"/>
      <c r="P23" s="451"/>
      <c r="Q23" s="439"/>
      <c r="AE23" s="304"/>
      <c r="AF23" s="305"/>
    </row>
    <row r="24" spans="1:32" ht="15.6">
      <c r="A24" s="542"/>
      <c r="B24" s="523"/>
      <c r="C24" s="537"/>
      <c r="D24" s="537"/>
      <c r="E24" s="537"/>
      <c r="F24" s="876"/>
      <c r="G24" s="439"/>
      <c r="H24" s="439"/>
      <c r="I24" s="439"/>
      <c r="J24" s="439"/>
      <c r="K24" s="439"/>
      <c r="L24" s="439"/>
      <c r="M24" s="451"/>
      <c r="N24" s="451"/>
      <c r="O24" s="451"/>
      <c r="P24" s="451"/>
      <c r="Q24" s="439"/>
      <c r="AE24" s="304"/>
      <c r="AF24" s="305"/>
    </row>
    <row r="25" spans="1:32" ht="15.6">
      <c r="A25" s="542">
        <v>8</v>
      </c>
      <c r="B25" s="523"/>
      <c r="C25" s="537" t="s">
        <v>662</v>
      </c>
      <c r="D25" s="550"/>
      <c r="E25" s="537">
        <f>E23*0.35</f>
        <v>0.33373724999999999</v>
      </c>
      <c r="F25" s="881">
        <f>F23*0.21</f>
        <v>0.20024234999999999</v>
      </c>
      <c r="G25" s="439"/>
      <c r="H25" s="439"/>
      <c r="I25" s="439"/>
      <c r="J25" s="551">
        <f>ROUND(J23*0.35,0)</f>
        <v>-1380</v>
      </c>
      <c r="K25" s="551"/>
      <c r="L25" s="439"/>
      <c r="M25" s="451"/>
      <c r="N25" s="547"/>
      <c r="O25" s="451"/>
      <c r="P25" s="451"/>
      <c r="Q25" s="439"/>
      <c r="AE25" s="304"/>
      <c r="AF25" s="305"/>
    </row>
    <row r="26" spans="1:32" ht="15.6">
      <c r="A26" s="523"/>
      <c r="B26" s="523"/>
      <c r="C26" s="537"/>
      <c r="D26" s="537"/>
      <c r="E26" s="537"/>
      <c r="F26" s="876"/>
      <c r="G26" s="439"/>
      <c r="H26" s="439"/>
      <c r="I26" s="439"/>
      <c r="J26" s="439"/>
      <c r="K26" s="439"/>
      <c r="L26" s="439"/>
      <c r="M26" s="451"/>
      <c r="N26" s="451"/>
      <c r="O26" s="451"/>
      <c r="P26" s="451"/>
      <c r="Q26" s="439"/>
      <c r="AE26" s="304"/>
      <c r="AF26" s="305"/>
    </row>
    <row r="27" spans="1:32" ht="16.2" thickBot="1">
      <c r="A27" s="542">
        <v>9</v>
      </c>
      <c r="B27" s="523"/>
      <c r="C27" s="537" t="s">
        <v>165</v>
      </c>
      <c r="D27" s="537"/>
      <c r="E27" s="552">
        <f>ROUND(E23-E25,6)</f>
        <v>0.61979799999999996</v>
      </c>
      <c r="F27" s="882">
        <f>ROUND(F23-F25,6)</f>
        <v>0.75329299999999999</v>
      </c>
      <c r="G27" s="439"/>
      <c r="H27" s="439"/>
      <c r="I27" s="439"/>
      <c r="J27" s="553">
        <f>J23-J25</f>
        <v>-2563</v>
      </c>
      <c r="K27" s="553"/>
      <c r="L27" s="439"/>
      <c r="M27" s="451"/>
      <c r="N27" s="554"/>
      <c r="O27" s="451"/>
      <c r="P27" s="451"/>
      <c r="Q27" s="439"/>
      <c r="AE27" s="304"/>
      <c r="AF27" s="305"/>
    </row>
    <row r="28" spans="1:32" ht="13.5" customHeight="1" thickTop="1">
      <c r="A28" s="523"/>
      <c r="B28" s="523"/>
      <c r="C28" s="537"/>
      <c r="D28" s="537"/>
      <c r="E28" s="538"/>
      <c r="F28" s="946"/>
      <c r="G28" s="946"/>
      <c r="H28" s="946"/>
      <c r="I28" s="439"/>
      <c r="J28" s="439"/>
      <c r="K28" s="439"/>
      <c r="L28" s="439"/>
      <c r="M28" s="451"/>
      <c r="N28" s="451"/>
      <c r="O28" s="451"/>
      <c r="P28" s="451"/>
      <c r="Q28" s="439"/>
      <c r="AE28" s="304"/>
      <c r="AF28" s="305"/>
    </row>
    <row r="29" spans="1:32" ht="15.6">
      <c r="A29" s="523"/>
      <c r="B29" s="523"/>
      <c r="C29" s="555"/>
      <c r="D29" s="537"/>
      <c r="E29" s="538"/>
      <c r="F29" s="946"/>
      <c r="G29" s="946"/>
      <c r="H29" s="946"/>
      <c r="I29" s="439"/>
      <c r="J29" s="546">
        <f>J27/E27</f>
        <v>-4135.2182485261328</v>
      </c>
      <c r="K29" s="546"/>
      <c r="L29" s="439" t="s">
        <v>448</v>
      </c>
      <c r="M29" s="451"/>
      <c r="N29" s="451"/>
      <c r="O29" s="451"/>
      <c r="P29" s="451"/>
      <c r="Q29" s="439"/>
      <c r="AE29" s="304"/>
      <c r="AF29" s="305"/>
    </row>
    <row r="30" spans="1:32">
      <c r="A30" s="439"/>
      <c r="B30" s="439"/>
      <c r="C30" s="556"/>
      <c r="D30" s="556"/>
      <c r="E30" s="557"/>
      <c r="F30" s="946"/>
      <c r="G30" s="946"/>
      <c r="H30" s="946"/>
      <c r="I30" s="439"/>
      <c r="J30" s="469">
        <f>J29-'RR SUMMARY'!H31</f>
        <v>-0.21824852613281109</v>
      </c>
      <c r="K30" s="558"/>
      <c r="L30" s="439" t="s">
        <v>86</v>
      </c>
      <c r="M30" s="451"/>
      <c r="N30" s="451"/>
      <c r="O30" s="451"/>
      <c r="P30" s="451"/>
      <c r="Q30" s="439"/>
      <c r="AE30" s="304"/>
      <c r="AF30" s="305"/>
    </row>
    <row r="31" spans="1:32">
      <c r="A31" s="439"/>
      <c r="B31" s="439"/>
      <c r="C31" s="556"/>
      <c r="D31" s="556"/>
      <c r="E31" s="557"/>
      <c r="F31" s="439"/>
      <c r="G31" s="439"/>
      <c r="H31" s="439"/>
      <c r="I31" s="439"/>
      <c r="J31" s="439"/>
      <c r="K31" s="439"/>
      <c r="L31" s="439"/>
      <c r="M31" s="451"/>
      <c r="N31" s="451"/>
      <c r="O31" s="451"/>
      <c r="P31" s="451"/>
      <c r="Q31" s="439"/>
      <c r="AE31" s="304"/>
      <c r="AF31" s="305"/>
    </row>
    <row r="32" spans="1:32">
      <c r="A32" s="439"/>
      <c r="B32" s="439"/>
      <c r="C32" s="556"/>
      <c r="D32" s="556"/>
      <c r="E32" s="557"/>
      <c r="F32" s="439"/>
      <c r="G32" s="439"/>
      <c r="H32" s="439"/>
      <c r="I32" s="439"/>
      <c r="J32" s="439"/>
      <c r="K32" s="439"/>
      <c r="L32" s="439"/>
      <c r="M32" s="451"/>
      <c r="N32" s="451"/>
      <c r="O32" s="451"/>
      <c r="P32" s="451"/>
      <c r="Q32" s="439"/>
      <c r="AE32" s="304"/>
      <c r="AF32" s="305"/>
    </row>
    <row r="33" spans="1:32">
      <c r="A33" s="439"/>
      <c r="B33" s="439"/>
      <c r="C33" s="556"/>
      <c r="D33" s="556"/>
      <c r="E33" s="557"/>
      <c r="F33" s="439"/>
      <c r="G33" s="439"/>
      <c r="H33" s="439"/>
      <c r="I33" s="439"/>
      <c r="J33" s="439"/>
      <c r="K33" s="439"/>
      <c r="L33" s="439"/>
      <c r="M33" s="451"/>
      <c r="N33" s="451"/>
      <c r="O33" s="451"/>
      <c r="P33" s="451"/>
      <c r="Q33" s="439"/>
      <c r="AE33" s="304"/>
      <c r="AF33" s="305"/>
    </row>
    <row r="34" spans="1:32">
      <c r="A34" s="439"/>
      <c r="B34" s="439"/>
      <c r="C34" s="556"/>
      <c r="D34" s="556"/>
      <c r="E34" s="557"/>
      <c r="F34" s="439"/>
      <c r="G34" s="439"/>
      <c r="H34" s="439"/>
      <c r="I34" s="439"/>
      <c r="J34" s="439"/>
      <c r="K34" s="439"/>
      <c r="L34" s="439"/>
      <c r="M34" s="451"/>
      <c r="N34" s="451"/>
      <c r="O34" s="451"/>
      <c r="P34" s="451"/>
      <c r="Q34" s="439"/>
      <c r="AE34" s="304"/>
      <c r="AF34" s="305"/>
    </row>
    <row r="35" spans="1:32">
      <c r="A35" s="439"/>
      <c r="B35" s="439"/>
      <c r="C35" s="556"/>
      <c r="D35" s="556"/>
      <c r="E35" s="557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AE35" s="304"/>
      <c r="AF35" s="305"/>
    </row>
    <row r="36" spans="1:32">
      <c r="A36" s="439"/>
      <c r="B36" s="439"/>
      <c r="C36" s="556"/>
      <c r="D36" s="556"/>
      <c r="E36" s="557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AE36" s="304"/>
      <c r="AF36" s="305"/>
    </row>
    <row r="37" spans="1:32">
      <c r="A37" s="439"/>
      <c r="B37" s="439"/>
      <c r="C37" s="556"/>
      <c r="D37" s="556"/>
      <c r="E37" s="557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AE37" s="304"/>
      <c r="AF37" s="305"/>
    </row>
    <row r="38" spans="1:32">
      <c r="A38" s="439"/>
      <c r="B38" s="439"/>
      <c r="C38" s="556"/>
      <c r="D38" s="556"/>
      <c r="E38" s="557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AE38" s="304"/>
      <c r="AF38" s="305"/>
    </row>
    <row r="39" spans="1:32">
      <c r="A39" s="439"/>
      <c r="B39" s="439"/>
      <c r="C39" s="556"/>
      <c r="D39" s="556"/>
      <c r="E39" s="557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AE39" s="304"/>
      <c r="AF39" s="305"/>
    </row>
    <row r="40" spans="1:32">
      <c r="A40" s="439"/>
      <c r="B40" s="439"/>
      <c r="C40" s="556"/>
      <c r="D40" s="556"/>
      <c r="E40" s="557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AE40" s="304"/>
      <c r="AF40" s="305"/>
    </row>
    <row r="41" spans="1:32">
      <c r="A41" s="439"/>
      <c r="B41" s="439"/>
      <c r="C41" s="556"/>
      <c r="D41" s="556"/>
      <c r="E41" s="557"/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AE41" s="304"/>
      <c r="AF41" s="305"/>
    </row>
    <row r="42" spans="1:32">
      <c r="A42" s="439"/>
      <c r="B42" s="439"/>
      <c r="C42" s="556"/>
      <c r="D42" s="556"/>
      <c r="E42" s="557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AE42" s="304"/>
      <c r="AF42" s="305"/>
    </row>
    <row r="43" spans="1:32">
      <c r="A43" s="439"/>
      <c r="B43" s="439"/>
      <c r="C43" s="556"/>
      <c r="D43" s="556"/>
      <c r="E43" s="557"/>
      <c r="F43" s="439"/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AE43" s="304"/>
      <c r="AF43" s="305"/>
    </row>
    <row r="44" spans="1:32">
      <c r="A44" s="439"/>
      <c r="B44" s="439"/>
      <c r="C44" s="556"/>
      <c r="D44" s="439"/>
      <c r="E44" s="557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AE44" s="304"/>
      <c r="AF44" s="305"/>
    </row>
    <row r="45" spans="1:32">
      <c r="A45" s="439"/>
      <c r="B45" s="439"/>
      <c r="C45" s="556"/>
      <c r="D45" s="439"/>
      <c r="E45" s="557"/>
      <c r="F45" s="439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AE45" s="304"/>
      <c r="AF45" s="305"/>
    </row>
    <row r="46" spans="1:32">
      <c r="A46" s="439"/>
      <c r="B46" s="439"/>
      <c r="C46" s="556"/>
      <c r="D46" s="556"/>
      <c r="E46" s="557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AE46" s="304"/>
      <c r="AF46" s="305"/>
    </row>
    <row r="47" spans="1:32">
      <c r="A47" s="439"/>
      <c r="B47" s="439"/>
      <c r="C47" s="556"/>
      <c r="D47" s="556"/>
      <c r="E47" s="557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AE47" s="304"/>
      <c r="AF47" s="305"/>
    </row>
    <row r="48" spans="1:32">
      <c r="A48" s="439"/>
      <c r="B48" s="439"/>
      <c r="C48" s="556"/>
      <c r="D48" s="556"/>
      <c r="E48" s="557"/>
      <c r="F48" s="439"/>
      <c r="G48" s="439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AE48" s="304"/>
      <c r="AF48" s="305"/>
    </row>
    <row r="49" spans="1:32">
      <c r="A49" s="439"/>
      <c r="B49" s="439"/>
      <c r="C49" s="556"/>
      <c r="D49" s="556"/>
      <c r="E49" s="557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AE49" s="304"/>
      <c r="AF49" s="305"/>
    </row>
    <row r="50" spans="1:32">
      <c r="A50" s="439"/>
      <c r="B50" s="439"/>
      <c r="C50" s="556"/>
      <c r="D50" s="556"/>
      <c r="E50" s="557"/>
      <c r="F50" s="439"/>
      <c r="G50" s="439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AE50" s="304"/>
      <c r="AF50" s="305"/>
    </row>
    <row r="51" spans="1:32">
      <c r="A51" s="439"/>
      <c r="B51" s="439"/>
      <c r="C51" s="556"/>
      <c r="D51" s="556"/>
      <c r="E51" s="557"/>
      <c r="F51" s="439"/>
      <c r="G51" s="439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AE51" s="304"/>
      <c r="AF51" s="305"/>
    </row>
    <row r="52" spans="1:32">
      <c r="A52" s="439"/>
      <c r="B52" s="439"/>
      <c r="C52" s="556"/>
      <c r="D52" s="556"/>
      <c r="E52" s="557"/>
      <c r="F52" s="439"/>
      <c r="G52" s="439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AE52" s="304"/>
      <c r="AF52" s="305"/>
    </row>
    <row r="53" spans="1:32">
      <c r="A53" s="439"/>
      <c r="B53" s="439"/>
      <c r="C53" s="439"/>
      <c r="D53" s="556"/>
      <c r="E53" s="557"/>
      <c r="F53" s="439"/>
      <c r="G53" s="439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AE53" s="304"/>
      <c r="AF53" s="305"/>
    </row>
    <row r="54" spans="1:32">
      <c r="A54" s="439"/>
      <c r="B54" s="439"/>
      <c r="C54" s="556"/>
      <c r="D54" s="556"/>
      <c r="E54" s="557"/>
      <c r="F54" s="439"/>
      <c r="G54" s="439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AE54" s="304"/>
      <c r="AF54" s="305"/>
    </row>
    <row r="55" spans="1:32">
      <c r="A55" s="439"/>
      <c r="B55" s="439"/>
      <c r="C55" s="556"/>
      <c r="D55" s="556"/>
      <c r="E55" s="557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AE55" s="304"/>
      <c r="AF55" s="305"/>
    </row>
    <row r="56" spans="1:32">
      <c r="A56" s="439"/>
      <c r="B56" s="439"/>
      <c r="C56" s="439"/>
      <c r="D56" s="439"/>
      <c r="E56" s="557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AE56" s="304"/>
      <c r="AF56" s="305"/>
    </row>
    <row r="57" spans="1:32">
      <c r="A57" s="439"/>
      <c r="B57" s="439"/>
      <c r="C57" s="439"/>
      <c r="D57" s="439"/>
      <c r="E57" s="557"/>
      <c r="F57" s="439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AE57" s="304"/>
      <c r="AF57" s="305"/>
    </row>
    <row r="58" spans="1:32">
      <c r="A58" s="439"/>
      <c r="B58" s="439"/>
      <c r="C58" s="439"/>
      <c r="D58" s="439"/>
      <c r="E58" s="557"/>
      <c r="F58" s="439"/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AE58" s="304"/>
      <c r="AF58" s="305"/>
    </row>
    <row r="59" spans="1:32">
      <c r="A59" s="439"/>
      <c r="B59" s="439"/>
      <c r="C59" s="439"/>
      <c r="D59" s="439"/>
      <c r="E59" s="557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AE59" s="304"/>
      <c r="AF59" s="305"/>
    </row>
    <row r="60" spans="1:32">
      <c r="A60" s="439"/>
      <c r="B60" s="439"/>
      <c r="C60" s="439"/>
      <c r="D60" s="439"/>
      <c r="E60" s="557"/>
      <c r="F60" s="43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AE60" s="304"/>
      <c r="AF60" s="305"/>
    </row>
    <row r="61" spans="1:32">
      <c r="A61" s="439"/>
      <c r="B61" s="439"/>
      <c r="C61" s="439"/>
      <c r="D61" s="439"/>
      <c r="E61" s="557"/>
      <c r="F61" s="43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AE61" s="304"/>
      <c r="AF61" s="305"/>
    </row>
    <row r="62" spans="1:32">
      <c r="A62" s="439"/>
      <c r="B62" s="439"/>
      <c r="C62" s="439"/>
      <c r="D62" s="439"/>
      <c r="E62" s="557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AE62" s="304"/>
      <c r="AF62" s="305"/>
    </row>
    <row r="63" spans="1:32">
      <c r="A63" s="439"/>
      <c r="B63" s="439"/>
      <c r="C63" s="439"/>
      <c r="D63" s="439"/>
      <c r="E63" s="557"/>
      <c r="F63" s="439"/>
      <c r="G63" s="439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AE63" s="304"/>
      <c r="AF63" s="305"/>
    </row>
    <row r="64" spans="1:32">
      <c r="A64" s="439"/>
      <c r="B64" s="439"/>
      <c r="C64" s="439"/>
      <c r="D64" s="439"/>
      <c r="E64" s="557"/>
      <c r="F64" s="439"/>
      <c r="G64" s="439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AE64" s="304"/>
      <c r="AF64" s="305"/>
    </row>
    <row r="65" spans="1:32">
      <c r="A65" s="439"/>
      <c r="B65" s="439"/>
      <c r="C65" s="439"/>
      <c r="D65" s="439"/>
      <c r="E65" s="557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AE65" s="304"/>
      <c r="AF65" s="305"/>
    </row>
    <row r="66" spans="1:32">
      <c r="A66" s="439"/>
      <c r="B66" s="439"/>
      <c r="C66" s="439"/>
      <c r="D66" s="439"/>
      <c r="E66" s="557"/>
      <c r="F66" s="439"/>
      <c r="G66" s="439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AE66" s="304"/>
      <c r="AF66" s="305"/>
    </row>
    <row r="67" spans="1:32">
      <c r="A67" s="439"/>
      <c r="B67" s="439"/>
      <c r="C67" s="439"/>
      <c r="D67" s="439"/>
      <c r="E67" s="557"/>
      <c r="F67" s="439"/>
      <c r="G67" s="439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AE67" s="304"/>
      <c r="AF67" s="305"/>
    </row>
    <row r="68" spans="1:32">
      <c r="A68" s="439"/>
      <c r="B68" s="439"/>
      <c r="C68" s="439"/>
      <c r="D68" s="439"/>
      <c r="E68" s="557"/>
      <c r="F68" s="439"/>
      <c r="G68" s="439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AE68" s="304"/>
      <c r="AF68" s="305"/>
    </row>
    <row r="69" spans="1:32">
      <c r="A69" s="439"/>
      <c r="B69" s="439"/>
      <c r="C69" s="439"/>
      <c r="D69" s="439"/>
      <c r="E69" s="557"/>
      <c r="F69" s="439"/>
      <c r="G69" s="43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AE69" s="304"/>
      <c r="AF69" s="305"/>
    </row>
    <row r="70" spans="1:32">
      <c r="A70" s="439"/>
      <c r="B70" s="439"/>
      <c r="C70" s="439"/>
      <c r="D70" s="439"/>
      <c r="E70" s="557"/>
      <c r="F70" s="439"/>
      <c r="G70" s="439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AE70" s="304"/>
      <c r="AF70" s="305"/>
    </row>
    <row r="71" spans="1:32">
      <c r="A71" s="439"/>
      <c r="B71" s="439"/>
      <c r="C71" s="439"/>
      <c r="D71" s="439"/>
      <c r="E71" s="557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AE71" s="304"/>
      <c r="AF71" s="305"/>
    </row>
    <row r="72" spans="1:32">
      <c r="A72" s="439"/>
      <c r="B72" s="439"/>
      <c r="C72" s="439"/>
      <c r="D72" s="439"/>
      <c r="E72" s="557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AE72" s="304"/>
      <c r="AF72" s="305"/>
    </row>
    <row r="73" spans="1:32">
      <c r="A73" s="439"/>
      <c r="B73" s="439"/>
      <c r="C73" s="439"/>
      <c r="D73" s="439"/>
      <c r="E73" s="557"/>
      <c r="F73" s="439"/>
      <c r="G73" s="439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AE73" s="304"/>
      <c r="AF73" s="305"/>
    </row>
    <row r="74" spans="1:32">
      <c r="A74" s="439"/>
      <c r="B74" s="439"/>
      <c r="C74" s="439"/>
      <c r="D74" s="439"/>
      <c r="E74" s="557"/>
      <c r="F74" s="439"/>
      <c r="G74" s="439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AE74" s="304"/>
      <c r="AF74" s="305"/>
    </row>
    <row r="75" spans="1:32">
      <c r="A75" s="439"/>
      <c r="B75" s="439"/>
      <c r="C75" s="439"/>
      <c r="D75" s="439"/>
      <c r="E75" s="557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AE75" s="304"/>
      <c r="AF75" s="305"/>
    </row>
    <row r="76" spans="1:32">
      <c r="A76" s="439"/>
      <c r="B76" s="439"/>
      <c r="C76" s="439"/>
      <c r="D76" s="439"/>
      <c r="E76" s="557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AE76" s="304"/>
      <c r="AF76" s="305"/>
    </row>
    <row r="77" spans="1:32">
      <c r="A77" s="439"/>
      <c r="B77" s="439"/>
      <c r="C77" s="439"/>
      <c r="D77" s="439"/>
      <c r="E77" s="557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AE77" s="304"/>
      <c r="AF77" s="305"/>
    </row>
    <row r="78" spans="1:32">
      <c r="A78" s="439"/>
      <c r="B78" s="439"/>
      <c r="C78" s="439"/>
      <c r="D78" s="439"/>
      <c r="E78" s="557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AE78" s="304"/>
      <c r="AF78" s="305"/>
    </row>
    <row r="79" spans="1:32">
      <c r="A79" s="439"/>
      <c r="B79" s="439"/>
      <c r="C79" s="439"/>
      <c r="D79" s="439"/>
      <c r="E79" s="557"/>
      <c r="F79" s="439"/>
      <c r="G79" s="43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AE79" s="304"/>
      <c r="AF79" s="305"/>
    </row>
    <row r="80" spans="1:32">
      <c r="A80" s="439"/>
      <c r="B80" s="439"/>
      <c r="C80" s="439"/>
      <c r="D80" s="439"/>
      <c r="E80" s="557"/>
      <c r="F80" s="439"/>
      <c r="G80" s="439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AE80" s="304"/>
      <c r="AF80" s="305"/>
    </row>
    <row r="81" spans="1:36">
      <c r="A81" s="439"/>
      <c r="B81" s="439"/>
      <c r="C81" s="439"/>
      <c r="D81" s="439"/>
      <c r="E81" s="557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AE81" s="310" t="s">
        <v>449</v>
      </c>
      <c r="AF81" s="311">
        <f>AF82+AE82</f>
        <v>0</v>
      </c>
    </row>
    <row r="82" spans="1:36" ht="13.8" thickBot="1">
      <c r="A82" s="439"/>
      <c r="B82" s="439"/>
      <c r="C82" s="439"/>
      <c r="D82" s="439"/>
      <c r="E82" s="557"/>
      <c r="F82" s="439"/>
      <c r="G82" s="439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AE82" s="306"/>
      <c r="AF82" s="307"/>
      <c r="AJ82" s="35">
        <f>AJ88</f>
        <v>0</v>
      </c>
    </row>
    <row r="83" spans="1:36">
      <c r="A83" s="439"/>
      <c r="B83" s="439"/>
      <c r="C83" s="439"/>
      <c r="D83" s="439"/>
      <c r="E83" s="557"/>
      <c r="F83" s="439"/>
      <c r="G83" s="439"/>
      <c r="H83" s="439"/>
      <c r="I83" s="439"/>
      <c r="J83" s="439"/>
      <c r="K83" s="439"/>
      <c r="L83" s="439"/>
      <c r="M83" s="439"/>
      <c r="N83" s="439"/>
      <c r="O83" s="439"/>
      <c r="P83" s="439"/>
      <c r="Q83" s="439"/>
    </row>
    <row r="84" spans="1:36">
      <c r="A84" s="439"/>
      <c r="B84" s="439"/>
      <c r="C84" s="439"/>
      <c r="D84" s="439"/>
      <c r="E84" s="557"/>
      <c r="F84" s="439"/>
      <c r="G84" s="439"/>
      <c r="H84" s="439"/>
      <c r="I84" s="439"/>
      <c r="J84" s="439"/>
      <c r="K84" s="439"/>
      <c r="L84" s="439"/>
      <c r="M84" s="439"/>
      <c r="N84" s="439"/>
      <c r="O84" s="439"/>
      <c r="P84" s="439"/>
      <c r="Q84" s="439"/>
    </row>
    <row r="85" spans="1:36">
      <c r="A85" s="439"/>
      <c r="B85" s="439"/>
      <c r="C85" s="439"/>
      <c r="D85" s="439"/>
      <c r="E85" s="557"/>
      <c r="F85" s="439"/>
      <c r="G85" s="439"/>
      <c r="H85" s="439"/>
      <c r="I85" s="439"/>
      <c r="J85" s="439"/>
      <c r="K85" s="439"/>
      <c r="L85" s="439"/>
      <c r="M85" s="439"/>
      <c r="N85" s="439"/>
      <c r="O85" s="439"/>
      <c r="P85" s="439"/>
      <c r="Q85" s="439"/>
    </row>
    <row r="86" spans="1:36">
      <c r="A86" s="439"/>
      <c r="B86" s="439"/>
      <c r="C86" s="439"/>
      <c r="D86" s="439"/>
      <c r="E86" s="557"/>
      <c r="F86" s="439"/>
      <c r="G86" s="439"/>
      <c r="H86" s="439"/>
      <c r="I86" s="439"/>
      <c r="J86" s="439"/>
      <c r="K86" s="439"/>
      <c r="L86" s="439"/>
      <c r="M86" s="439"/>
      <c r="N86" s="439"/>
      <c r="O86" s="439"/>
      <c r="P86" s="439"/>
      <c r="Q86" s="439"/>
    </row>
    <row r="87" spans="1:36">
      <c r="A87" s="439"/>
      <c r="B87" s="439"/>
      <c r="C87" s="439"/>
      <c r="D87" s="439"/>
      <c r="E87" s="557"/>
      <c r="F87" s="439"/>
      <c r="G87" s="439"/>
      <c r="H87" s="439"/>
      <c r="I87" s="439"/>
      <c r="J87" s="439"/>
      <c r="K87" s="439"/>
      <c r="L87" s="439"/>
      <c r="M87" s="439"/>
      <c r="N87" s="439"/>
      <c r="O87" s="439"/>
      <c r="P87" s="439"/>
      <c r="Q87" s="439"/>
    </row>
    <row r="88" spans="1:36">
      <c r="A88" s="439"/>
      <c r="B88" s="439"/>
      <c r="C88" s="439"/>
      <c r="D88" s="439"/>
      <c r="E88" s="557"/>
      <c r="F88" s="439"/>
      <c r="G88" s="439"/>
      <c r="H88" s="439"/>
      <c r="I88" s="439"/>
      <c r="J88" s="439"/>
      <c r="K88" s="439"/>
      <c r="L88" s="439"/>
      <c r="M88" s="439"/>
      <c r="N88" s="439"/>
      <c r="O88" s="439"/>
      <c r="P88" s="439"/>
      <c r="Q88" s="439"/>
    </row>
    <row r="89" spans="1:36">
      <c r="A89" s="439"/>
      <c r="B89" s="439"/>
      <c r="C89" s="439"/>
      <c r="D89" s="439"/>
      <c r="E89" s="557"/>
      <c r="F89" s="439"/>
      <c r="G89" s="439"/>
      <c r="H89" s="439"/>
      <c r="I89" s="439"/>
      <c r="J89" s="439"/>
      <c r="K89" s="439"/>
      <c r="L89" s="439"/>
      <c r="M89" s="439"/>
      <c r="N89" s="439"/>
      <c r="O89" s="439"/>
      <c r="P89" s="439"/>
      <c r="Q89" s="439"/>
    </row>
    <row r="90" spans="1:36">
      <c r="A90" s="439"/>
      <c r="B90" s="439"/>
      <c r="C90" s="439"/>
      <c r="D90" s="439"/>
      <c r="E90" s="557"/>
      <c r="F90" s="439"/>
      <c r="G90" s="439"/>
      <c r="H90" s="439"/>
      <c r="I90" s="439"/>
      <c r="J90" s="439"/>
      <c r="K90" s="439"/>
      <c r="L90" s="439"/>
      <c r="M90" s="439"/>
      <c r="N90" s="439"/>
      <c r="O90" s="439"/>
      <c r="P90" s="439"/>
      <c r="Q90" s="439"/>
    </row>
    <row r="91" spans="1:36">
      <c r="A91" s="439"/>
      <c r="B91" s="439"/>
      <c r="C91" s="439"/>
      <c r="D91" s="439"/>
      <c r="E91" s="557"/>
      <c r="F91" s="439"/>
      <c r="G91" s="439"/>
      <c r="H91" s="439"/>
      <c r="I91" s="439"/>
      <c r="J91" s="439"/>
      <c r="K91" s="439"/>
      <c r="L91" s="439"/>
      <c r="M91" s="439"/>
      <c r="N91" s="439"/>
      <c r="O91" s="439"/>
      <c r="P91" s="439"/>
      <c r="Q91" s="439"/>
    </row>
    <row r="92" spans="1:36">
      <c r="A92" s="439"/>
      <c r="B92" s="439"/>
      <c r="C92" s="439"/>
      <c r="D92" s="439"/>
      <c r="E92" s="557"/>
      <c r="F92" s="439"/>
      <c r="G92" s="439"/>
      <c r="H92" s="439"/>
      <c r="I92" s="439"/>
      <c r="J92" s="439"/>
      <c r="K92" s="439"/>
      <c r="L92" s="439"/>
      <c r="M92" s="439"/>
      <c r="N92" s="439"/>
      <c r="O92" s="439"/>
      <c r="P92" s="439"/>
      <c r="Q92" s="439"/>
    </row>
    <row r="93" spans="1:36">
      <c r="A93" s="439"/>
      <c r="B93" s="439"/>
      <c r="C93" s="439"/>
      <c r="D93" s="439"/>
      <c r="E93" s="557"/>
      <c r="F93" s="439"/>
      <c r="G93" s="439"/>
      <c r="H93" s="439"/>
      <c r="I93" s="439"/>
      <c r="J93" s="439"/>
      <c r="K93" s="439"/>
      <c r="L93" s="439"/>
      <c r="M93" s="439"/>
      <c r="N93" s="439"/>
      <c r="O93" s="439"/>
      <c r="P93" s="439"/>
      <c r="Q93" s="439"/>
    </row>
    <row r="94" spans="1:36">
      <c r="A94" s="439"/>
      <c r="B94" s="439"/>
      <c r="C94" s="439"/>
      <c r="D94" s="439"/>
      <c r="E94" s="557"/>
      <c r="F94" s="439"/>
      <c r="G94" s="439"/>
      <c r="H94" s="439"/>
      <c r="I94" s="439"/>
      <c r="J94" s="439"/>
      <c r="K94" s="439"/>
      <c r="L94" s="439"/>
      <c r="M94" s="439"/>
      <c r="N94" s="439"/>
      <c r="O94" s="439"/>
      <c r="P94" s="439"/>
      <c r="Q94" s="439"/>
    </row>
    <row r="95" spans="1:36">
      <c r="A95" s="439"/>
      <c r="B95" s="439"/>
      <c r="C95" s="439"/>
      <c r="D95" s="439"/>
      <c r="E95" s="557"/>
      <c r="F95" s="439"/>
      <c r="G95" s="439"/>
      <c r="H95" s="439"/>
      <c r="I95" s="439"/>
      <c r="J95" s="439"/>
      <c r="K95" s="439"/>
      <c r="L95" s="439"/>
      <c r="M95" s="439"/>
      <c r="N95" s="439"/>
      <c r="O95" s="439"/>
      <c r="P95" s="439"/>
      <c r="Q95" s="439"/>
    </row>
    <row r="96" spans="1:36">
      <c r="A96" s="439"/>
      <c r="B96" s="439"/>
      <c r="C96" s="439"/>
      <c r="D96" s="439"/>
      <c r="E96" s="557"/>
      <c r="F96" s="439"/>
      <c r="G96" s="439"/>
      <c r="H96" s="439"/>
      <c r="I96" s="439"/>
      <c r="J96" s="439"/>
      <c r="K96" s="439"/>
      <c r="L96" s="439"/>
      <c r="M96" s="439"/>
      <c r="N96" s="439"/>
      <c r="O96" s="439"/>
      <c r="P96" s="439"/>
      <c r="Q96" s="439"/>
    </row>
    <row r="97" spans="1:17">
      <c r="A97" s="439"/>
      <c r="B97" s="439"/>
      <c r="C97" s="439"/>
      <c r="D97" s="439"/>
      <c r="E97" s="557"/>
      <c r="F97" s="439"/>
      <c r="G97" s="439"/>
      <c r="H97" s="439"/>
      <c r="I97" s="439"/>
      <c r="J97" s="439"/>
      <c r="K97" s="439"/>
      <c r="L97" s="439"/>
      <c r="M97" s="439"/>
      <c r="N97" s="439"/>
      <c r="O97" s="439"/>
      <c r="P97" s="439"/>
      <c r="Q97" s="439"/>
    </row>
    <row r="98" spans="1:17">
      <c r="A98" s="439"/>
      <c r="B98" s="439"/>
      <c r="C98" s="439"/>
      <c r="D98" s="439"/>
      <c r="E98" s="557"/>
      <c r="F98" s="439"/>
      <c r="G98" s="439"/>
      <c r="H98" s="439"/>
      <c r="I98" s="439"/>
      <c r="J98" s="439"/>
      <c r="K98" s="439"/>
      <c r="L98" s="439"/>
      <c r="M98" s="439"/>
      <c r="N98" s="439"/>
      <c r="O98" s="439"/>
      <c r="P98" s="439"/>
      <c r="Q98" s="439"/>
    </row>
    <row r="99" spans="1:17">
      <c r="A99" s="439"/>
      <c r="B99" s="439"/>
      <c r="C99" s="439"/>
      <c r="D99" s="439"/>
      <c r="E99" s="557"/>
      <c r="F99" s="439"/>
      <c r="G99" s="439"/>
      <c r="H99" s="439"/>
      <c r="I99" s="439"/>
      <c r="J99" s="439"/>
      <c r="K99" s="439"/>
      <c r="L99" s="439"/>
      <c r="M99" s="439"/>
      <c r="N99" s="439"/>
      <c r="O99" s="439"/>
      <c r="P99" s="439"/>
      <c r="Q99" s="439"/>
    </row>
    <row r="100" spans="1:17">
      <c r="A100" s="439"/>
      <c r="B100" s="439"/>
      <c r="C100" s="439"/>
      <c r="D100" s="439"/>
      <c r="E100" s="557"/>
      <c r="F100" s="439"/>
      <c r="G100" s="439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</row>
    <row r="101" spans="1:17">
      <c r="A101" s="439"/>
      <c r="B101" s="439"/>
      <c r="C101" s="439"/>
      <c r="D101" s="439"/>
      <c r="E101" s="557"/>
      <c r="F101" s="439"/>
      <c r="G101" s="439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</row>
    <row r="102" spans="1:17">
      <c r="A102" s="439"/>
      <c r="B102" s="439"/>
      <c r="C102" s="439"/>
      <c r="D102" s="439"/>
      <c r="E102" s="557"/>
      <c r="F102" s="439"/>
      <c r="G102" s="439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</row>
    <row r="103" spans="1:17">
      <c r="A103" s="439"/>
      <c r="B103" s="439"/>
      <c r="C103" s="439"/>
      <c r="D103" s="439"/>
      <c r="E103" s="557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</row>
    <row r="104" spans="1:17">
      <c r="A104" s="439"/>
      <c r="B104" s="439"/>
      <c r="C104" s="439"/>
      <c r="D104" s="439"/>
      <c r="E104" s="557"/>
      <c r="F104" s="439"/>
      <c r="G104" s="439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</row>
    <row r="105" spans="1:17">
      <c r="A105" s="439"/>
      <c r="B105" s="439"/>
      <c r="C105" s="439"/>
      <c r="D105" s="439"/>
      <c r="E105" s="557"/>
      <c r="F105" s="439"/>
      <c r="G105" s="439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</row>
    <row r="106" spans="1:17">
      <c r="A106" s="439"/>
      <c r="B106" s="439"/>
      <c r="C106" s="439"/>
      <c r="D106" s="439"/>
      <c r="E106" s="557"/>
      <c r="F106" s="439"/>
      <c r="G106" s="439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</row>
    <row r="107" spans="1:17">
      <c r="A107" s="439"/>
      <c r="B107" s="439"/>
      <c r="C107" s="439"/>
      <c r="D107" s="439"/>
      <c r="E107" s="557"/>
      <c r="F107" s="439"/>
      <c r="G107" s="439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</row>
    <row r="108" spans="1:17">
      <c r="A108" s="439"/>
      <c r="B108" s="439"/>
      <c r="C108" s="439"/>
      <c r="D108" s="439"/>
      <c r="E108" s="557"/>
      <c r="F108" s="439"/>
      <c r="G108" s="439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</row>
    <row r="109" spans="1:17">
      <c r="A109" s="439"/>
      <c r="B109" s="439"/>
      <c r="C109" s="439"/>
      <c r="D109" s="439"/>
      <c r="E109" s="557"/>
      <c r="F109" s="439"/>
      <c r="G109" s="43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</row>
    <row r="110" spans="1:17">
      <c r="A110" s="439"/>
      <c r="B110" s="439"/>
      <c r="C110" s="439"/>
      <c r="D110" s="439"/>
      <c r="E110" s="557"/>
      <c r="F110" s="439"/>
      <c r="G110" s="439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</row>
    <row r="111" spans="1:17">
      <c r="A111" s="439"/>
      <c r="B111" s="439"/>
      <c r="C111" s="439"/>
      <c r="D111" s="439"/>
      <c r="E111" s="557"/>
      <c r="F111" s="439"/>
      <c r="G111" s="439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</row>
    <row r="112" spans="1:17">
      <c r="A112" s="439"/>
      <c r="B112" s="439"/>
      <c r="C112" s="439"/>
      <c r="D112" s="439"/>
      <c r="E112" s="557"/>
      <c r="F112" s="439"/>
      <c r="G112" s="439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</row>
    <row r="113" spans="1:17">
      <c r="A113" s="439"/>
      <c r="B113" s="439"/>
      <c r="C113" s="439"/>
      <c r="D113" s="439"/>
      <c r="E113" s="557"/>
      <c r="F113" s="439"/>
      <c r="G113" s="439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</row>
    <row r="114" spans="1:17">
      <c r="A114" s="439"/>
      <c r="B114" s="439"/>
      <c r="C114" s="439"/>
      <c r="D114" s="439"/>
      <c r="E114" s="557"/>
      <c r="F114" s="439"/>
      <c r="G114" s="439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</row>
    <row r="115" spans="1:17">
      <c r="A115" s="439"/>
      <c r="B115" s="439"/>
      <c r="C115" s="439"/>
      <c r="D115" s="439"/>
      <c r="E115" s="557"/>
      <c r="F115" s="439"/>
      <c r="G115" s="439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</row>
    <row r="116" spans="1:17">
      <c r="A116" s="439"/>
      <c r="B116" s="439"/>
      <c r="C116" s="439"/>
      <c r="D116" s="439"/>
      <c r="E116" s="557"/>
      <c r="F116" s="439"/>
      <c r="G116" s="439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</row>
    <row r="117" spans="1:17">
      <c r="A117" s="439"/>
      <c r="B117" s="439"/>
      <c r="C117" s="439"/>
      <c r="D117" s="439"/>
      <c r="E117" s="557"/>
      <c r="F117" s="439"/>
      <c r="G117" s="439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</row>
    <row r="118" spans="1:17">
      <c r="A118" s="439"/>
      <c r="B118" s="439"/>
      <c r="C118" s="439"/>
      <c r="D118" s="439"/>
      <c r="E118" s="557"/>
      <c r="F118" s="439"/>
      <c r="G118" s="439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</row>
    <row r="119" spans="1:17">
      <c r="A119" s="439"/>
      <c r="B119" s="439"/>
      <c r="C119" s="439"/>
      <c r="D119" s="439"/>
      <c r="E119" s="557"/>
      <c r="F119" s="439"/>
      <c r="G119" s="43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</row>
  </sheetData>
  <mergeCells count="3">
    <mergeCell ref="Q1:W1"/>
    <mergeCell ref="Q2:W2"/>
    <mergeCell ref="F28:H30"/>
  </mergeCells>
  <phoneticPr fontId="0" type="noConversion"/>
  <pageMargins left="0.7" right="0.7" top="0.75" bottom="0.75" header="0.3" footer="0.3"/>
  <pageSetup scale="88" orientation="portrait" r:id="rId1"/>
  <headerFooter>
    <oddHeader>&amp;RExhibit No. JH-3
Dockets UE-170485/UG-170486
Page &amp;P of &amp;N</oddHeader>
    <oddFooter>&amp;LBench Request No.9 - Attachment 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21875" defaultRowHeight="13.2"/>
  <cols>
    <col min="1" max="16384" width="9.21875" style="416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Z119"/>
  <sheetViews>
    <sheetView topLeftCell="A7" zoomScaleNormal="100" zoomScaleSheetLayoutView="100" workbookViewId="0">
      <pane xSplit="4" ySplit="4" topLeftCell="E74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10.77734375" defaultRowHeight="12"/>
  <cols>
    <col min="1" max="1" width="3.77734375" style="115" customWidth="1"/>
    <col min="2" max="3" width="1.77734375" style="1" customWidth="1"/>
    <col min="4" max="4" width="30.44140625" style="1" customWidth="1"/>
    <col min="5" max="5" width="11.44140625" style="56" customWidth="1"/>
    <col min="6" max="7" width="10.77734375" style="56" customWidth="1"/>
    <col min="8" max="8" width="7.5546875" style="56" bestFit="1" customWidth="1"/>
    <col min="9" max="9" width="8.77734375" style="56" bestFit="1" customWidth="1"/>
    <col min="10" max="10" width="7.44140625" style="56" bestFit="1" customWidth="1"/>
    <col min="11" max="11" width="10.77734375" style="56" bestFit="1" customWidth="1"/>
    <col min="12" max="12" width="9.21875" style="56" bestFit="1" customWidth="1"/>
    <col min="13" max="13" width="7.77734375" style="56" bestFit="1" customWidth="1"/>
    <col min="14" max="14" width="7.21875" style="56" bestFit="1" customWidth="1"/>
    <col min="15" max="15" width="10.5546875" style="56" bestFit="1" customWidth="1"/>
    <col min="16" max="16" width="8.77734375" style="56" customWidth="1"/>
    <col min="17" max="17" width="8.21875" style="56" bestFit="1" customWidth="1"/>
    <col min="18" max="18" width="13.44140625" style="56" customWidth="1"/>
    <col min="19" max="19" width="9.77734375" style="56" bestFit="1" customWidth="1"/>
    <col min="20" max="20" width="15.77734375" style="56" customWidth="1"/>
    <col min="21" max="21" width="7.77734375" style="319" bestFit="1" customWidth="1"/>
    <col min="22" max="22" width="8.5546875" style="319" bestFit="1" customWidth="1"/>
    <col min="23" max="24" width="8.21875" style="56" customWidth="1"/>
    <col min="25" max="25" width="8.5546875" style="319" bestFit="1" customWidth="1"/>
    <col min="26" max="26" width="17.21875" style="320" customWidth="1"/>
    <col min="27" max="28" width="10" style="319" customWidth="1"/>
    <col min="29" max="29" width="12.5546875" style="319" customWidth="1"/>
    <col min="30" max="30" width="10" style="319" customWidth="1"/>
    <col min="31" max="31" width="12.21875" style="56" customWidth="1"/>
    <col min="32" max="32" width="11.21875" style="56" customWidth="1"/>
    <col min="33" max="33" width="13.77734375" style="56" customWidth="1"/>
    <col min="34" max="34" width="14.77734375" style="320" customWidth="1"/>
    <col min="35" max="35" width="14.5546875" style="320" customWidth="1"/>
    <col min="36" max="36" width="8.77734375" style="56" bestFit="1" customWidth="1"/>
    <col min="37" max="37" width="11" style="56" bestFit="1" customWidth="1"/>
    <col min="38" max="38" width="11.44140625" style="320" bestFit="1" customWidth="1"/>
    <col min="39" max="39" width="14" style="319" customWidth="1"/>
    <col min="40" max="40" width="1.77734375" style="350" hidden="1" customWidth="1"/>
    <col min="41" max="41" width="14.5546875" style="320" customWidth="1"/>
    <col min="42" max="42" width="13.21875" style="319" customWidth="1"/>
    <col min="43" max="43" width="11.44140625" style="319" customWidth="1"/>
    <col min="44" max="45" width="11" style="1" customWidth="1"/>
    <col min="46" max="46" width="11" style="392" customWidth="1"/>
    <col min="47" max="48" width="14.21875" style="1" customWidth="1"/>
    <col min="49" max="49" width="13.77734375" style="1" customWidth="1"/>
    <col min="50" max="16384" width="10.77734375" style="1"/>
  </cols>
  <sheetData>
    <row r="1" spans="1:50" ht="6" customHeight="1">
      <c r="A1" s="159"/>
      <c r="B1" s="156"/>
      <c r="C1" s="156"/>
      <c r="D1" s="156"/>
      <c r="E1" s="122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22"/>
      <c r="S1" s="122"/>
      <c r="T1" s="122"/>
      <c r="U1" s="682"/>
      <c r="V1" s="682"/>
      <c r="W1" s="122"/>
      <c r="X1" s="122"/>
      <c r="Y1" s="682"/>
      <c r="Z1" s="122"/>
      <c r="AA1" s="682"/>
      <c r="AB1" s="682"/>
      <c r="AC1" s="682"/>
      <c r="AD1" s="682"/>
      <c r="AE1" s="122"/>
      <c r="AF1" s="122"/>
      <c r="AG1" s="122"/>
      <c r="AH1" s="122"/>
      <c r="AI1" s="122"/>
      <c r="AJ1" s="122"/>
      <c r="AK1" s="122"/>
      <c r="AL1" s="122"/>
      <c r="AM1" s="682"/>
      <c r="AN1" s="678"/>
      <c r="AO1" s="122"/>
      <c r="AP1" s="682"/>
    </row>
    <row r="2" spans="1:50" ht="12.75" customHeight="1">
      <c r="A2" s="155" t="str">
        <f>'ROO INPUT'!A3:C3</f>
        <v>AVISTA UTILITIES</v>
      </c>
      <c r="B2" s="156"/>
      <c r="C2" s="156"/>
      <c r="D2" s="156"/>
      <c r="E2" s="503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449"/>
      <c r="S2" s="449"/>
      <c r="T2" s="449"/>
      <c r="U2" s="449"/>
      <c r="V2" s="449"/>
      <c r="W2" s="449"/>
      <c r="X2" s="449"/>
      <c r="Y2" s="682"/>
      <c r="Z2" s="122"/>
      <c r="AA2" s="682"/>
      <c r="AB2" s="449"/>
      <c r="AC2" s="682"/>
      <c r="AD2" s="449"/>
      <c r="AE2" s="449"/>
      <c r="AF2" s="449"/>
      <c r="AG2" s="449"/>
      <c r="AH2" s="503"/>
      <c r="AI2" s="122"/>
      <c r="AJ2" s="449"/>
      <c r="AK2" s="449"/>
      <c r="AL2" s="503"/>
      <c r="AM2" s="682"/>
      <c r="AN2" s="678"/>
      <c r="AO2" s="679"/>
      <c r="AP2" s="682"/>
    </row>
    <row r="3" spans="1:50" ht="12.75" customHeight="1">
      <c r="A3" s="155" t="s">
        <v>542</v>
      </c>
      <c r="B3" s="156"/>
      <c r="C3" s="156"/>
      <c r="D3" s="156"/>
      <c r="E3" s="721"/>
      <c r="F3" s="679"/>
      <c r="G3" s="122"/>
      <c r="H3" s="122"/>
      <c r="I3" s="122"/>
      <c r="J3" s="503"/>
      <c r="K3" s="122"/>
      <c r="L3" s="122"/>
      <c r="M3" s="122"/>
      <c r="N3" s="122"/>
      <c r="O3" s="122"/>
      <c r="P3" s="122"/>
      <c r="Q3" s="503"/>
      <c r="R3" s="449"/>
      <c r="S3" s="449"/>
      <c r="T3" s="449"/>
      <c r="U3" s="449"/>
      <c r="V3" s="449"/>
      <c r="W3" s="503"/>
      <c r="X3" s="503"/>
      <c r="Y3" s="682"/>
      <c r="Z3" s="679"/>
      <c r="AA3" s="682"/>
      <c r="AB3" s="449"/>
      <c r="AC3" s="503"/>
      <c r="AD3" s="503"/>
      <c r="AE3" s="503"/>
      <c r="AF3" s="449"/>
      <c r="AG3" s="449"/>
      <c r="AH3" s="122"/>
      <c r="AI3" s="680"/>
      <c r="AJ3" s="449"/>
      <c r="AK3" s="449"/>
      <c r="AL3" s="122"/>
      <c r="AM3" s="682"/>
      <c r="AN3" s="678"/>
      <c r="AO3" s="681"/>
      <c r="AP3" s="682"/>
      <c r="AQ3" s="334"/>
    </row>
    <row r="4" spans="1:50" ht="12" customHeight="1">
      <c r="A4" s="155" t="str">
        <f>'ROO INPUT'!A5:C5</f>
        <v>TWELVE MONTHS ENDED DECEMBER 31, 2016</v>
      </c>
      <c r="B4" s="156"/>
      <c r="C4" s="156"/>
      <c r="D4" s="156"/>
      <c r="E4" s="122"/>
      <c r="F4" s="682"/>
      <c r="G4" s="682"/>
      <c r="H4" s="682"/>
      <c r="I4" s="682"/>
      <c r="J4" s="504"/>
      <c r="K4" s="682"/>
      <c r="L4" s="682"/>
      <c r="M4" s="682"/>
      <c r="N4" s="682"/>
      <c r="O4" s="682"/>
      <c r="P4" s="682"/>
      <c r="Q4" s="504"/>
      <c r="R4" s="449"/>
      <c r="S4" s="449"/>
      <c r="T4" s="449"/>
      <c r="U4" s="682"/>
      <c r="V4" s="682"/>
      <c r="W4" s="504"/>
      <c r="X4" s="504"/>
      <c r="Y4" s="682"/>
      <c r="Z4" s="122"/>
      <c r="AA4" s="683"/>
      <c r="AB4" s="449"/>
      <c r="AC4" s="683"/>
      <c r="AD4" s="504"/>
      <c r="AE4" s="504"/>
      <c r="AF4" s="449"/>
      <c r="AG4" s="449"/>
      <c r="AH4" s="122"/>
      <c r="AI4" s="680"/>
      <c r="AJ4" s="449"/>
      <c r="AK4" s="449"/>
      <c r="AL4" s="122"/>
      <c r="AM4" s="682"/>
      <c r="AN4" s="678"/>
      <c r="AO4" s="680"/>
      <c r="AP4" s="682"/>
    </row>
    <row r="5" spans="1:50" s="322" customFormat="1" ht="12" customHeight="1">
      <c r="A5" s="155" t="str">
        <f>'ROO INPUT'!A6:C6</f>
        <v xml:space="preserve">(000'S OF DOLLARS)   </v>
      </c>
      <c r="B5" s="159"/>
      <c r="C5" s="159"/>
      <c r="D5" s="159"/>
      <c r="E5" s="722" t="s">
        <v>546</v>
      </c>
      <c r="F5" s="505"/>
      <c r="G5" s="505"/>
      <c r="H5" s="505"/>
      <c r="I5" s="505"/>
      <c r="J5" s="504"/>
      <c r="K5" s="122"/>
      <c r="L5" s="505"/>
      <c r="M5" s="505"/>
      <c r="N5" s="505"/>
      <c r="O5" s="505"/>
      <c r="P5" s="505"/>
      <c r="Q5" s="504"/>
      <c r="R5" s="504"/>
      <c r="S5" s="684"/>
      <c r="T5" s="683"/>
      <c r="U5" s="685"/>
      <c r="V5" s="685"/>
      <c r="W5" s="683"/>
      <c r="X5" s="683"/>
      <c r="Y5" s="505"/>
      <c r="Z5" s="683"/>
      <c r="AA5" s="505"/>
      <c r="AB5" s="683"/>
      <c r="AC5" s="504"/>
      <c r="AD5" s="683"/>
      <c r="AE5" s="504"/>
      <c r="AF5" s="683"/>
      <c r="AG5" s="683"/>
      <c r="AH5" s="683"/>
      <c r="AI5" s="683"/>
      <c r="AJ5" s="683"/>
      <c r="AK5" s="683"/>
      <c r="AL5" s="683"/>
      <c r="AM5" s="505"/>
      <c r="AN5" s="686"/>
      <c r="AO5" s="683"/>
      <c r="AP5" s="505"/>
      <c r="AQ5" s="795"/>
      <c r="AR5" s="795"/>
      <c r="AS5" s="795"/>
      <c r="AT5" s="795"/>
      <c r="AU5" s="796" t="s">
        <v>567</v>
      </c>
      <c r="AV5" s="796"/>
      <c r="AW5" s="796"/>
      <c r="AX5" s="797"/>
    </row>
    <row r="6" spans="1:50" ht="6" hidden="1" customHeight="1">
      <c r="A6" s="159"/>
      <c r="B6" s="156"/>
      <c r="C6" s="156"/>
      <c r="D6" s="156"/>
      <c r="E6" s="503"/>
      <c r="F6" s="122"/>
      <c r="G6" s="122"/>
      <c r="H6" s="122"/>
      <c r="I6" s="122"/>
      <c r="J6" s="506"/>
      <c r="K6" s="122"/>
      <c r="L6" s="122"/>
      <c r="M6" s="122"/>
      <c r="N6" s="122"/>
      <c r="O6" s="122"/>
      <c r="P6" s="122"/>
      <c r="Q6" s="506"/>
      <c r="R6" s="122"/>
      <c r="S6" s="122"/>
      <c r="T6" s="122"/>
      <c r="U6" s="685"/>
      <c r="V6" s="685"/>
      <c r="W6" s="506"/>
      <c r="X6" s="506"/>
      <c r="Y6" s="682"/>
      <c r="Z6" s="687"/>
      <c r="AA6" s="687"/>
      <c r="AB6" s="687"/>
      <c r="AC6" s="687"/>
      <c r="AD6" s="688"/>
      <c r="AE6" s="687"/>
      <c r="AF6" s="687"/>
      <c r="AG6" s="122"/>
      <c r="AH6" s="687"/>
      <c r="AI6" s="680"/>
      <c r="AJ6" s="122"/>
      <c r="AK6" s="687"/>
      <c r="AL6" s="687"/>
      <c r="AM6" s="503"/>
      <c r="AN6" s="689"/>
      <c r="AO6" s="690"/>
      <c r="AP6" s="682"/>
      <c r="AQ6" s="798"/>
      <c r="AR6" s="799"/>
      <c r="AS6" s="800" t="s">
        <v>568</v>
      </c>
      <c r="AT6" s="801"/>
      <c r="AU6" s="802" t="s">
        <v>569</v>
      </c>
      <c r="AV6" s="802" t="s">
        <v>569</v>
      </c>
      <c r="AW6" s="802" t="s">
        <v>569</v>
      </c>
      <c r="AX6" s="803"/>
    </row>
    <row r="7" spans="1:50" s="324" customFormat="1" ht="12" customHeight="1">
      <c r="A7" s="683"/>
      <c r="B7" s="723"/>
      <c r="C7" s="723"/>
      <c r="D7" s="507"/>
      <c r="E7" s="507"/>
      <c r="F7" s="503"/>
      <c r="G7" s="503"/>
      <c r="H7" s="691" t="s">
        <v>541</v>
      </c>
      <c r="I7" s="503"/>
      <c r="J7" s="691" t="s">
        <v>541</v>
      </c>
      <c r="K7" s="691" t="s">
        <v>541</v>
      </c>
      <c r="L7" s="503"/>
      <c r="M7" s="503"/>
      <c r="N7" s="503"/>
      <c r="O7" s="503"/>
      <c r="P7" s="503"/>
      <c r="Q7" s="509"/>
      <c r="R7" s="503" t="s">
        <v>562</v>
      </c>
      <c r="S7" s="503" t="s">
        <v>562</v>
      </c>
      <c r="T7" s="503"/>
      <c r="U7" s="508"/>
      <c r="V7" s="508" t="s">
        <v>541</v>
      </c>
      <c r="W7" s="508" t="s">
        <v>541</v>
      </c>
      <c r="X7" s="508" t="s">
        <v>541</v>
      </c>
      <c r="Y7" s="503"/>
      <c r="Z7" s="503"/>
      <c r="AA7" s="508"/>
      <c r="AB7" s="687"/>
      <c r="AC7" s="687"/>
      <c r="AD7" s="508" t="s">
        <v>541</v>
      </c>
      <c r="AE7" s="508" t="s">
        <v>541</v>
      </c>
      <c r="AF7" s="724"/>
      <c r="AG7" s="503" t="s">
        <v>562</v>
      </c>
      <c r="AH7" s="503"/>
      <c r="AI7" s="691" t="s">
        <v>541</v>
      </c>
      <c r="AJ7" s="691" t="s">
        <v>541</v>
      </c>
      <c r="AK7" s="691" t="s">
        <v>541</v>
      </c>
      <c r="AL7" s="503"/>
      <c r="AM7" s="503"/>
      <c r="AN7" s="689"/>
      <c r="AO7" s="691" t="s">
        <v>541</v>
      </c>
      <c r="AP7" s="692"/>
      <c r="AT7" s="804"/>
      <c r="AX7" s="802"/>
    </row>
    <row r="8" spans="1:50" s="324" customFormat="1" ht="12" customHeight="1">
      <c r="A8" s="726"/>
      <c r="B8" s="727"/>
      <c r="C8" s="728"/>
      <c r="D8" s="729"/>
      <c r="E8" s="510" t="s">
        <v>0</v>
      </c>
      <c r="F8" s="510" t="s">
        <v>1</v>
      </c>
      <c r="G8" s="510" t="s">
        <v>519</v>
      </c>
      <c r="H8" s="510" t="s">
        <v>453</v>
      </c>
      <c r="I8" s="510" t="s">
        <v>2</v>
      </c>
      <c r="J8" s="510" t="s">
        <v>5</v>
      </c>
      <c r="K8" s="510" t="s">
        <v>116</v>
      </c>
      <c r="L8" s="510" t="s">
        <v>3</v>
      </c>
      <c r="M8" s="510" t="s">
        <v>4</v>
      </c>
      <c r="N8" s="510" t="s">
        <v>445</v>
      </c>
      <c r="O8" s="510" t="s">
        <v>6</v>
      </c>
      <c r="P8" s="510" t="s">
        <v>5</v>
      </c>
      <c r="Q8" s="510" t="s">
        <v>136</v>
      </c>
      <c r="R8" s="510" t="s">
        <v>467</v>
      </c>
      <c r="S8" s="693" t="s">
        <v>469</v>
      </c>
      <c r="T8" s="693" t="s">
        <v>527</v>
      </c>
      <c r="U8" s="510" t="s">
        <v>488</v>
      </c>
      <c r="V8" s="510" t="s">
        <v>171</v>
      </c>
      <c r="W8" s="693" t="s">
        <v>5</v>
      </c>
      <c r="X8" s="693" t="s">
        <v>5</v>
      </c>
      <c r="Y8" s="694" t="s">
        <v>459</v>
      </c>
      <c r="Z8" s="510" t="s">
        <v>458</v>
      </c>
      <c r="AA8" s="510" t="s">
        <v>15</v>
      </c>
      <c r="AB8" s="510" t="s">
        <v>15</v>
      </c>
      <c r="AC8" s="510" t="s">
        <v>15</v>
      </c>
      <c r="AD8" s="510" t="s">
        <v>15</v>
      </c>
      <c r="AE8" s="510" t="s">
        <v>15</v>
      </c>
      <c r="AF8" s="510" t="s">
        <v>15</v>
      </c>
      <c r="AG8" s="510" t="s">
        <v>15</v>
      </c>
      <c r="AH8" s="510" t="s">
        <v>15</v>
      </c>
      <c r="AI8" s="694" t="s">
        <v>458</v>
      </c>
      <c r="AJ8" s="510" t="s">
        <v>15</v>
      </c>
      <c r="AK8" s="510" t="s">
        <v>15</v>
      </c>
      <c r="AL8" s="510" t="s">
        <v>15</v>
      </c>
      <c r="AM8" s="730" t="s">
        <v>458</v>
      </c>
      <c r="AN8" s="695"/>
      <c r="AO8" s="696" t="s">
        <v>505</v>
      </c>
      <c r="AP8" s="725" t="s">
        <v>505</v>
      </c>
      <c r="AQ8" s="805" t="s">
        <v>570</v>
      </c>
      <c r="AR8" s="805" t="s">
        <v>570</v>
      </c>
      <c r="AS8" s="806" t="s">
        <v>15</v>
      </c>
      <c r="AT8" s="440"/>
      <c r="AU8" s="807" t="s">
        <v>570</v>
      </c>
      <c r="AV8" s="805" t="s">
        <v>570</v>
      </c>
      <c r="AW8" s="805" t="s">
        <v>570</v>
      </c>
      <c r="AX8" s="806" t="s">
        <v>571</v>
      </c>
    </row>
    <row r="9" spans="1:50" s="324" customFormat="1">
      <c r="A9" s="731" t="s">
        <v>7</v>
      </c>
      <c r="B9" s="732"/>
      <c r="C9" s="733"/>
      <c r="D9" s="734"/>
      <c r="E9" s="511" t="s">
        <v>8</v>
      </c>
      <c r="F9" s="511" t="s">
        <v>9</v>
      </c>
      <c r="G9" s="511" t="s">
        <v>520</v>
      </c>
      <c r="H9" s="511" t="s">
        <v>139</v>
      </c>
      <c r="I9" s="511" t="s">
        <v>10</v>
      </c>
      <c r="J9" s="511" t="s">
        <v>11</v>
      </c>
      <c r="K9" s="511" t="s">
        <v>12</v>
      </c>
      <c r="L9" s="511" t="s">
        <v>12</v>
      </c>
      <c r="M9" s="511" t="s">
        <v>523</v>
      </c>
      <c r="N9" s="511" t="s">
        <v>446</v>
      </c>
      <c r="O9" s="511" t="s">
        <v>14</v>
      </c>
      <c r="P9" s="511" t="s">
        <v>137</v>
      </c>
      <c r="Q9" s="511" t="s">
        <v>521</v>
      </c>
      <c r="R9" s="511" t="s">
        <v>468</v>
      </c>
      <c r="S9" s="697" t="s">
        <v>470</v>
      </c>
      <c r="T9" s="697" t="s">
        <v>528</v>
      </c>
      <c r="U9" s="698" t="s">
        <v>489</v>
      </c>
      <c r="V9" s="698" t="s">
        <v>518</v>
      </c>
      <c r="W9" s="697" t="s">
        <v>13</v>
      </c>
      <c r="X9" s="697" t="s">
        <v>544</v>
      </c>
      <c r="Y9" s="699" t="s">
        <v>225</v>
      </c>
      <c r="Z9" s="700" t="s">
        <v>534</v>
      </c>
      <c r="AA9" s="698" t="s">
        <v>132</v>
      </c>
      <c r="AB9" s="698" t="s">
        <v>132</v>
      </c>
      <c r="AC9" s="698" t="s">
        <v>532</v>
      </c>
      <c r="AD9" s="698" t="s">
        <v>191</v>
      </c>
      <c r="AE9" s="511" t="s">
        <v>11</v>
      </c>
      <c r="AF9" s="698" t="s">
        <v>530</v>
      </c>
      <c r="AG9" s="511" t="s">
        <v>466</v>
      </c>
      <c r="AH9" s="511" t="s">
        <v>3</v>
      </c>
      <c r="AI9" s="701" t="s">
        <v>531</v>
      </c>
      <c r="AJ9" s="511" t="s">
        <v>443</v>
      </c>
      <c r="AK9" s="698" t="s">
        <v>524</v>
      </c>
      <c r="AL9" s="511" t="s">
        <v>536</v>
      </c>
      <c r="AM9" s="735" t="s">
        <v>460</v>
      </c>
      <c r="AN9" s="702"/>
      <c r="AO9" s="702" t="s">
        <v>506</v>
      </c>
      <c r="AP9" s="699" t="s">
        <v>15</v>
      </c>
      <c r="AQ9" s="808" t="s">
        <v>572</v>
      </c>
      <c r="AR9" s="808" t="s">
        <v>573</v>
      </c>
      <c r="AS9" s="809" t="s">
        <v>574</v>
      </c>
      <c r="AT9" s="353"/>
      <c r="AU9" s="810" t="s">
        <v>573</v>
      </c>
      <c r="AV9" s="808" t="s">
        <v>575</v>
      </c>
      <c r="AW9" s="808" t="s">
        <v>575</v>
      </c>
      <c r="AX9" s="809" t="s">
        <v>576</v>
      </c>
    </row>
    <row r="10" spans="1:50" s="324" customFormat="1" ht="11.4">
      <c r="A10" s="736" t="s">
        <v>16</v>
      </c>
      <c r="B10" s="737"/>
      <c r="C10" s="738"/>
      <c r="D10" s="739" t="s">
        <v>17</v>
      </c>
      <c r="E10" s="512" t="s">
        <v>18</v>
      </c>
      <c r="F10" s="512" t="s">
        <v>19</v>
      </c>
      <c r="G10" s="512" t="s">
        <v>253</v>
      </c>
      <c r="H10" s="512"/>
      <c r="I10" s="512" t="s">
        <v>21</v>
      </c>
      <c r="J10" s="512" t="s">
        <v>22</v>
      </c>
      <c r="K10" s="512"/>
      <c r="L10" s="512"/>
      <c r="M10" s="512" t="s">
        <v>23</v>
      </c>
      <c r="N10" s="512" t="s">
        <v>12</v>
      </c>
      <c r="O10" s="512" t="s">
        <v>25</v>
      </c>
      <c r="P10" s="512" t="s">
        <v>21</v>
      </c>
      <c r="Q10" s="512" t="s">
        <v>522</v>
      </c>
      <c r="R10" s="512" t="s">
        <v>117</v>
      </c>
      <c r="S10" s="703" t="s">
        <v>471</v>
      </c>
      <c r="T10" s="703" t="s">
        <v>529</v>
      </c>
      <c r="U10" s="704" t="s">
        <v>490</v>
      </c>
      <c r="V10" s="704"/>
      <c r="W10" s="703" t="s">
        <v>24</v>
      </c>
      <c r="X10" s="703" t="s">
        <v>505</v>
      </c>
      <c r="Y10" s="740"/>
      <c r="Z10" s="512" t="s">
        <v>535</v>
      </c>
      <c r="AA10" s="704" t="s">
        <v>133</v>
      </c>
      <c r="AB10" s="704" t="s">
        <v>134</v>
      </c>
      <c r="AC10" s="704" t="s">
        <v>170</v>
      </c>
      <c r="AD10" s="704" t="s">
        <v>20</v>
      </c>
      <c r="AE10" s="512" t="s">
        <v>22</v>
      </c>
      <c r="AF10" s="512" t="s">
        <v>12</v>
      </c>
      <c r="AG10" s="512" t="s">
        <v>461</v>
      </c>
      <c r="AH10" s="512" t="s">
        <v>474</v>
      </c>
      <c r="AI10" s="705" t="s">
        <v>483</v>
      </c>
      <c r="AJ10" s="512" t="s">
        <v>444</v>
      </c>
      <c r="AK10" s="512" t="s">
        <v>525</v>
      </c>
      <c r="AL10" s="512" t="s">
        <v>508</v>
      </c>
      <c r="AM10" s="741"/>
      <c r="AN10" s="689"/>
      <c r="AO10" s="706" t="s">
        <v>507</v>
      </c>
      <c r="AP10" s="742" t="s">
        <v>26</v>
      </c>
      <c r="AQ10" s="811" t="s">
        <v>577</v>
      </c>
      <c r="AR10" s="811" t="s">
        <v>578</v>
      </c>
      <c r="AS10" s="812" t="s">
        <v>570</v>
      </c>
      <c r="AT10" s="353"/>
      <c r="AU10" s="813" t="s">
        <v>579</v>
      </c>
      <c r="AV10" s="811" t="s">
        <v>580</v>
      </c>
      <c r="AW10" s="811" t="s">
        <v>578</v>
      </c>
      <c r="AX10" s="812" t="s">
        <v>26</v>
      </c>
    </row>
    <row r="11" spans="1:50" s="324" customFormat="1">
      <c r="A11" s="683"/>
      <c r="B11" s="743" t="s">
        <v>196</v>
      </c>
      <c r="C11" s="723"/>
      <c r="D11" s="723"/>
      <c r="E11" s="744">
        <v>1</v>
      </c>
      <c r="F11" s="744">
        <f>E11+0.01</f>
        <v>1.01</v>
      </c>
      <c r="G11" s="744">
        <f>F11+0.01</f>
        <v>1.02</v>
      </c>
      <c r="H11" s="744">
        <f>G11+0.01</f>
        <v>1.03</v>
      </c>
      <c r="I11" s="744">
        <v>2.0099999999999998</v>
      </c>
      <c r="J11" s="744">
        <f t="shared" ref="J11:W11" si="0">I11+0.01</f>
        <v>2.0199999999999996</v>
      </c>
      <c r="K11" s="744">
        <f t="shared" si="0"/>
        <v>2.0299999999999994</v>
      </c>
      <c r="L11" s="744">
        <f t="shared" si="0"/>
        <v>2.0399999999999991</v>
      </c>
      <c r="M11" s="744">
        <f t="shared" si="0"/>
        <v>2.0499999999999989</v>
      </c>
      <c r="N11" s="744">
        <f t="shared" si="0"/>
        <v>2.0599999999999987</v>
      </c>
      <c r="O11" s="744">
        <f t="shared" si="0"/>
        <v>2.0699999999999985</v>
      </c>
      <c r="P11" s="744">
        <f t="shared" si="0"/>
        <v>2.0799999999999983</v>
      </c>
      <c r="Q11" s="744">
        <f t="shared" si="0"/>
        <v>2.0899999999999981</v>
      </c>
      <c r="R11" s="707">
        <f t="shared" si="0"/>
        <v>2.0999999999999979</v>
      </c>
      <c r="S11" s="707">
        <f t="shared" si="0"/>
        <v>2.1099999999999977</v>
      </c>
      <c r="T11" s="707">
        <f t="shared" si="0"/>
        <v>2.1199999999999974</v>
      </c>
      <c r="U11" s="707">
        <f t="shared" si="0"/>
        <v>2.1299999999999972</v>
      </c>
      <c r="V11" s="707">
        <f t="shared" si="0"/>
        <v>2.139999999999997</v>
      </c>
      <c r="W11" s="707">
        <f t="shared" si="0"/>
        <v>2.1499999999999968</v>
      </c>
      <c r="X11" s="707">
        <v>2.16</v>
      </c>
      <c r="Y11" s="503"/>
      <c r="Z11" s="707">
        <v>3.01</v>
      </c>
      <c r="AA11" s="707">
        <f t="shared" ref="AA11:AL11" si="1">Z11+0.01</f>
        <v>3.0199999999999996</v>
      </c>
      <c r="AB11" s="707">
        <f t="shared" si="1"/>
        <v>3.0299999999999994</v>
      </c>
      <c r="AC11" s="707">
        <f t="shared" si="1"/>
        <v>3.0399999999999991</v>
      </c>
      <c r="AD11" s="707">
        <f t="shared" si="1"/>
        <v>3.0499999999999989</v>
      </c>
      <c r="AE11" s="707">
        <f t="shared" si="1"/>
        <v>3.0599999999999987</v>
      </c>
      <c r="AF11" s="707">
        <f t="shared" si="1"/>
        <v>3.0699999999999985</v>
      </c>
      <c r="AG11" s="707">
        <f t="shared" si="1"/>
        <v>3.0799999999999983</v>
      </c>
      <c r="AH11" s="707">
        <f t="shared" si="1"/>
        <v>3.0899999999999981</v>
      </c>
      <c r="AI11" s="707">
        <f t="shared" si="1"/>
        <v>3.0999999999999979</v>
      </c>
      <c r="AJ11" s="707">
        <f t="shared" si="1"/>
        <v>3.1099999999999977</v>
      </c>
      <c r="AK11" s="707">
        <f t="shared" si="1"/>
        <v>3.1199999999999974</v>
      </c>
      <c r="AL11" s="707">
        <f t="shared" si="1"/>
        <v>3.1299999999999972</v>
      </c>
      <c r="AM11" s="745"/>
      <c r="AN11" s="689"/>
      <c r="AO11" s="707">
        <f>AL11+0.01</f>
        <v>3.139999999999997</v>
      </c>
      <c r="AP11" s="746"/>
      <c r="AQ11" s="325">
        <v>5.01</v>
      </c>
      <c r="AR11" s="325">
        <v>5.0199999999999996</v>
      </c>
      <c r="AS11" s="814" t="s">
        <v>581</v>
      </c>
      <c r="AT11" s="441"/>
      <c r="AU11" s="325">
        <v>5.03</v>
      </c>
      <c r="AV11" s="325">
        <v>5.04</v>
      </c>
      <c r="AW11" s="325">
        <v>5.05</v>
      </c>
      <c r="AX11" s="814" t="s">
        <v>581</v>
      </c>
    </row>
    <row r="12" spans="1:50" s="324" customFormat="1">
      <c r="A12" s="683"/>
      <c r="B12" s="743" t="s">
        <v>197</v>
      </c>
      <c r="C12" s="723"/>
      <c r="D12" s="723"/>
      <c r="E12" s="503" t="s">
        <v>198</v>
      </c>
      <c r="F12" s="503" t="s">
        <v>199</v>
      </c>
      <c r="G12" s="503" t="s">
        <v>200</v>
      </c>
      <c r="H12" s="503" t="s">
        <v>454</v>
      </c>
      <c r="I12" s="503" t="s">
        <v>201</v>
      </c>
      <c r="J12" s="503" t="s">
        <v>451</v>
      </c>
      <c r="K12" s="503" t="s">
        <v>202</v>
      </c>
      <c r="L12" s="503" t="s">
        <v>203</v>
      </c>
      <c r="M12" s="503" t="s">
        <v>204</v>
      </c>
      <c r="N12" s="503" t="s">
        <v>205</v>
      </c>
      <c r="O12" s="503" t="s">
        <v>207</v>
      </c>
      <c r="P12" s="503" t="s">
        <v>440</v>
      </c>
      <c r="Q12" s="503" t="s">
        <v>206</v>
      </c>
      <c r="R12" s="503" t="s">
        <v>492</v>
      </c>
      <c r="S12" s="503" t="s">
        <v>472</v>
      </c>
      <c r="T12" s="503" t="s">
        <v>208</v>
      </c>
      <c r="U12" s="503" t="s">
        <v>491</v>
      </c>
      <c r="V12" s="503" t="s">
        <v>209</v>
      </c>
      <c r="W12" s="503" t="s">
        <v>210</v>
      </c>
      <c r="X12" s="503"/>
      <c r="Y12" s="503" t="s">
        <v>441</v>
      </c>
      <c r="Z12" s="503" t="s">
        <v>486</v>
      </c>
      <c r="AA12" s="503" t="s">
        <v>211</v>
      </c>
      <c r="AB12" s="503" t="s">
        <v>212</v>
      </c>
      <c r="AC12" s="503" t="s">
        <v>213</v>
      </c>
      <c r="AD12" s="503" t="s">
        <v>533</v>
      </c>
      <c r="AE12" s="503" t="s">
        <v>452</v>
      </c>
      <c r="AF12" s="503" t="s">
        <v>504</v>
      </c>
      <c r="AG12" s="503" t="s">
        <v>473</v>
      </c>
      <c r="AH12" s="503" t="s">
        <v>485</v>
      </c>
      <c r="AI12" s="689" t="s">
        <v>482</v>
      </c>
      <c r="AJ12" s="503" t="s">
        <v>484</v>
      </c>
      <c r="AK12" s="503" t="s">
        <v>526</v>
      </c>
      <c r="AL12" s="503" t="s">
        <v>511</v>
      </c>
      <c r="AM12" s="745" t="s">
        <v>442</v>
      </c>
      <c r="AN12" s="689"/>
      <c r="AO12" s="689" t="s">
        <v>517</v>
      </c>
      <c r="AP12" s="511"/>
      <c r="AQ12" s="321" t="s">
        <v>582</v>
      </c>
      <c r="AR12" s="321" t="s">
        <v>583</v>
      </c>
      <c r="AS12" s="815"/>
      <c r="AT12" s="323"/>
      <c r="AU12" s="321" t="s">
        <v>584</v>
      </c>
      <c r="AV12" s="321" t="s">
        <v>585</v>
      </c>
      <c r="AW12" s="321" t="s">
        <v>586</v>
      </c>
      <c r="AX12" s="815"/>
    </row>
    <row r="13" spans="1:50" ht="6" customHeight="1">
      <c r="A13" s="159"/>
      <c r="B13" s="156"/>
      <c r="C13" s="156"/>
      <c r="D13" s="156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682"/>
      <c r="Z13" s="122"/>
      <c r="AA13" s="122"/>
      <c r="AB13" s="122"/>
      <c r="AC13" s="122"/>
      <c r="AD13" s="122"/>
      <c r="AE13" s="122"/>
      <c r="AF13" s="122"/>
      <c r="AG13" s="122"/>
      <c r="AH13" s="122"/>
      <c r="AI13" s="521"/>
      <c r="AJ13" s="122"/>
      <c r="AK13" s="122"/>
      <c r="AL13" s="122"/>
      <c r="AM13" s="747"/>
      <c r="AN13" s="678"/>
      <c r="AO13" s="521"/>
      <c r="AP13" s="748"/>
      <c r="AQ13" s="441"/>
      <c r="AR13" s="816"/>
      <c r="AS13" s="817"/>
      <c r="AT13" s="350"/>
      <c r="AU13" s="816"/>
      <c r="AV13" s="816"/>
      <c r="AW13" s="816"/>
      <c r="AX13" s="817"/>
    </row>
    <row r="14" spans="1:50">
      <c r="A14" s="159"/>
      <c r="B14" s="156" t="s">
        <v>33</v>
      </c>
      <c r="C14" s="156"/>
      <c r="D14" s="156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682"/>
      <c r="Z14" s="122"/>
      <c r="AA14" s="122"/>
      <c r="AB14" s="122"/>
      <c r="AC14" s="122"/>
      <c r="AD14" s="122"/>
      <c r="AE14" s="122"/>
      <c r="AF14" s="122"/>
      <c r="AG14" s="122"/>
      <c r="AH14" s="122"/>
      <c r="AI14" s="521"/>
      <c r="AJ14" s="122"/>
      <c r="AK14" s="122"/>
      <c r="AL14" s="122"/>
      <c r="AM14" s="747"/>
      <c r="AN14" s="678"/>
      <c r="AO14" s="521"/>
      <c r="AP14" s="748"/>
      <c r="AQ14" s="818"/>
      <c r="AR14" s="803"/>
      <c r="AS14" s="817"/>
      <c r="AT14" s="350"/>
      <c r="AU14" s="803"/>
      <c r="AV14" s="803"/>
      <c r="AW14" s="803"/>
      <c r="AX14" s="817"/>
    </row>
    <row r="15" spans="1:50" s="2" customFormat="1">
      <c r="A15" s="159">
        <v>1</v>
      </c>
      <c r="B15" s="749" t="s">
        <v>34</v>
      </c>
      <c r="C15" s="749"/>
      <c r="D15" s="749"/>
      <c r="E15" s="750">
        <f>'ROO INPUT'!$F15</f>
        <v>146098</v>
      </c>
      <c r="F15" s="513">
        <v>0</v>
      </c>
      <c r="G15" s="513">
        <v>0</v>
      </c>
      <c r="H15" s="513">
        <v>0</v>
      </c>
      <c r="I15" s="513">
        <v>-5097</v>
      </c>
      <c r="J15" s="513">
        <v>0</v>
      </c>
      <c r="K15" s="513">
        <v>0</v>
      </c>
      <c r="L15" s="513">
        <v>0</v>
      </c>
      <c r="M15" s="513">
        <v>0</v>
      </c>
      <c r="N15" s="513">
        <v>0</v>
      </c>
      <c r="O15" s="513">
        <v>0</v>
      </c>
      <c r="P15" s="513">
        <v>0</v>
      </c>
      <c r="Q15" s="513">
        <v>0</v>
      </c>
      <c r="R15" s="513">
        <v>11209</v>
      </c>
      <c r="S15" s="513">
        <v>-1240</v>
      </c>
      <c r="T15" s="513">
        <v>0</v>
      </c>
      <c r="U15" s="513">
        <v>0</v>
      </c>
      <c r="V15" s="513">
        <v>0</v>
      </c>
      <c r="W15" s="513">
        <v>0</v>
      </c>
      <c r="X15" s="513">
        <v>0</v>
      </c>
      <c r="Y15" s="751">
        <f>SUM(E15:X15)</f>
        <v>150970</v>
      </c>
      <c r="Z15" s="513">
        <v>0</v>
      </c>
      <c r="AA15" s="513">
        <v>0</v>
      </c>
      <c r="AB15" s="513">
        <v>0</v>
      </c>
      <c r="AC15" s="513">
        <v>0</v>
      </c>
      <c r="AD15" s="513">
        <v>0</v>
      </c>
      <c r="AE15" s="513">
        <v>0</v>
      </c>
      <c r="AF15" s="513">
        <v>0</v>
      </c>
      <c r="AG15" s="513">
        <v>-66671</v>
      </c>
      <c r="AH15" s="513">
        <v>0</v>
      </c>
      <c r="AI15" s="708">
        <v>0</v>
      </c>
      <c r="AJ15" s="513">
        <v>0</v>
      </c>
      <c r="AK15" s="513">
        <v>0</v>
      </c>
      <c r="AL15" s="513">
        <v>0</v>
      </c>
      <c r="AM15" s="752">
        <f>SUM(Y15:AL15)</f>
        <v>84299</v>
      </c>
      <c r="AN15" s="709"/>
      <c r="AO15" s="708">
        <v>0</v>
      </c>
      <c r="AP15" s="753">
        <f>SUM(AM15:AO15)</f>
        <v>84299</v>
      </c>
      <c r="AQ15" s="819">
        <v>0</v>
      </c>
      <c r="AR15" s="819">
        <v>0</v>
      </c>
      <c r="AS15" s="820">
        <f>SUM(AP15:AR15)</f>
        <v>84299</v>
      </c>
      <c r="AT15" s="351"/>
      <c r="AU15" s="819">
        <v>0</v>
      </c>
      <c r="AV15" s="819">
        <v>0</v>
      </c>
      <c r="AW15" s="819">
        <v>0</v>
      </c>
      <c r="AX15" s="820">
        <f>SUM(AU15:AW15)</f>
        <v>0</v>
      </c>
    </row>
    <row r="16" spans="1:50">
      <c r="A16" s="159">
        <v>2</v>
      </c>
      <c r="B16" s="754" t="s">
        <v>35</v>
      </c>
      <c r="C16" s="156"/>
      <c r="D16" s="754"/>
      <c r="E16" s="167">
        <f>'ROO INPUT'!$F16</f>
        <v>4595</v>
      </c>
      <c r="F16" s="514">
        <v>0</v>
      </c>
      <c r="G16" s="514">
        <v>0</v>
      </c>
      <c r="H16" s="514">
        <v>0</v>
      </c>
      <c r="I16" s="514">
        <v>-118</v>
      </c>
      <c r="J16" s="514">
        <v>0</v>
      </c>
      <c r="K16" s="514">
        <v>0</v>
      </c>
      <c r="L16" s="514">
        <v>0</v>
      </c>
      <c r="M16" s="514">
        <v>0</v>
      </c>
      <c r="N16" s="514">
        <v>0</v>
      </c>
      <c r="O16" s="514">
        <v>0</v>
      </c>
      <c r="P16" s="514">
        <v>0</v>
      </c>
      <c r="Q16" s="514">
        <v>0</v>
      </c>
      <c r="R16" s="514"/>
      <c r="S16" s="514">
        <v>0</v>
      </c>
      <c r="T16" s="514">
        <v>0</v>
      </c>
      <c r="U16" s="514">
        <v>0</v>
      </c>
      <c r="V16" s="514">
        <v>0</v>
      </c>
      <c r="W16" s="514">
        <v>0</v>
      </c>
      <c r="X16" s="514">
        <v>0</v>
      </c>
      <c r="Y16" s="751">
        <f>SUM(E16:X16)</f>
        <v>4477</v>
      </c>
      <c r="Z16" s="514">
        <v>0</v>
      </c>
      <c r="AA16" s="514">
        <v>0</v>
      </c>
      <c r="AB16" s="514">
        <v>0</v>
      </c>
      <c r="AC16" s="514">
        <v>0</v>
      </c>
      <c r="AD16" s="514">
        <v>0</v>
      </c>
      <c r="AE16" s="514">
        <v>0</v>
      </c>
      <c r="AF16" s="514">
        <v>0</v>
      </c>
      <c r="AG16" s="514">
        <v>56</v>
      </c>
      <c r="AH16" s="514">
        <v>0</v>
      </c>
      <c r="AI16" s="516">
        <v>0</v>
      </c>
      <c r="AJ16" s="514">
        <v>0</v>
      </c>
      <c r="AK16" s="514">
        <v>0</v>
      </c>
      <c r="AL16" s="514">
        <v>0</v>
      </c>
      <c r="AM16" s="755">
        <f>SUM(Y16:AL16)</f>
        <v>4533</v>
      </c>
      <c r="AN16" s="710"/>
      <c r="AO16" s="516">
        <v>0</v>
      </c>
      <c r="AP16" s="756">
        <f>SUM(AM16:AO16)</f>
        <v>4533</v>
      </c>
      <c r="AQ16" s="821">
        <v>0</v>
      </c>
      <c r="AR16" s="821">
        <v>0</v>
      </c>
      <c r="AS16" s="820">
        <f t="shared" ref="AS16:AS17" si="2">SUM(AP16:AR16)</f>
        <v>4533</v>
      </c>
      <c r="AT16" s="347"/>
      <c r="AU16" s="821">
        <v>0</v>
      </c>
      <c r="AV16" s="821">
        <v>0</v>
      </c>
      <c r="AW16" s="821">
        <v>0</v>
      </c>
      <c r="AX16" s="822">
        <f>SUM(AU16:AW16)</f>
        <v>0</v>
      </c>
    </row>
    <row r="17" spans="1:50" ht="12.6" thickBot="1">
      <c r="A17" s="159">
        <v>3</v>
      </c>
      <c r="B17" s="754" t="s">
        <v>36</v>
      </c>
      <c r="C17" s="156"/>
      <c r="D17" s="754"/>
      <c r="E17" s="713">
        <f>'ROO INPUT'!$F17</f>
        <v>69723</v>
      </c>
      <c r="F17" s="515">
        <v>0</v>
      </c>
      <c r="G17" s="515">
        <v>0</v>
      </c>
      <c r="H17" s="515">
        <v>0</v>
      </c>
      <c r="I17" s="515">
        <v>0</v>
      </c>
      <c r="J17" s="515">
        <v>0</v>
      </c>
      <c r="K17" s="515">
        <v>0</v>
      </c>
      <c r="L17" s="515">
        <v>0</v>
      </c>
      <c r="M17" s="515">
        <v>0</v>
      </c>
      <c r="N17" s="515">
        <v>0</v>
      </c>
      <c r="O17" s="515">
        <v>0</v>
      </c>
      <c r="P17" s="515">
        <v>0</v>
      </c>
      <c r="Q17" s="515">
        <v>0</v>
      </c>
      <c r="R17" s="515">
        <v>-5427</v>
      </c>
      <c r="S17" s="515">
        <v>-63276</v>
      </c>
      <c r="T17" s="515">
        <v>0</v>
      </c>
      <c r="U17" s="515">
        <v>0</v>
      </c>
      <c r="V17" s="515">
        <v>0</v>
      </c>
      <c r="W17" s="515">
        <v>0</v>
      </c>
      <c r="X17" s="515">
        <v>0</v>
      </c>
      <c r="Y17" s="758">
        <f>SUM(E17:X17)</f>
        <v>1020</v>
      </c>
      <c r="Z17" s="515">
        <v>0</v>
      </c>
      <c r="AA17" s="515">
        <v>0</v>
      </c>
      <c r="AB17" s="515">
        <v>0</v>
      </c>
      <c r="AC17" s="515">
        <v>0</v>
      </c>
      <c r="AD17" s="515">
        <v>0</v>
      </c>
      <c r="AE17" s="515">
        <v>0</v>
      </c>
      <c r="AF17" s="515">
        <v>0</v>
      </c>
      <c r="AG17" s="515">
        <v>-776</v>
      </c>
      <c r="AH17" s="515">
        <v>0</v>
      </c>
      <c r="AI17" s="515">
        <v>0</v>
      </c>
      <c r="AJ17" s="515">
        <v>0</v>
      </c>
      <c r="AK17" s="515">
        <v>0</v>
      </c>
      <c r="AL17" s="515">
        <v>0</v>
      </c>
      <c r="AM17" s="759">
        <f>SUM(Y17:AL17)</f>
        <v>244</v>
      </c>
      <c r="AN17" s="710"/>
      <c r="AO17" s="515">
        <v>0</v>
      </c>
      <c r="AP17" s="760">
        <f>SUM(AM17:AO17)</f>
        <v>244</v>
      </c>
      <c r="AQ17" s="823">
        <v>0</v>
      </c>
      <c r="AR17" s="823">
        <v>0</v>
      </c>
      <c r="AS17" s="883">
        <f t="shared" si="2"/>
        <v>244</v>
      </c>
      <c r="AT17" s="347"/>
      <c r="AU17" s="823">
        <v>0</v>
      </c>
      <c r="AV17" s="823">
        <v>0</v>
      </c>
      <c r="AW17" s="823">
        <v>0</v>
      </c>
      <c r="AX17" s="824">
        <f>SUM(AU17:AW17)</f>
        <v>0</v>
      </c>
    </row>
    <row r="18" spans="1:50">
      <c r="A18" s="159">
        <v>4</v>
      </c>
      <c r="B18" s="156" t="s">
        <v>37</v>
      </c>
      <c r="C18" s="754"/>
      <c r="D18" s="754"/>
      <c r="E18" s="167">
        <f t="shared" ref="E18:AM18" si="3">SUM(E15:E17)</f>
        <v>220416</v>
      </c>
      <c r="F18" s="167">
        <f t="shared" si="3"/>
        <v>0</v>
      </c>
      <c r="G18" s="167">
        <f t="shared" si="3"/>
        <v>0</v>
      </c>
      <c r="H18" s="167">
        <f t="shared" si="3"/>
        <v>0</v>
      </c>
      <c r="I18" s="167">
        <f t="shared" si="3"/>
        <v>-5215</v>
      </c>
      <c r="J18" s="167">
        <f t="shared" si="3"/>
        <v>0</v>
      </c>
      <c r="K18" s="167">
        <f t="shared" si="3"/>
        <v>0</v>
      </c>
      <c r="L18" s="167">
        <f t="shared" si="3"/>
        <v>0</v>
      </c>
      <c r="M18" s="167">
        <f t="shared" si="3"/>
        <v>0</v>
      </c>
      <c r="N18" s="167">
        <f t="shared" si="3"/>
        <v>0</v>
      </c>
      <c r="O18" s="167">
        <f t="shared" si="3"/>
        <v>0</v>
      </c>
      <c r="P18" s="167">
        <f t="shared" si="3"/>
        <v>0</v>
      </c>
      <c r="Q18" s="167">
        <f t="shared" si="3"/>
        <v>0</v>
      </c>
      <c r="R18" s="167">
        <f t="shared" si="3"/>
        <v>5782</v>
      </c>
      <c r="S18" s="167">
        <f t="shared" si="3"/>
        <v>-64516</v>
      </c>
      <c r="T18" s="167">
        <f t="shared" si="3"/>
        <v>0</v>
      </c>
      <c r="U18" s="167">
        <f t="shared" si="3"/>
        <v>0</v>
      </c>
      <c r="V18" s="167">
        <f t="shared" si="3"/>
        <v>0</v>
      </c>
      <c r="W18" s="167">
        <f t="shared" si="3"/>
        <v>0</v>
      </c>
      <c r="X18" s="167">
        <f t="shared" si="3"/>
        <v>0</v>
      </c>
      <c r="Y18" s="757">
        <f t="shared" si="3"/>
        <v>156467</v>
      </c>
      <c r="Z18" s="167">
        <f t="shared" si="3"/>
        <v>0</v>
      </c>
      <c r="AA18" s="167">
        <f t="shared" si="3"/>
        <v>0</v>
      </c>
      <c r="AB18" s="167">
        <f t="shared" si="3"/>
        <v>0</v>
      </c>
      <c r="AC18" s="167">
        <f t="shared" si="3"/>
        <v>0</v>
      </c>
      <c r="AD18" s="167">
        <f t="shared" si="3"/>
        <v>0</v>
      </c>
      <c r="AE18" s="167">
        <f t="shared" si="3"/>
        <v>0</v>
      </c>
      <c r="AF18" s="167">
        <f t="shared" si="3"/>
        <v>0</v>
      </c>
      <c r="AG18" s="167">
        <f t="shared" si="3"/>
        <v>-67391</v>
      </c>
      <c r="AH18" s="167">
        <f t="shared" si="3"/>
        <v>0</v>
      </c>
      <c r="AI18" s="711">
        <f t="shared" si="3"/>
        <v>0</v>
      </c>
      <c r="AJ18" s="167">
        <f t="shared" si="3"/>
        <v>0</v>
      </c>
      <c r="AK18" s="167">
        <f t="shared" si="3"/>
        <v>0</v>
      </c>
      <c r="AL18" s="167">
        <f t="shared" si="3"/>
        <v>0</v>
      </c>
      <c r="AM18" s="755">
        <f t="shared" si="3"/>
        <v>89076</v>
      </c>
      <c r="AN18" s="710"/>
      <c r="AO18" s="711">
        <f>SUM(AO15:AO17)</f>
        <v>0</v>
      </c>
      <c r="AP18" s="756">
        <f>SUM(AP15:AP17)</f>
        <v>89076</v>
      </c>
      <c r="AQ18" s="297">
        <f t="shared" ref="AQ18:AX18" si="4">SUM(AQ15:AQ17)</f>
        <v>0</v>
      </c>
      <c r="AR18" s="297">
        <f t="shared" si="4"/>
        <v>0</v>
      </c>
      <c r="AS18" s="822">
        <f t="shared" si="4"/>
        <v>89076</v>
      </c>
      <c r="AT18" s="347"/>
      <c r="AU18" s="297">
        <f t="shared" si="4"/>
        <v>0</v>
      </c>
      <c r="AV18" s="297">
        <f t="shared" si="4"/>
        <v>0</v>
      </c>
      <c r="AW18" s="297">
        <f t="shared" si="4"/>
        <v>0</v>
      </c>
      <c r="AX18" s="822">
        <f t="shared" si="4"/>
        <v>0</v>
      </c>
    </row>
    <row r="19" spans="1:50">
      <c r="A19" s="159"/>
      <c r="B19" s="156"/>
      <c r="C19" s="754"/>
      <c r="D19" s="754"/>
      <c r="E19" s="167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757"/>
      <c r="Z19" s="514"/>
      <c r="AA19" s="514"/>
      <c r="AB19" s="514"/>
      <c r="AC19" s="514"/>
      <c r="AD19" s="514"/>
      <c r="AE19" s="514"/>
      <c r="AF19" s="514"/>
      <c r="AG19" s="514"/>
      <c r="AH19" s="514"/>
      <c r="AI19" s="516"/>
      <c r="AJ19" s="514"/>
      <c r="AK19" s="514"/>
      <c r="AL19" s="514"/>
      <c r="AM19" s="755"/>
      <c r="AN19" s="710"/>
      <c r="AO19" s="516"/>
      <c r="AP19" s="756"/>
      <c r="AQ19" s="821"/>
      <c r="AR19" s="821"/>
      <c r="AS19" s="822"/>
      <c r="AT19" s="347"/>
      <c r="AU19" s="821"/>
      <c r="AV19" s="821"/>
      <c r="AW19" s="821"/>
      <c r="AX19" s="822"/>
    </row>
    <row r="20" spans="1:50">
      <c r="A20" s="159"/>
      <c r="B20" s="156" t="s">
        <v>38</v>
      </c>
      <c r="C20" s="754"/>
      <c r="D20" s="754"/>
      <c r="E20" s="167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4"/>
      <c r="W20" s="514"/>
      <c r="X20" s="514"/>
      <c r="Y20" s="757"/>
      <c r="Z20" s="514"/>
      <c r="AA20" s="514"/>
      <c r="AB20" s="514"/>
      <c r="AC20" s="514"/>
      <c r="AD20" s="514"/>
      <c r="AE20" s="514"/>
      <c r="AF20" s="514"/>
      <c r="AG20" s="514"/>
      <c r="AH20" s="514"/>
      <c r="AI20" s="516"/>
      <c r="AJ20" s="514"/>
      <c r="AK20" s="514"/>
      <c r="AL20" s="514"/>
      <c r="AM20" s="755"/>
      <c r="AN20" s="710"/>
      <c r="AO20" s="516"/>
      <c r="AP20" s="756"/>
      <c r="AQ20" s="821"/>
      <c r="AR20" s="821"/>
      <c r="AS20" s="822"/>
      <c r="AT20" s="347"/>
      <c r="AU20" s="821"/>
      <c r="AV20" s="821"/>
      <c r="AW20" s="821"/>
      <c r="AX20" s="822"/>
    </row>
    <row r="21" spans="1:50">
      <c r="A21" s="159"/>
      <c r="B21" s="754" t="s">
        <v>218</v>
      </c>
      <c r="C21" s="156"/>
      <c r="D21" s="754"/>
      <c r="E21" s="167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4"/>
      <c r="W21" s="514"/>
      <c r="X21" s="514"/>
      <c r="Y21" s="757"/>
      <c r="Z21" s="514"/>
      <c r="AA21" s="514"/>
      <c r="AB21" s="514"/>
      <c r="AC21" s="514"/>
      <c r="AD21" s="514"/>
      <c r="AE21" s="514"/>
      <c r="AF21" s="514"/>
      <c r="AG21" s="514"/>
      <c r="AH21" s="514"/>
      <c r="AI21" s="516"/>
      <c r="AJ21" s="514"/>
      <c r="AK21" s="514"/>
      <c r="AL21" s="514"/>
      <c r="AM21" s="755"/>
      <c r="AN21" s="710"/>
      <c r="AO21" s="516"/>
      <c r="AP21" s="756"/>
      <c r="AQ21" s="821"/>
      <c r="AR21" s="821"/>
      <c r="AS21" s="822"/>
      <c r="AT21" s="347"/>
      <c r="AU21" s="821"/>
      <c r="AV21" s="821"/>
      <c r="AW21" s="821"/>
      <c r="AX21" s="822"/>
    </row>
    <row r="22" spans="1:50">
      <c r="A22" s="159">
        <v>5</v>
      </c>
      <c r="B22" s="156"/>
      <c r="C22" s="754" t="s">
        <v>39</v>
      </c>
      <c r="D22" s="754"/>
      <c r="E22" s="167">
        <f>'ROO INPUT'!$F22</f>
        <v>112605</v>
      </c>
      <c r="F22" s="514">
        <v>0</v>
      </c>
      <c r="G22" s="514">
        <v>0</v>
      </c>
      <c r="H22" s="514">
        <v>0</v>
      </c>
      <c r="I22" s="514">
        <v>0</v>
      </c>
      <c r="J22" s="514">
        <v>0</v>
      </c>
      <c r="K22" s="514">
        <v>0</v>
      </c>
      <c r="L22" s="514">
        <v>0</v>
      </c>
      <c r="M22" s="514">
        <v>0</v>
      </c>
      <c r="N22" s="514">
        <v>0</v>
      </c>
      <c r="O22" s="514">
        <v>0</v>
      </c>
      <c r="P22" s="514">
        <v>0</v>
      </c>
      <c r="Q22" s="514">
        <v>0</v>
      </c>
      <c r="R22" s="514">
        <v>5274</v>
      </c>
      <c r="S22" s="514">
        <v>-54419</v>
      </c>
      <c r="T22" s="514">
        <v>0</v>
      </c>
      <c r="U22" s="514">
        <v>0</v>
      </c>
      <c r="V22" s="514">
        <v>0</v>
      </c>
      <c r="W22" s="514">
        <v>0</v>
      </c>
      <c r="X22" s="514">
        <v>0</v>
      </c>
      <c r="Y22" s="757">
        <f>SUM(E22:X22)</f>
        <v>63460</v>
      </c>
      <c r="Z22" s="514">
        <v>0</v>
      </c>
      <c r="AA22" s="514">
        <v>0</v>
      </c>
      <c r="AB22" s="514">
        <v>0</v>
      </c>
      <c r="AC22" s="514">
        <v>0</v>
      </c>
      <c r="AD22" s="514">
        <v>0</v>
      </c>
      <c r="AE22" s="514">
        <v>0</v>
      </c>
      <c r="AF22" s="514">
        <v>0</v>
      </c>
      <c r="AG22" s="514">
        <v>-63460</v>
      </c>
      <c r="AH22" s="514">
        <v>0</v>
      </c>
      <c r="AI22" s="516">
        <v>0</v>
      </c>
      <c r="AJ22" s="514">
        <v>0</v>
      </c>
      <c r="AK22" s="514">
        <v>0</v>
      </c>
      <c r="AL22" s="514">
        <v>0</v>
      </c>
      <c r="AM22" s="755">
        <f>SUM(Y22:AL22)</f>
        <v>0</v>
      </c>
      <c r="AN22" s="710"/>
      <c r="AO22" s="516">
        <v>0</v>
      </c>
      <c r="AP22" s="756">
        <f>SUM(AM22:AO22)</f>
        <v>0</v>
      </c>
      <c r="AQ22" s="821">
        <v>0</v>
      </c>
      <c r="AR22" s="821">
        <v>0</v>
      </c>
      <c r="AS22" s="822">
        <f>SUM(AP22:AR22)</f>
        <v>0</v>
      </c>
      <c r="AT22" s="347"/>
      <c r="AU22" s="821">
        <v>0</v>
      </c>
      <c r="AV22" s="821">
        <v>0</v>
      </c>
      <c r="AW22" s="821">
        <v>0</v>
      </c>
      <c r="AX22" s="822">
        <f>SUM(AU22:AW22)</f>
        <v>0</v>
      </c>
    </row>
    <row r="23" spans="1:50">
      <c r="A23" s="159">
        <v>6</v>
      </c>
      <c r="B23" s="156"/>
      <c r="C23" s="754" t="s">
        <v>40</v>
      </c>
      <c r="D23" s="754"/>
      <c r="E23" s="167">
        <f>'ROO INPUT'!$F23</f>
        <v>988</v>
      </c>
      <c r="F23" s="514">
        <v>0</v>
      </c>
      <c r="G23" s="514">
        <v>0</v>
      </c>
      <c r="H23" s="514">
        <v>0</v>
      </c>
      <c r="I23" s="514">
        <v>0</v>
      </c>
      <c r="J23" s="514">
        <v>0</v>
      </c>
      <c r="K23" s="514">
        <v>0</v>
      </c>
      <c r="L23" s="514">
        <v>0</v>
      </c>
      <c r="M23" s="514">
        <v>0</v>
      </c>
      <c r="N23" s="514">
        <v>0</v>
      </c>
      <c r="O23" s="514">
        <v>0</v>
      </c>
      <c r="P23" s="514">
        <v>0</v>
      </c>
      <c r="Q23" s="514">
        <v>0</v>
      </c>
      <c r="R23" s="514">
        <v>6</v>
      </c>
      <c r="S23" s="514">
        <v>0</v>
      </c>
      <c r="T23" s="514">
        <v>0</v>
      </c>
      <c r="U23" s="514">
        <v>0</v>
      </c>
      <c r="V23" s="514">
        <v>0</v>
      </c>
      <c r="W23" s="514">
        <v>0</v>
      </c>
      <c r="X23" s="514">
        <v>0</v>
      </c>
      <c r="Y23" s="757">
        <f>SUM(E23:X23)</f>
        <v>994</v>
      </c>
      <c r="Z23" s="514">
        <v>0</v>
      </c>
      <c r="AA23" s="514">
        <v>31</v>
      </c>
      <c r="AB23" s="514">
        <v>0</v>
      </c>
      <c r="AC23" s="514">
        <v>-6</v>
      </c>
      <c r="AD23" s="514">
        <v>0</v>
      </c>
      <c r="AE23" s="514">
        <v>0</v>
      </c>
      <c r="AF23" s="514">
        <v>0</v>
      </c>
      <c r="AG23" s="514">
        <v>0</v>
      </c>
      <c r="AH23" s="514">
        <v>0</v>
      </c>
      <c r="AI23" s="516">
        <v>0</v>
      </c>
      <c r="AJ23" s="514">
        <v>0</v>
      </c>
      <c r="AK23" s="514">
        <v>0</v>
      </c>
      <c r="AL23" s="514">
        <v>0</v>
      </c>
      <c r="AM23" s="755">
        <f>SUM(Y23:AL23)</f>
        <v>1019</v>
      </c>
      <c r="AN23" s="710"/>
      <c r="AO23" s="516">
        <v>0</v>
      </c>
      <c r="AP23" s="756">
        <f>SUM(AM23:AO23)</f>
        <v>1019</v>
      </c>
      <c r="AQ23" s="821">
        <v>0</v>
      </c>
      <c r="AR23" s="821">
        <v>0</v>
      </c>
      <c r="AS23" s="822">
        <f t="shared" ref="AS23:AS24" si="5">SUM(AP23:AR23)</f>
        <v>1019</v>
      </c>
      <c r="AT23" s="347"/>
      <c r="AU23" s="821">
        <v>0</v>
      </c>
      <c r="AV23" s="821">
        <v>0</v>
      </c>
      <c r="AW23" s="821">
        <v>0</v>
      </c>
      <c r="AX23" s="822">
        <f>SUM(AU23:AW23)</f>
        <v>0</v>
      </c>
    </row>
    <row r="24" spans="1:50" ht="12.6" thickBot="1">
      <c r="A24" s="159">
        <v>7</v>
      </c>
      <c r="B24" s="156"/>
      <c r="C24" s="754" t="s">
        <v>41</v>
      </c>
      <c r="D24" s="754"/>
      <c r="E24" s="713">
        <f>'ROO INPUT'!$F24</f>
        <v>2932</v>
      </c>
      <c r="F24" s="515">
        <v>0</v>
      </c>
      <c r="G24" s="515">
        <v>0</v>
      </c>
      <c r="H24" s="515">
        <v>0</v>
      </c>
      <c r="I24" s="515">
        <v>0</v>
      </c>
      <c r="J24" s="515">
        <v>0</v>
      </c>
      <c r="K24" s="515">
        <v>0</v>
      </c>
      <c r="L24" s="515">
        <v>0</v>
      </c>
      <c r="M24" s="515">
        <v>0</v>
      </c>
      <c r="N24" s="515">
        <v>0</v>
      </c>
      <c r="O24" s="515">
        <v>0</v>
      </c>
      <c r="P24" s="515">
        <v>0</v>
      </c>
      <c r="Q24" s="515">
        <v>0</v>
      </c>
      <c r="R24" s="515">
        <v>0</v>
      </c>
      <c r="S24" s="515">
        <v>-2932</v>
      </c>
      <c r="T24" s="515">
        <v>0</v>
      </c>
      <c r="U24" s="515">
        <v>0</v>
      </c>
      <c r="V24" s="515">
        <v>0</v>
      </c>
      <c r="W24" s="515">
        <v>0</v>
      </c>
      <c r="X24" s="515">
        <v>0</v>
      </c>
      <c r="Y24" s="762">
        <f>SUM(E24:X24)</f>
        <v>0</v>
      </c>
      <c r="Z24" s="515">
        <v>0</v>
      </c>
      <c r="AA24" s="515">
        <v>0</v>
      </c>
      <c r="AB24" s="515">
        <v>0</v>
      </c>
      <c r="AC24" s="515">
        <v>0</v>
      </c>
      <c r="AD24" s="515">
        <v>0</v>
      </c>
      <c r="AE24" s="515">
        <v>0</v>
      </c>
      <c r="AF24" s="515">
        <v>0</v>
      </c>
      <c r="AG24" s="515">
        <v>0</v>
      </c>
      <c r="AH24" s="515">
        <v>0</v>
      </c>
      <c r="AI24" s="515">
        <v>0</v>
      </c>
      <c r="AJ24" s="515">
        <v>0</v>
      </c>
      <c r="AK24" s="515">
        <v>0</v>
      </c>
      <c r="AL24" s="515">
        <v>0</v>
      </c>
      <c r="AM24" s="759">
        <f>SUM(Y24:AL24)</f>
        <v>0</v>
      </c>
      <c r="AN24" s="710"/>
      <c r="AO24" s="515">
        <v>0</v>
      </c>
      <c r="AP24" s="760">
        <f>SUM(AM24:AO24)</f>
        <v>0</v>
      </c>
      <c r="AQ24" s="823">
        <v>0</v>
      </c>
      <c r="AR24" s="823">
        <v>0</v>
      </c>
      <c r="AS24" s="824">
        <f t="shared" si="5"/>
        <v>0</v>
      </c>
      <c r="AT24" s="347"/>
      <c r="AU24" s="823">
        <v>0</v>
      </c>
      <c r="AV24" s="823">
        <v>0</v>
      </c>
      <c r="AW24" s="823">
        <v>0</v>
      </c>
      <c r="AX24" s="824">
        <f>SUM(AU24:AW24)</f>
        <v>0</v>
      </c>
    </row>
    <row r="25" spans="1:50">
      <c r="A25" s="159">
        <v>8</v>
      </c>
      <c r="B25" s="754" t="s">
        <v>42</v>
      </c>
      <c r="C25" s="754"/>
      <c r="D25" s="156"/>
      <c r="E25" s="167">
        <f t="shared" ref="E25:AM25" si="6">SUM(E22:E24)</f>
        <v>116525</v>
      </c>
      <c r="F25" s="167">
        <f t="shared" si="6"/>
        <v>0</v>
      </c>
      <c r="G25" s="167">
        <f t="shared" si="6"/>
        <v>0</v>
      </c>
      <c r="H25" s="167">
        <f t="shared" si="6"/>
        <v>0</v>
      </c>
      <c r="I25" s="167">
        <f t="shared" si="6"/>
        <v>0</v>
      </c>
      <c r="J25" s="167">
        <f t="shared" si="6"/>
        <v>0</v>
      </c>
      <c r="K25" s="167">
        <f t="shared" si="6"/>
        <v>0</v>
      </c>
      <c r="L25" s="167">
        <f t="shared" si="6"/>
        <v>0</v>
      </c>
      <c r="M25" s="167">
        <f t="shared" si="6"/>
        <v>0</v>
      </c>
      <c r="N25" s="167">
        <f t="shared" si="6"/>
        <v>0</v>
      </c>
      <c r="O25" s="167">
        <f t="shared" si="6"/>
        <v>0</v>
      </c>
      <c r="P25" s="167">
        <f t="shared" si="6"/>
        <v>0</v>
      </c>
      <c r="Q25" s="167">
        <f t="shared" si="6"/>
        <v>0</v>
      </c>
      <c r="R25" s="167">
        <f t="shared" si="6"/>
        <v>5280</v>
      </c>
      <c r="S25" s="167">
        <f t="shared" si="6"/>
        <v>-57351</v>
      </c>
      <c r="T25" s="167">
        <f t="shared" si="6"/>
        <v>0</v>
      </c>
      <c r="U25" s="167">
        <f t="shared" si="6"/>
        <v>0</v>
      </c>
      <c r="V25" s="167">
        <f t="shared" si="6"/>
        <v>0</v>
      </c>
      <c r="W25" s="167">
        <f t="shared" si="6"/>
        <v>0</v>
      </c>
      <c r="X25" s="167">
        <f t="shared" si="6"/>
        <v>0</v>
      </c>
      <c r="Y25" s="757">
        <f t="shared" si="6"/>
        <v>64454</v>
      </c>
      <c r="Z25" s="167">
        <f t="shared" si="6"/>
        <v>0</v>
      </c>
      <c r="AA25" s="167">
        <f t="shared" si="6"/>
        <v>31</v>
      </c>
      <c r="AB25" s="167">
        <f t="shared" si="6"/>
        <v>0</v>
      </c>
      <c r="AC25" s="167">
        <f t="shared" si="6"/>
        <v>-6</v>
      </c>
      <c r="AD25" s="167">
        <f t="shared" si="6"/>
        <v>0</v>
      </c>
      <c r="AE25" s="167">
        <f t="shared" si="6"/>
        <v>0</v>
      </c>
      <c r="AF25" s="167">
        <f t="shared" si="6"/>
        <v>0</v>
      </c>
      <c r="AG25" s="167">
        <f t="shared" si="6"/>
        <v>-63460</v>
      </c>
      <c r="AH25" s="167">
        <f t="shared" si="6"/>
        <v>0</v>
      </c>
      <c r="AI25" s="711">
        <f t="shared" si="6"/>
        <v>0</v>
      </c>
      <c r="AJ25" s="167">
        <f t="shared" si="6"/>
        <v>0</v>
      </c>
      <c r="AK25" s="167">
        <f t="shared" si="6"/>
        <v>0</v>
      </c>
      <c r="AL25" s="167">
        <f t="shared" si="6"/>
        <v>0</v>
      </c>
      <c r="AM25" s="755">
        <f t="shared" si="6"/>
        <v>1019</v>
      </c>
      <c r="AN25" s="710"/>
      <c r="AO25" s="711">
        <f>SUM(AO22:AO24)</f>
        <v>0</v>
      </c>
      <c r="AP25" s="756">
        <f>SUM(AP22:AP24)</f>
        <v>1019</v>
      </c>
      <c r="AQ25" s="297">
        <f t="shared" ref="AQ25:AX25" si="7">SUM(AQ22:AQ24)</f>
        <v>0</v>
      </c>
      <c r="AR25" s="297">
        <f t="shared" si="7"/>
        <v>0</v>
      </c>
      <c r="AS25" s="822">
        <f t="shared" si="7"/>
        <v>1019</v>
      </c>
      <c r="AT25" s="347"/>
      <c r="AU25" s="297">
        <f t="shared" si="7"/>
        <v>0</v>
      </c>
      <c r="AV25" s="297">
        <f t="shared" si="7"/>
        <v>0</v>
      </c>
      <c r="AW25" s="297">
        <f t="shared" si="7"/>
        <v>0</v>
      </c>
      <c r="AX25" s="822">
        <f t="shared" si="7"/>
        <v>0</v>
      </c>
    </row>
    <row r="26" spans="1:50">
      <c r="A26" s="159"/>
      <c r="B26" s="754"/>
      <c r="C26" s="754"/>
      <c r="D26" s="156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757"/>
      <c r="Z26" s="167"/>
      <c r="AA26" s="167"/>
      <c r="AB26" s="167"/>
      <c r="AC26" s="167"/>
      <c r="AD26" s="167"/>
      <c r="AE26" s="167"/>
      <c r="AF26" s="167"/>
      <c r="AG26" s="167"/>
      <c r="AH26" s="167"/>
      <c r="AI26" s="711"/>
      <c r="AJ26" s="167"/>
      <c r="AK26" s="167"/>
      <c r="AL26" s="167"/>
      <c r="AM26" s="755"/>
      <c r="AN26" s="710"/>
      <c r="AO26" s="711"/>
      <c r="AP26" s="756"/>
      <c r="AQ26" s="297"/>
      <c r="AR26" s="297"/>
      <c r="AS26" s="822"/>
      <c r="AT26" s="347"/>
      <c r="AU26" s="297"/>
      <c r="AV26" s="297"/>
      <c r="AW26" s="297"/>
      <c r="AX26" s="822"/>
    </row>
    <row r="27" spans="1:50">
      <c r="A27" s="159"/>
      <c r="B27" s="754" t="s">
        <v>43</v>
      </c>
      <c r="C27" s="156"/>
      <c r="D27" s="754"/>
      <c r="E27" s="167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4"/>
      <c r="Y27" s="757"/>
      <c r="Z27" s="514"/>
      <c r="AA27" s="514"/>
      <c r="AB27" s="514"/>
      <c r="AC27" s="514"/>
      <c r="AD27" s="514"/>
      <c r="AE27" s="514"/>
      <c r="AF27" s="514"/>
      <c r="AG27" s="514"/>
      <c r="AH27" s="514"/>
      <c r="AI27" s="516"/>
      <c r="AJ27" s="514"/>
      <c r="AK27" s="514"/>
      <c r="AL27" s="514"/>
      <c r="AM27" s="755"/>
      <c r="AN27" s="710"/>
      <c r="AO27" s="516"/>
      <c r="AP27" s="756"/>
      <c r="AQ27" s="821"/>
      <c r="AR27" s="821"/>
      <c r="AS27" s="822"/>
      <c r="AT27" s="347"/>
      <c r="AU27" s="821"/>
      <c r="AV27" s="821"/>
      <c r="AW27" s="821"/>
      <c r="AX27" s="822"/>
    </row>
    <row r="28" spans="1:50">
      <c r="A28" s="159">
        <v>9</v>
      </c>
      <c r="B28" s="156"/>
      <c r="C28" s="754" t="s">
        <v>44</v>
      </c>
      <c r="D28" s="754"/>
      <c r="E28" s="167">
        <f>'ROO INPUT'!$F28</f>
        <v>974</v>
      </c>
      <c r="F28" s="514">
        <v>0</v>
      </c>
      <c r="G28" s="514">
        <v>0</v>
      </c>
      <c r="H28" s="514">
        <v>0</v>
      </c>
      <c r="I28" s="514">
        <v>0</v>
      </c>
      <c r="J28" s="514">
        <v>0</v>
      </c>
      <c r="K28" s="514">
        <v>0</v>
      </c>
      <c r="L28" s="514">
        <v>0</v>
      </c>
      <c r="M28" s="514">
        <v>0</v>
      </c>
      <c r="N28" s="514">
        <v>0</v>
      </c>
      <c r="O28" s="514">
        <v>0</v>
      </c>
      <c r="P28" s="514">
        <v>0</v>
      </c>
      <c r="Q28" s="514">
        <v>0</v>
      </c>
      <c r="R28" s="514">
        <v>0</v>
      </c>
      <c r="S28" s="514">
        <v>0</v>
      </c>
      <c r="T28" s="514">
        <v>0</v>
      </c>
      <c r="U28" s="514">
        <v>0</v>
      </c>
      <c r="V28" s="514">
        <v>0</v>
      </c>
      <c r="W28" s="514">
        <v>0</v>
      </c>
      <c r="X28" s="514">
        <v>0</v>
      </c>
      <c r="Y28" s="757">
        <f>SUM(E28:X28)</f>
        <v>974</v>
      </c>
      <c r="Z28" s="514">
        <v>0</v>
      </c>
      <c r="AA28" s="514">
        <v>0</v>
      </c>
      <c r="AB28" s="514">
        <v>0</v>
      </c>
      <c r="AC28" s="514">
        <v>0</v>
      </c>
      <c r="AD28" s="514">
        <v>0</v>
      </c>
      <c r="AE28" s="514">
        <v>0</v>
      </c>
      <c r="AF28" s="514">
        <v>0</v>
      </c>
      <c r="AG28" s="514">
        <v>0</v>
      </c>
      <c r="AH28" s="514">
        <v>0</v>
      </c>
      <c r="AI28" s="516">
        <v>0</v>
      </c>
      <c r="AJ28" s="514">
        <v>0</v>
      </c>
      <c r="AK28" s="514">
        <v>0</v>
      </c>
      <c r="AL28" s="514">
        <v>0</v>
      </c>
      <c r="AM28" s="755">
        <f>SUM(Y28:AL28)</f>
        <v>974</v>
      </c>
      <c r="AN28" s="710"/>
      <c r="AO28" s="516">
        <v>0</v>
      </c>
      <c r="AP28" s="756">
        <f>SUM(AM28:AO28)</f>
        <v>974</v>
      </c>
      <c r="AQ28" s="821">
        <v>0</v>
      </c>
      <c r="AR28" s="821">
        <v>0</v>
      </c>
      <c r="AS28" s="822">
        <f>SUM(AP28:AR28)</f>
        <v>974</v>
      </c>
      <c r="AT28" s="347"/>
      <c r="AU28" s="821">
        <v>0</v>
      </c>
      <c r="AV28" s="821">
        <v>0</v>
      </c>
      <c r="AW28" s="821">
        <v>0</v>
      </c>
      <c r="AX28" s="822">
        <f>SUM(AU28:AW28)</f>
        <v>0</v>
      </c>
    </row>
    <row r="29" spans="1:50">
      <c r="A29" s="159">
        <v>10</v>
      </c>
      <c r="B29" s="156"/>
      <c r="C29" s="754" t="s">
        <v>214</v>
      </c>
      <c r="D29" s="754"/>
      <c r="E29" s="167">
        <f>'ROO INPUT'!$F29</f>
        <v>492</v>
      </c>
      <c r="F29" s="514">
        <v>0</v>
      </c>
      <c r="G29" s="514">
        <v>0</v>
      </c>
      <c r="H29" s="514">
        <v>0</v>
      </c>
      <c r="I29" s="514">
        <v>0</v>
      </c>
      <c r="J29" s="514">
        <v>0</v>
      </c>
      <c r="K29" s="514">
        <v>0</v>
      </c>
      <c r="L29" s="514">
        <v>0</v>
      </c>
      <c r="M29" s="514">
        <v>0</v>
      </c>
      <c r="N29" s="514">
        <v>0</v>
      </c>
      <c r="O29" s="514">
        <v>0</v>
      </c>
      <c r="P29" s="514">
        <v>0</v>
      </c>
      <c r="Q29" s="514">
        <v>0</v>
      </c>
      <c r="R29" s="514">
        <v>0</v>
      </c>
      <c r="S29" s="514">
        <v>0</v>
      </c>
      <c r="T29" s="514">
        <v>0</v>
      </c>
      <c r="U29" s="514">
        <v>0</v>
      </c>
      <c r="V29" s="514">
        <v>0</v>
      </c>
      <c r="W29" s="514">
        <v>0</v>
      </c>
      <c r="X29" s="514">
        <v>0</v>
      </c>
      <c r="Y29" s="757">
        <f>SUM(E29:X29)</f>
        <v>492</v>
      </c>
      <c r="Z29" s="514">
        <v>0</v>
      </c>
      <c r="AA29" s="514">
        <v>0</v>
      </c>
      <c r="AB29" s="514">
        <v>0</v>
      </c>
      <c r="AC29" s="514">
        <v>0</v>
      </c>
      <c r="AD29" s="514">
        <v>0</v>
      </c>
      <c r="AE29" s="514">
        <v>0</v>
      </c>
      <c r="AF29" s="514">
        <v>0</v>
      </c>
      <c r="AG29" s="514">
        <v>0</v>
      </c>
      <c r="AH29" s="514">
        <v>0</v>
      </c>
      <c r="AI29" s="516">
        <v>0</v>
      </c>
      <c r="AJ29" s="514">
        <v>0</v>
      </c>
      <c r="AK29" s="514">
        <v>0</v>
      </c>
      <c r="AL29" s="514">
        <v>0</v>
      </c>
      <c r="AM29" s="755">
        <f>SUM(Y29:AL29)</f>
        <v>492</v>
      </c>
      <c r="AN29" s="710"/>
      <c r="AO29" s="516">
        <v>0</v>
      </c>
      <c r="AP29" s="756">
        <f>SUM(AM29:AO29)</f>
        <v>492</v>
      </c>
      <c r="AQ29" s="821">
        <v>0</v>
      </c>
      <c r="AR29" s="821">
        <v>0</v>
      </c>
      <c r="AS29" s="822">
        <f t="shared" ref="AS29:AS30" si="8">SUM(AP29:AR29)</f>
        <v>492</v>
      </c>
      <c r="AT29" s="347"/>
      <c r="AU29" s="821">
        <v>0</v>
      </c>
      <c r="AV29" s="821">
        <v>0</v>
      </c>
      <c r="AW29" s="821">
        <v>0</v>
      </c>
      <c r="AX29" s="822">
        <f>SUM(AU29:AW29)</f>
        <v>0</v>
      </c>
    </row>
    <row r="30" spans="1:50" ht="12.6" thickBot="1">
      <c r="A30" s="159">
        <v>11</v>
      </c>
      <c r="B30" s="156"/>
      <c r="C30" s="754" t="s">
        <v>21</v>
      </c>
      <c r="D30" s="754"/>
      <c r="E30" s="713">
        <f>'ROO INPUT'!$F30</f>
        <v>210</v>
      </c>
      <c r="F30" s="515">
        <v>0</v>
      </c>
      <c r="G30" s="515">
        <v>0</v>
      </c>
      <c r="H30" s="515">
        <v>0</v>
      </c>
      <c r="I30" s="515">
        <v>0</v>
      </c>
      <c r="J30" s="515">
        <v>0</v>
      </c>
      <c r="K30" s="515">
        <v>0</v>
      </c>
      <c r="L30" s="515">
        <v>0</v>
      </c>
      <c r="M30" s="515">
        <v>0</v>
      </c>
      <c r="N30" s="515">
        <v>0</v>
      </c>
      <c r="O30" s="515">
        <v>0</v>
      </c>
      <c r="P30" s="515">
        <v>0</v>
      </c>
      <c r="Q30" s="515">
        <v>0</v>
      </c>
      <c r="R30" s="515">
        <v>0</v>
      </c>
      <c r="S30" s="515">
        <v>0</v>
      </c>
      <c r="T30" s="515">
        <v>0</v>
      </c>
      <c r="U30" s="515">
        <v>0</v>
      </c>
      <c r="V30" s="515">
        <v>0</v>
      </c>
      <c r="W30" s="515">
        <v>0</v>
      </c>
      <c r="X30" s="515">
        <v>0</v>
      </c>
      <c r="Y30" s="762">
        <f>SUM(E30:X30)</f>
        <v>210</v>
      </c>
      <c r="Z30" s="515">
        <v>0</v>
      </c>
      <c r="AA30" s="515">
        <v>0</v>
      </c>
      <c r="AB30" s="515">
        <v>0</v>
      </c>
      <c r="AC30" s="515">
        <v>0</v>
      </c>
      <c r="AD30" s="515">
        <v>0</v>
      </c>
      <c r="AE30" s="515">
        <v>39</v>
      </c>
      <c r="AF30" s="515">
        <v>0</v>
      </c>
      <c r="AG30" s="515">
        <v>0</v>
      </c>
      <c r="AH30" s="515">
        <v>0</v>
      </c>
      <c r="AI30" s="515">
        <v>0</v>
      </c>
      <c r="AJ30" s="515">
        <v>0</v>
      </c>
      <c r="AK30" s="515">
        <v>0</v>
      </c>
      <c r="AL30" s="515">
        <v>0</v>
      </c>
      <c r="AM30" s="759">
        <f>SUM(Y30:AL30)</f>
        <v>249</v>
      </c>
      <c r="AN30" s="710"/>
      <c r="AO30" s="515">
        <v>0</v>
      </c>
      <c r="AP30" s="760">
        <f>SUM(AM30:AO30)</f>
        <v>249</v>
      </c>
      <c r="AQ30" s="823">
        <v>0</v>
      </c>
      <c r="AR30" s="823">
        <v>0</v>
      </c>
      <c r="AS30" s="824">
        <f t="shared" si="8"/>
        <v>249</v>
      </c>
      <c r="AT30" s="347"/>
      <c r="AU30" s="823">
        <v>0</v>
      </c>
      <c r="AV30" s="823">
        <v>0</v>
      </c>
      <c r="AW30" s="823">
        <v>0</v>
      </c>
      <c r="AX30" s="824">
        <f>SUM(AU30:AW30)</f>
        <v>0</v>
      </c>
    </row>
    <row r="31" spans="1:50">
      <c r="A31" s="159">
        <v>12</v>
      </c>
      <c r="B31" s="754" t="s">
        <v>46</v>
      </c>
      <c r="C31" s="754"/>
      <c r="D31" s="156"/>
      <c r="E31" s="167">
        <f t="shared" ref="E31:AM31" si="9">SUM(E28:E30)</f>
        <v>1676</v>
      </c>
      <c r="F31" s="167">
        <f t="shared" si="9"/>
        <v>0</v>
      </c>
      <c r="G31" s="167">
        <f t="shared" si="9"/>
        <v>0</v>
      </c>
      <c r="H31" s="167">
        <f t="shared" si="9"/>
        <v>0</v>
      </c>
      <c r="I31" s="167">
        <f t="shared" si="9"/>
        <v>0</v>
      </c>
      <c r="J31" s="167">
        <f t="shared" si="9"/>
        <v>0</v>
      </c>
      <c r="K31" s="167">
        <f t="shared" si="9"/>
        <v>0</v>
      </c>
      <c r="L31" s="167">
        <f t="shared" si="9"/>
        <v>0</v>
      </c>
      <c r="M31" s="167">
        <f t="shared" si="9"/>
        <v>0</v>
      </c>
      <c r="N31" s="167">
        <f t="shared" si="9"/>
        <v>0</v>
      </c>
      <c r="O31" s="167">
        <f t="shared" si="9"/>
        <v>0</v>
      </c>
      <c r="P31" s="167">
        <f t="shared" si="9"/>
        <v>0</v>
      </c>
      <c r="Q31" s="167">
        <f t="shared" si="9"/>
        <v>0</v>
      </c>
      <c r="R31" s="167">
        <f t="shared" si="9"/>
        <v>0</v>
      </c>
      <c r="S31" s="167">
        <f t="shared" si="9"/>
        <v>0</v>
      </c>
      <c r="T31" s="167">
        <f t="shared" si="9"/>
        <v>0</v>
      </c>
      <c r="U31" s="167">
        <f t="shared" si="9"/>
        <v>0</v>
      </c>
      <c r="V31" s="167">
        <f t="shared" si="9"/>
        <v>0</v>
      </c>
      <c r="W31" s="167">
        <f t="shared" si="9"/>
        <v>0</v>
      </c>
      <c r="X31" s="167">
        <f t="shared" si="9"/>
        <v>0</v>
      </c>
      <c r="Y31" s="757">
        <f t="shared" si="9"/>
        <v>1676</v>
      </c>
      <c r="Z31" s="167">
        <f t="shared" si="9"/>
        <v>0</v>
      </c>
      <c r="AA31" s="167">
        <f t="shared" si="9"/>
        <v>0</v>
      </c>
      <c r="AB31" s="167">
        <f t="shared" si="9"/>
        <v>0</v>
      </c>
      <c r="AC31" s="167">
        <f t="shared" si="9"/>
        <v>0</v>
      </c>
      <c r="AD31" s="167">
        <f t="shared" si="9"/>
        <v>0</v>
      </c>
      <c r="AE31" s="167">
        <f t="shared" si="9"/>
        <v>39</v>
      </c>
      <c r="AF31" s="167">
        <f t="shared" si="9"/>
        <v>0</v>
      </c>
      <c r="AG31" s="167">
        <f t="shared" si="9"/>
        <v>0</v>
      </c>
      <c r="AH31" s="167">
        <f t="shared" si="9"/>
        <v>0</v>
      </c>
      <c r="AI31" s="711">
        <f t="shared" si="9"/>
        <v>0</v>
      </c>
      <c r="AJ31" s="167">
        <f t="shared" si="9"/>
        <v>0</v>
      </c>
      <c r="AK31" s="167">
        <f t="shared" si="9"/>
        <v>0</v>
      </c>
      <c r="AL31" s="167">
        <f t="shared" si="9"/>
        <v>0</v>
      </c>
      <c r="AM31" s="755">
        <f t="shared" si="9"/>
        <v>1715</v>
      </c>
      <c r="AN31" s="710"/>
      <c r="AO31" s="711">
        <f>SUM(AO28:AO30)</f>
        <v>0</v>
      </c>
      <c r="AP31" s="756">
        <f>SUM(AP28:AP30)</f>
        <v>1715</v>
      </c>
      <c r="AQ31" s="297">
        <f t="shared" ref="AQ31:AX31" si="10">SUM(AQ28:AQ30)</f>
        <v>0</v>
      </c>
      <c r="AR31" s="297">
        <f t="shared" si="10"/>
        <v>0</v>
      </c>
      <c r="AS31" s="822">
        <f t="shared" si="10"/>
        <v>1715</v>
      </c>
      <c r="AT31" s="347"/>
      <c r="AU31" s="297">
        <f t="shared" si="10"/>
        <v>0</v>
      </c>
      <c r="AV31" s="297">
        <f t="shared" si="10"/>
        <v>0</v>
      </c>
      <c r="AW31" s="297">
        <f t="shared" si="10"/>
        <v>0</v>
      </c>
      <c r="AX31" s="822">
        <f t="shared" si="10"/>
        <v>0</v>
      </c>
    </row>
    <row r="32" spans="1:50">
      <c r="A32" s="159"/>
      <c r="B32" s="754"/>
      <c r="C32" s="754"/>
      <c r="D32" s="156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757"/>
      <c r="Z32" s="167"/>
      <c r="AA32" s="167"/>
      <c r="AB32" s="167"/>
      <c r="AC32" s="167"/>
      <c r="AD32" s="167"/>
      <c r="AE32" s="167"/>
      <c r="AF32" s="167"/>
      <c r="AG32" s="167"/>
      <c r="AH32" s="167"/>
      <c r="AI32" s="711"/>
      <c r="AJ32" s="167"/>
      <c r="AK32" s="167"/>
      <c r="AL32" s="167"/>
      <c r="AM32" s="755"/>
      <c r="AN32" s="710"/>
      <c r="AO32" s="711"/>
      <c r="AP32" s="756"/>
      <c r="AQ32" s="297"/>
      <c r="AR32" s="297"/>
      <c r="AS32" s="822"/>
      <c r="AT32" s="347"/>
      <c r="AU32" s="297"/>
      <c r="AV32" s="297"/>
      <c r="AW32" s="297"/>
      <c r="AX32" s="822"/>
    </row>
    <row r="33" spans="1:50">
      <c r="A33" s="159"/>
      <c r="B33" s="754" t="s">
        <v>47</v>
      </c>
      <c r="C33" s="156"/>
      <c r="D33" s="754"/>
      <c r="E33" s="167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514"/>
      <c r="Y33" s="757"/>
      <c r="Z33" s="514"/>
      <c r="AA33" s="514"/>
      <c r="AB33" s="514"/>
      <c r="AC33" s="514"/>
      <c r="AD33" s="514"/>
      <c r="AE33" s="514"/>
      <c r="AF33" s="514"/>
      <c r="AG33" s="514"/>
      <c r="AH33" s="514"/>
      <c r="AI33" s="516"/>
      <c r="AJ33" s="514"/>
      <c r="AK33" s="514"/>
      <c r="AL33" s="514"/>
      <c r="AM33" s="755"/>
      <c r="AN33" s="710"/>
      <c r="AO33" s="516"/>
      <c r="AP33" s="756"/>
      <c r="AQ33" s="821"/>
      <c r="AR33" s="821"/>
      <c r="AS33" s="822"/>
      <c r="AT33" s="347"/>
      <c r="AU33" s="821"/>
      <c r="AV33" s="821"/>
      <c r="AW33" s="821"/>
      <c r="AX33" s="822"/>
    </row>
    <row r="34" spans="1:50">
      <c r="A34" s="159">
        <v>13</v>
      </c>
      <c r="B34" s="156"/>
      <c r="C34" s="754" t="s">
        <v>44</v>
      </c>
      <c r="D34" s="754"/>
      <c r="E34" s="167">
        <f>'ROO INPUT'!$F34</f>
        <v>12049</v>
      </c>
      <c r="F34" s="514">
        <v>0</v>
      </c>
      <c r="G34" s="514">
        <v>0</v>
      </c>
      <c r="H34" s="514">
        <v>0</v>
      </c>
      <c r="I34" s="514">
        <v>0</v>
      </c>
      <c r="J34" s="514">
        <v>0</v>
      </c>
      <c r="K34" s="514">
        <v>0</v>
      </c>
      <c r="L34" s="514">
        <v>0</v>
      </c>
      <c r="M34" s="514">
        <v>0</v>
      </c>
      <c r="N34" s="514">
        <v>0</v>
      </c>
      <c r="O34" s="514">
        <v>0</v>
      </c>
      <c r="P34" s="514">
        <v>0</v>
      </c>
      <c r="Q34" s="514">
        <v>0</v>
      </c>
      <c r="R34" s="514">
        <v>0</v>
      </c>
      <c r="S34" s="514">
        <v>0</v>
      </c>
      <c r="T34" s="514">
        <v>1</v>
      </c>
      <c r="U34" s="514">
        <v>0</v>
      </c>
      <c r="V34" s="514">
        <v>0</v>
      </c>
      <c r="W34" s="514">
        <v>0</v>
      </c>
      <c r="X34" s="514">
        <v>0</v>
      </c>
      <c r="Y34" s="757">
        <f>SUM(E34:X34)</f>
        <v>12050</v>
      </c>
      <c r="Z34" s="514">
        <v>348</v>
      </c>
      <c r="AA34" s="514">
        <v>371</v>
      </c>
      <c r="AB34" s="514"/>
      <c r="AC34" s="514">
        <v>-76</v>
      </c>
      <c r="AD34" s="514">
        <v>0</v>
      </c>
      <c r="AE34" s="514">
        <v>0</v>
      </c>
      <c r="AF34" s="514">
        <v>0</v>
      </c>
      <c r="AG34" s="514">
        <v>0</v>
      </c>
      <c r="AH34" s="514">
        <v>0</v>
      </c>
      <c r="AI34" s="516">
        <v>0</v>
      </c>
      <c r="AJ34" s="514">
        <v>0</v>
      </c>
      <c r="AK34" s="514">
        <v>0</v>
      </c>
      <c r="AL34" s="514">
        <v>0</v>
      </c>
      <c r="AM34" s="755">
        <f>SUM(Y34:AL34)</f>
        <v>12693</v>
      </c>
      <c r="AN34" s="710"/>
      <c r="AO34" s="516">
        <v>0</v>
      </c>
      <c r="AP34" s="756">
        <f>SUM(AM34:AO34)</f>
        <v>12693</v>
      </c>
      <c r="AQ34" s="821">
        <v>0</v>
      </c>
      <c r="AR34" s="821">
        <v>0</v>
      </c>
      <c r="AS34" s="822">
        <f>SUM(AP34:AR34)</f>
        <v>12693</v>
      </c>
      <c r="AT34" s="347"/>
      <c r="AU34" s="821">
        <v>0</v>
      </c>
      <c r="AV34" s="821">
        <v>0</v>
      </c>
      <c r="AW34" s="821">
        <v>0</v>
      </c>
      <c r="AX34" s="822">
        <f>SUM(AU34:AW34)</f>
        <v>0</v>
      </c>
    </row>
    <row r="35" spans="1:50" ht="15.75" customHeight="1">
      <c r="A35" s="159">
        <v>14</v>
      </c>
      <c r="B35" s="156"/>
      <c r="C35" s="754" t="s">
        <v>214</v>
      </c>
      <c r="D35" s="754"/>
      <c r="E35" s="167">
        <f>'ROO INPUT'!$F35</f>
        <v>9866</v>
      </c>
      <c r="F35" s="514">
        <v>0</v>
      </c>
      <c r="G35" s="514">
        <v>0</v>
      </c>
      <c r="H35" s="514">
        <v>0</v>
      </c>
      <c r="I35" s="514">
        <v>0</v>
      </c>
      <c r="J35" s="514">
        <v>0</v>
      </c>
      <c r="K35" s="514">
        <v>0</v>
      </c>
      <c r="L35" s="514">
        <v>0</v>
      </c>
      <c r="M35" s="514">
        <v>0</v>
      </c>
      <c r="N35" s="514">
        <v>0</v>
      </c>
      <c r="O35" s="514">
        <v>0</v>
      </c>
      <c r="P35" s="514">
        <v>0</v>
      </c>
      <c r="Q35" s="514">
        <v>-13</v>
      </c>
      <c r="R35" s="514">
        <v>0</v>
      </c>
      <c r="S35" s="514">
        <v>0</v>
      </c>
      <c r="T35" s="514">
        <v>0</v>
      </c>
      <c r="U35" s="514">
        <v>0</v>
      </c>
      <c r="V35" s="514">
        <v>0</v>
      </c>
      <c r="W35" s="514">
        <v>0</v>
      </c>
      <c r="X35" s="514">
        <v>0</v>
      </c>
      <c r="Y35" s="757">
        <f>SUM(E35:X35)</f>
        <v>9853</v>
      </c>
      <c r="Z35" s="514">
        <v>0</v>
      </c>
      <c r="AA35" s="514">
        <v>0</v>
      </c>
      <c r="AB35" s="514">
        <v>0</v>
      </c>
      <c r="AC35" s="514">
        <v>0</v>
      </c>
      <c r="AD35" s="514">
        <v>0</v>
      </c>
      <c r="AE35" s="514">
        <v>0</v>
      </c>
      <c r="AF35" s="514">
        <v>0</v>
      </c>
      <c r="AG35" s="514">
        <v>0</v>
      </c>
      <c r="AH35" s="514">
        <v>0</v>
      </c>
      <c r="AI35" s="516">
        <v>210</v>
      </c>
      <c r="AJ35" s="514">
        <v>0</v>
      </c>
      <c r="AK35" s="514">
        <v>0</v>
      </c>
      <c r="AL35" s="514">
        <v>0</v>
      </c>
      <c r="AM35" s="755">
        <f>SUM(Y35:AL35)</f>
        <v>10063</v>
      </c>
      <c r="AN35" s="710"/>
      <c r="AO35" s="516">
        <v>0</v>
      </c>
      <c r="AP35" s="756">
        <f>SUM(AM35:AO35)</f>
        <v>10063</v>
      </c>
      <c r="AQ35" s="821">
        <v>0</v>
      </c>
      <c r="AR35" s="821">
        <v>0</v>
      </c>
      <c r="AS35" s="822">
        <f t="shared" ref="AS35:AS36" si="11">SUM(AP35:AR35)</f>
        <v>10063</v>
      </c>
      <c r="AT35" s="347"/>
      <c r="AU35" s="821">
        <v>0</v>
      </c>
      <c r="AV35" s="821">
        <v>0</v>
      </c>
      <c r="AW35" s="821">
        <v>0</v>
      </c>
      <c r="AX35" s="822">
        <f>SUM(AU35:AW35)</f>
        <v>0</v>
      </c>
    </row>
    <row r="36" spans="1:50" ht="12.6" thickBot="1">
      <c r="A36" s="159">
        <v>15</v>
      </c>
      <c r="B36" s="156"/>
      <c r="C36" s="754" t="s">
        <v>21</v>
      </c>
      <c r="D36" s="754"/>
      <c r="E36" s="713">
        <f>'ROO INPUT'!$F36</f>
        <v>12807</v>
      </c>
      <c r="F36" s="515">
        <v>0</v>
      </c>
      <c r="G36" s="515">
        <v>0</v>
      </c>
      <c r="H36" s="515">
        <v>0</v>
      </c>
      <c r="I36" s="515">
        <v>-5183</v>
      </c>
      <c r="J36" s="515">
        <v>259</v>
      </c>
      <c r="K36" s="515">
        <v>0</v>
      </c>
      <c r="L36" s="515">
        <v>0</v>
      </c>
      <c r="M36" s="515">
        <v>0</v>
      </c>
      <c r="N36" s="515">
        <v>0</v>
      </c>
      <c r="O36" s="515">
        <v>0</v>
      </c>
      <c r="P36" s="515">
        <v>2</v>
      </c>
      <c r="Q36" s="515">
        <v>0</v>
      </c>
      <c r="R36" s="515">
        <f>ROUND((R$15+R$16)*CF!$E$19,0)</f>
        <v>429</v>
      </c>
      <c r="S36" s="515">
        <f>ROUND((S$15+S$16)*CF!$E$19,0)</f>
        <v>-47</v>
      </c>
      <c r="T36" s="515">
        <v>0</v>
      </c>
      <c r="U36" s="515">
        <v>0</v>
      </c>
      <c r="V36" s="515">
        <v>0</v>
      </c>
      <c r="W36" s="515">
        <v>0</v>
      </c>
      <c r="X36" s="515">
        <v>0</v>
      </c>
      <c r="Y36" s="762">
        <f>SUM(E36:X36)</f>
        <v>8267</v>
      </c>
      <c r="Z36" s="515">
        <v>0</v>
      </c>
      <c r="AA36" s="515">
        <v>0</v>
      </c>
      <c r="AB36" s="515">
        <v>0</v>
      </c>
      <c r="AC36" s="515">
        <v>0</v>
      </c>
      <c r="AD36" s="515">
        <v>0</v>
      </c>
      <c r="AE36" s="515">
        <v>390</v>
      </c>
      <c r="AF36" s="515">
        <v>0</v>
      </c>
      <c r="AG36" s="515">
        <f>ROUND((AG$15+AG$16)*CF!$E$19,0)</f>
        <v>-2550</v>
      </c>
      <c r="AH36" s="515">
        <v>0</v>
      </c>
      <c r="AI36" s="515">
        <v>0</v>
      </c>
      <c r="AJ36" s="515">
        <v>0</v>
      </c>
      <c r="AK36" s="515">
        <v>0</v>
      </c>
      <c r="AL36" s="515">
        <v>0</v>
      </c>
      <c r="AM36" s="759">
        <f>SUM(Y36:AL36)</f>
        <v>6107</v>
      </c>
      <c r="AN36" s="710"/>
      <c r="AO36" s="515">
        <v>0</v>
      </c>
      <c r="AP36" s="760">
        <f>SUM(AM36:AO36)</f>
        <v>6107</v>
      </c>
      <c r="AQ36" s="823">
        <v>0</v>
      </c>
      <c r="AR36" s="823">
        <v>0</v>
      </c>
      <c r="AS36" s="824">
        <f t="shared" si="11"/>
        <v>6107</v>
      </c>
      <c r="AT36" s="347"/>
      <c r="AU36" s="823">
        <v>0</v>
      </c>
      <c r="AV36" s="823">
        <v>0</v>
      </c>
      <c r="AW36" s="823">
        <v>0</v>
      </c>
      <c r="AX36" s="824">
        <f>SUM(AU36:AW36)</f>
        <v>0</v>
      </c>
    </row>
    <row r="37" spans="1:50" ht="13.05" customHeight="1">
      <c r="A37" s="159">
        <v>16</v>
      </c>
      <c r="B37" s="754" t="s">
        <v>48</v>
      </c>
      <c r="C37" s="754"/>
      <c r="D37" s="156"/>
      <c r="E37" s="167">
        <f t="shared" ref="E37:AM37" si="12">SUM(E34:E36)</f>
        <v>34722</v>
      </c>
      <c r="F37" s="167">
        <f t="shared" si="12"/>
        <v>0</v>
      </c>
      <c r="G37" s="167">
        <f t="shared" si="12"/>
        <v>0</v>
      </c>
      <c r="H37" s="167">
        <f t="shared" si="12"/>
        <v>0</v>
      </c>
      <c r="I37" s="167">
        <f t="shared" si="12"/>
        <v>-5183</v>
      </c>
      <c r="J37" s="167">
        <f t="shared" si="12"/>
        <v>259</v>
      </c>
      <c r="K37" s="167">
        <f t="shared" si="12"/>
        <v>0</v>
      </c>
      <c r="L37" s="167">
        <f t="shared" si="12"/>
        <v>0</v>
      </c>
      <c r="M37" s="167">
        <f t="shared" si="12"/>
        <v>0</v>
      </c>
      <c r="N37" s="167">
        <f t="shared" si="12"/>
        <v>0</v>
      </c>
      <c r="O37" s="167">
        <f t="shared" si="12"/>
        <v>0</v>
      </c>
      <c r="P37" s="167">
        <f t="shared" si="12"/>
        <v>2</v>
      </c>
      <c r="Q37" s="167">
        <f t="shared" si="12"/>
        <v>-13</v>
      </c>
      <c r="R37" s="167">
        <f t="shared" si="12"/>
        <v>429</v>
      </c>
      <c r="S37" s="167">
        <f t="shared" si="12"/>
        <v>-47</v>
      </c>
      <c r="T37" s="167">
        <f t="shared" si="12"/>
        <v>1</v>
      </c>
      <c r="U37" s="167">
        <f t="shared" si="12"/>
        <v>0</v>
      </c>
      <c r="V37" s="167">
        <f t="shared" si="12"/>
        <v>0</v>
      </c>
      <c r="W37" s="167">
        <f t="shared" si="12"/>
        <v>0</v>
      </c>
      <c r="X37" s="167">
        <f t="shared" si="12"/>
        <v>0</v>
      </c>
      <c r="Y37" s="757">
        <f t="shared" si="12"/>
        <v>30170</v>
      </c>
      <c r="Z37" s="167">
        <f t="shared" si="12"/>
        <v>348</v>
      </c>
      <c r="AA37" s="167">
        <f t="shared" si="12"/>
        <v>371</v>
      </c>
      <c r="AB37" s="167">
        <f t="shared" si="12"/>
        <v>0</v>
      </c>
      <c r="AC37" s="167">
        <f t="shared" si="12"/>
        <v>-76</v>
      </c>
      <c r="AD37" s="167">
        <f t="shared" si="12"/>
        <v>0</v>
      </c>
      <c r="AE37" s="167">
        <f t="shared" si="12"/>
        <v>390</v>
      </c>
      <c r="AF37" s="167">
        <f t="shared" si="12"/>
        <v>0</v>
      </c>
      <c r="AG37" s="167">
        <f t="shared" si="12"/>
        <v>-2550</v>
      </c>
      <c r="AH37" s="167">
        <f t="shared" si="12"/>
        <v>0</v>
      </c>
      <c r="AI37" s="711">
        <f t="shared" si="12"/>
        <v>210</v>
      </c>
      <c r="AJ37" s="167">
        <f t="shared" si="12"/>
        <v>0</v>
      </c>
      <c r="AK37" s="167">
        <f t="shared" si="12"/>
        <v>0</v>
      </c>
      <c r="AL37" s="167">
        <f t="shared" si="12"/>
        <v>0</v>
      </c>
      <c r="AM37" s="755">
        <f t="shared" si="12"/>
        <v>28863</v>
      </c>
      <c r="AN37" s="710"/>
      <c r="AO37" s="711">
        <f>SUM(AO34:AO36)</f>
        <v>0</v>
      </c>
      <c r="AP37" s="756">
        <f>SUM(AP34:AP36)</f>
        <v>28863</v>
      </c>
      <c r="AQ37" s="297">
        <f t="shared" ref="AQ37:AX37" si="13">SUM(AQ34:AQ36)</f>
        <v>0</v>
      </c>
      <c r="AR37" s="297">
        <f t="shared" si="13"/>
        <v>0</v>
      </c>
      <c r="AS37" s="822">
        <f t="shared" si="13"/>
        <v>28863</v>
      </c>
      <c r="AT37" s="347"/>
      <c r="AU37" s="297">
        <f t="shared" si="13"/>
        <v>0</v>
      </c>
      <c r="AV37" s="297">
        <f t="shared" si="13"/>
        <v>0</v>
      </c>
      <c r="AW37" s="297">
        <f t="shared" si="13"/>
        <v>0</v>
      </c>
      <c r="AX37" s="822">
        <f t="shared" si="13"/>
        <v>0</v>
      </c>
    </row>
    <row r="38" spans="1:50" ht="13.05" customHeight="1">
      <c r="A38" s="159"/>
      <c r="B38" s="156"/>
      <c r="C38" s="754"/>
      <c r="D38" s="754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757"/>
      <c r="Z38" s="167"/>
      <c r="AA38" s="167"/>
      <c r="AB38" s="167"/>
      <c r="AC38" s="167"/>
      <c r="AD38" s="167"/>
      <c r="AE38" s="167"/>
      <c r="AF38" s="167"/>
      <c r="AG38" s="167"/>
      <c r="AH38" s="167"/>
      <c r="AI38" s="711"/>
      <c r="AJ38" s="167"/>
      <c r="AK38" s="167"/>
      <c r="AL38" s="167"/>
      <c r="AM38" s="755"/>
      <c r="AN38" s="710"/>
      <c r="AO38" s="711"/>
      <c r="AP38" s="756"/>
      <c r="AQ38" s="297"/>
      <c r="AR38" s="297"/>
      <c r="AS38" s="822"/>
      <c r="AT38" s="347"/>
      <c r="AU38" s="297"/>
      <c r="AV38" s="297"/>
      <c r="AW38" s="297"/>
      <c r="AX38" s="822"/>
    </row>
    <row r="39" spans="1:50" ht="13.05" customHeight="1">
      <c r="A39" s="159">
        <v>17</v>
      </c>
      <c r="B39" s="156" t="s">
        <v>49</v>
      </c>
      <c r="C39" s="754"/>
      <c r="D39" s="754"/>
      <c r="E39" s="167">
        <f>'ROO INPUT'!$F39</f>
        <v>7352</v>
      </c>
      <c r="F39" s="516">
        <v>0</v>
      </c>
      <c r="G39" s="516">
        <v>2</v>
      </c>
      <c r="H39" s="516">
        <v>0</v>
      </c>
      <c r="I39" s="516">
        <v>0</v>
      </c>
      <c r="J39" s="516"/>
      <c r="K39" s="516">
        <v>-386</v>
      </c>
      <c r="L39" s="516">
        <v>0</v>
      </c>
      <c r="M39" s="516">
        <v>0</v>
      </c>
      <c r="N39" s="516">
        <v>0</v>
      </c>
      <c r="O39" s="516">
        <v>0</v>
      </c>
      <c r="P39" s="516">
        <v>0</v>
      </c>
      <c r="Q39" s="516">
        <v>0</v>
      </c>
      <c r="R39" s="514">
        <f>ROUND((R$15+R$16)*CF!$E$15,0)</f>
        <v>69</v>
      </c>
      <c r="S39" s="514">
        <f>ROUND((S$15+S$16)*CF!$E$15,0)</f>
        <v>-8</v>
      </c>
      <c r="T39" s="514">
        <v>0</v>
      </c>
      <c r="U39" s="167">
        <v>0</v>
      </c>
      <c r="V39" s="167">
        <v>0</v>
      </c>
      <c r="W39" s="514">
        <v>0</v>
      </c>
      <c r="X39" s="514">
        <v>0</v>
      </c>
      <c r="Y39" s="757">
        <f>SUM(E39:X39)</f>
        <v>7029</v>
      </c>
      <c r="Z39" s="516">
        <v>0</v>
      </c>
      <c r="AA39" s="167">
        <v>203</v>
      </c>
      <c r="AB39" s="167">
        <v>0</v>
      </c>
      <c r="AC39" s="167">
        <v>-41</v>
      </c>
      <c r="AD39" s="167">
        <v>0</v>
      </c>
      <c r="AE39" s="514"/>
      <c r="AF39" s="514"/>
      <c r="AG39" s="514">
        <f>ROUND((AG$15+AG$16)*CF!$E$15,0)</f>
        <v>-412</v>
      </c>
      <c r="AH39" s="516">
        <v>0</v>
      </c>
      <c r="AI39" s="516">
        <v>0</v>
      </c>
      <c r="AJ39" s="514">
        <v>0</v>
      </c>
      <c r="AK39" s="514"/>
      <c r="AL39" s="516">
        <v>0</v>
      </c>
      <c r="AM39" s="755">
        <f>SUM(Y39:AL39)</f>
        <v>6779</v>
      </c>
      <c r="AN39" s="710"/>
      <c r="AO39" s="516">
        <v>0</v>
      </c>
      <c r="AP39" s="756">
        <f>SUM(AM39:AO39)</f>
        <v>6779</v>
      </c>
      <c r="AQ39" s="825">
        <v>0</v>
      </c>
      <c r="AR39" s="825">
        <v>0</v>
      </c>
      <c r="AS39" s="822">
        <f>SUM(AP39:AR39)</f>
        <v>6779</v>
      </c>
      <c r="AT39" s="347"/>
      <c r="AU39" s="825">
        <v>0</v>
      </c>
      <c r="AV39" s="825">
        <v>0</v>
      </c>
      <c r="AW39" s="825">
        <v>0</v>
      </c>
      <c r="AX39" s="822">
        <f>SUM(AU39:AW39)</f>
        <v>0</v>
      </c>
    </row>
    <row r="40" spans="1:50">
      <c r="A40" s="159">
        <v>18</v>
      </c>
      <c r="B40" s="156" t="s">
        <v>50</v>
      </c>
      <c r="C40" s="754"/>
      <c r="D40" s="754"/>
      <c r="E40" s="167">
        <f>'ROO INPUT'!$F40</f>
        <v>7595</v>
      </c>
      <c r="F40" s="514">
        <v>0</v>
      </c>
      <c r="G40" s="514">
        <v>0</v>
      </c>
      <c r="H40" s="514">
        <v>0</v>
      </c>
      <c r="I40" s="514">
        <v>0</v>
      </c>
      <c r="J40" s="514">
        <v>0</v>
      </c>
      <c r="K40" s="514">
        <v>0</v>
      </c>
      <c r="L40" s="514">
        <v>0</v>
      </c>
      <c r="M40" s="514">
        <v>0</v>
      </c>
      <c r="N40" s="514">
        <v>0</v>
      </c>
      <c r="O40" s="514">
        <v>0</v>
      </c>
      <c r="P40" s="514">
        <v>0</v>
      </c>
      <c r="Q40" s="514">
        <v>0</v>
      </c>
      <c r="R40" s="514">
        <v>0</v>
      </c>
      <c r="S40" s="514">
        <v>-6632</v>
      </c>
      <c r="T40" s="514">
        <v>0</v>
      </c>
      <c r="U40" s="514">
        <v>0</v>
      </c>
      <c r="V40" s="514">
        <v>0</v>
      </c>
      <c r="W40" s="514">
        <v>0</v>
      </c>
      <c r="X40" s="514">
        <v>0</v>
      </c>
      <c r="Y40" s="757">
        <f>SUM(E40:X40)</f>
        <v>963</v>
      </c>
      <c r="Z40" s="514">
        <v>0</v>
      </c>
      <c r="AA40" s="514">
        <v>18</v>
      </c>
      <c r="AB40" s="514">
        <v>0</v>
      </c>
      <c r="AC40" s="514">
        <v>-4</v>
      </c>
      <c r="AD40" s="514">
        <v>0</v>
      </c>
      <c r="AE40" s="514">
        <v>0</v>
      </c>
      <c r="AF40" s="514">
        <v>0</v>
      </c>
      <c r="AG40" s="514">
        <v>0</v>
      </c>
      <c r="AH40" s="514">
        <v>0</v>
      </c>
      <c r="AI40" s="516">
        <v>0</v>
      </c>
      <c r="AJ40" s="514">
        <v>0</v>
      </c>
      <c r="AK40" s="514">
        <v>0</v>
      </c>
      <c r="AL40" s="514">
        <v>0</v>
      </c>
      <c r="AM40" s="755">
        <f>SUM(Y40:AL40)</f>
        <v>977</v>
      </c>
      <c r="AN40" s="710"/>
      <c r="AO40" s="516">
        <v>0</v>
      </c>
      <c r="AP40" s="756">
        <f>SUM(AM40:AO40)</f>
        <v>977</v>
      </c>
      <c r="AQ40" s="821">
        <v>0</v>
      </c>
      <c r="AR40" s="821">
        <v>0</v>
      </c>
      <c r="AS40" s="822">
        <f t="shared" ref="AS40:AS41" si="14">SUM(AP40:AR40)</f>
        <v>977</v>
      </c>
      <c r="AT40" s="347"/>
      <c r="AU40" s="821">
        <v>0</v>
      </c>
      <c r="AV40" s="821">
        <v>0</v>
      </c>
      <c r="AW40" s="821">
        <v>0</v>
      </c>
      <c r="AX40" s="822">
        <f>SUM(AU40:AW40)</f>
        <v>0</v>
      </c>
    </row>
    <row r="41" spans="1:50">
      <c r="A41" s="159">
        <v>19</v>
      </c>
      <c r="B41" s="156" t="s">
        <v>51</v>
      </c>
      <c r="C41" s="754"/>
      <c r="D41" s="754"/>
      <c r="E41" s="167">
        <f>'ROO INPUT'!$F41</f>
        <v>0</v>
      </c>
      <c r="F41" s="514">
        <v>0</v>
      </c>
      <c r="G41" s="514">
        <v>0</v>
      </c>
      <c r="H41" s="514">
        <v>0</v>
      </c>
      <c r="I41" s="514">
        <v>0</v>
      </c>
      <c r="J41" s="514">
        <v>0</v>
      </c>
      <c r="K41" s="514">
        <v>0</v>
      </c>
      <c r="L41" s="514">
        <v>0</v>
      </c>
      <c r="M41" s="514">
        <v>0</v>
      </c>
      <c r="N41" s="514">
        <v>0</v>
      </c>
      <c r="O41" s="514">
        <v>0</v>
      </c>
      <c r="P41" s="514">
        <v>0</v>
      </c>
      <c r="Q41" s="514">
        <v>0</v>
      </c>
      <c r="R41" s="514">
        <v>0</v>
      </c>
      <c r="S41" s="514">
        <v>0</v>
      </c>
      <c r="T41" s="514">
        <v>0</v>
      </c>
      <c r="U41" s="514">
        <v>0</v>
      </c>
      <c r="V41" s="514">
        <v>0</v>
      </c>
      <c r="W41" s="514">
        <v>0</v>
      </c>
      <c r="X41" s="514">
        <v>0</v>
      </c>
      <c r="Y41" s="757">
        <f>SUM(E41:X41)</f>
        <v>0</v>
      </c>
      <c r="Z41" s="514">
        <v>0</v>
      </c>
      <c r="AA41" s="514">
        <v>0</v>
      </c>
      <c r="AB41" s="514">
        <v>0</v>
      </c>
      <c r="AC41" s="514">
        <v>0</v>
      </c>
      <c r="AD41" s="514">
        <v>0</v>
      </c>
      <c r="AE41" s="514">
        <v>0</v>
      </c>
      <c r="AF41" s="514">
        <v>0</v>
      </c>
      <c r="AG41" s="514">
        <v>0</v>
      </c>
      <c r="AH41" s="514">
        <v>0</v>
      </c>
      <c r="AI41" s="516">
        <v>0</v>
      </c>
      <c r="AJ41" s="514">
        <v>0</v>
      </c>
      <c r="AK41" s="514">
        <v>0</v>
      </c>
      <c r="AL41" s="514">
        <v>0</v>
      </c>
      <c r="AM41" s="755">
        <f>SUM(Y41:AL41)</f>
        <v>0</v>
      </c>
      <c r="AN41" s="710"/>
      <c r="AO41" s="516">
        <v>0</v>
      </c>
      <c r="AP41" s="756">
        <f>SUM(AM41:AO41)</f>
        <v>0</v>
      </c>
      <c r="AQ41" s="821">
        <v>0</v>
      </c>
      <c r="AR41" s="821">
        <v>0</v>
      </c>
      <c r="AS41" s="822">
        <f t="shared" si="14"/>
        <v>0</v>
      </c>
      <c r="AT41" s="347"/>
      <c r="AU41" s="821">
        <v>0</v>
      </c>
      <c r="AV41" s="821">
        <v>0</v>
      </c>
      <c r="AW41" s="821">
        <v>0</v>
      </c>
      <c r="AX41" s="822">
        <f>SUM(AU41:AW41)</f>
        <v>0</v>
      </c>
    </row>
    <row r="42" spans="1:50">
      <c r="A42" s="159"/>
      <c r="B42" s="156"/>
      <c r="C42" s="754"/>
      <c r="D42" s="754"/>
      <c r="E42" s="167"/>
      <c r="F42" s="514"/>
      <c r="G42" s="514"/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S42" s="514"/>
      <c r="T42" s="514"/>
      <c r="U42" s="514"/>
      <c r="V42" s="514"/>
      <c r="W42" s="514"/>
      <c r="X42" s="514"/>
      <c r="Y42" s="757"/>
      <c r="Z42" s="514"/>
      <c r="AA42" s="514"/>
      <c r="AB42" s="514"/>
      <c r="AC42" s="514"/>
      <c r="AD42" s="514"/>
      <c r="AE42" s="514"/>
      <c r="AF42" s="514"/>
      <c r="AG42" s="514"/>
      <c r="AH42" s="514"/>
      <c r="AI42" s="516"/>
      <c r="AJ42" s="514"/>
      <c r="AK42" s="514"/>
      <c r="AL42" s="514"/>
      <c r="AM42" s="755"/>
      <c r="AN42" s="710"/>
      <c r="AO42" s="516"/>
      <c r="AP42" s="756"/>
      <c r="AQ42" s="821"/>
      <c r="AR42" s="821"/>
      <c r="AS42" s="822"/>
      <c r="AT42" s="347"/>
      <c r="AU42" s="821"/>
      <c r="AV42" s="821"/>
      <c r="AW42" s="821"/>
      <c r="AX42" s="822"/>
    </row>
    <row r="43" spans="1:50">
      <c r="A43" s="159"/>
      <c r="B43" s="156" t="s">
        <v>52</v>
      </c>
      <c r="C43" s="754"/>
      <c r="D43" s="754"/>
      <c r="E43" s="167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4"/>
      <c r="W43" s="514"/>
      <c r="X43" s="514"/>
      <c r="Y43" s="757"/>
      <c r="Z43" s="514"/>
      <c r="AA43" s="514"/>
      <c r="AB43" s="514"/>
      <c r="AC43" s="514"/>
      <c r="AD43" s="514"/>
      <c r="AE43" s="514"/>
      <c r="AF43" s="514"/>
      <c r="AG43" s="514"/>
      <c r="AH43" s="514"/>
      <c r="AI43" s="516"/>
      <c r="AJ43" s="514"/>
      <c r="AK43" s="514"/>
      <c r="AL43" s="514"/>
      <c r="AM43" s="755"/>
      <c r="AN43" s="710"/>
      <c r="AO43" s="516"/>
      <c r="AP43" s="756"/>
      <c r="AQ43" s="821"/>
      <c r="AR43" s="821"/>
      <c r="AS43" s="822"/>
      <c r="AT43" s="347"/>
      <c r="AU43" s="821"/>
      <c r="AV43" s="821"/>
      <c r="AW43" s="821"/>
      <c r="AX43" s="822"/>
    </row>
    <row r="44" spans="1:50">
      <c r="A44" s="159">
        <v>20</v>
      </c>
      <c r="B44" s="156"/>
      <c r="C44" s="754" t="s">
        <v>44</v>
      </c>
      <c r="D44" s="754"/>
      <c r="E44" s="167">
        <f>'ROO INPUT'!$F44</f>
        <v>13763</v>
      </c>
      <c r="F44" s="514">
        <v>0</v>
      </c>
      <c r="G44" s="514">
        <v>0</v>
      </c>
      <c r="H44" s="514">
        <v>0</v>
      </c>
      <c r="I44" s="514">
        <v>0</v>
      </c>
      <c r="J44" s="514">
        <v>0</v>
      </c>
      <c r="K44" s="514">
        <v>0</v>
      </c>
      <c r="L44" s="514">
        <v>-3</v>
      </c>
      <c r="M44" s="514">
        <v>76</v>
      </c>
      <c r="N44" s="514">
        <v>0</v>
      </c>
      <c r="O44" s="514">
        <v>-9</v>
      </c>
      <c r="P44" s="514">
        <v>0</v>
      </c>
      <c r="Q44" s="514">
        <v>0</v>
      </c>
      <c r="R44" s="514">
        <f>ROUND((R$15+R$16)*CF!$E$17,0)</f>
        <v>22</v>
      </c>
      <c r="S44" s="514">
        <f>ROUND((S$15+S$16)*CF!$E$17,0)</f>
        <v>-2</v>
      </c>
      <c r="T44" s="514">
        <v>-316</v>
      </c>
      <c r="U44" s="514">
        <v>0</v>
      </c>
      <c r="V44" s="514">
        <v>-167</v>
      </c>
      <c r="W44" s="514">
        <v>0</v>
      </c>
      <c r="X44" s="514">
        <v>0</v>
      </c>
      <c r="Y44" s="757">
        <f>SUM(E44:X44)</f>
        <v>13364</v>
      </c>
      <c r="Z44" s="514">
        <v>0</v>
      </c>
      <c r="AA44" s="514">
        <v>251</v>
      </c>
      <c r="AB44" s="712">
        <v>-10</v>
      </c>
      <c r="AC44" s="514">
        <v>-49</v>
      </c>
      <c r="AD44" s="514">
        <v>0</v>
      </c>
      <c r="AE44" s="514">
        <v>0</v>
      </c>
      <c r="AF44" s="712">
        <v>201</v>
      </c>
      <c r="AG44" s="514">
        <f>ROUND((AG$15+AG$16)*CF!$E$17,0)</f>
        <v>-133</v>
      </c>
      <c r="AH44" s="514">
        <v>0</v>
      </c>
      <c r="AI44" s="516">
        <v>0</v>
      </c>
      <c r="AJ44" s="514">
        <v>0</v>
      </c>
      <c r="AK44" s="712">
        <v>0</v>
      </c>
      <c r="AL44" s="514">
        <v>0</v>
      </c>
      <c r="AM44" s="755">
        <f>SUM(Y44:AL44)</f>
        <v>13624</v>
      </c>
      <c r="AN44" s="710"/>
      <c r="AO44" s="516">
        <v>0</v>
      </c>
      <c r="AP44" s="756">
        <f>SUM(AM44:AO44)</f>
        <v>13624</v>
      </c>
      <c r="AQ44" s="821">
        <v>0</v>
      </c>
      <c r="AR44" s="821">
        <v>0</v>
      </c>
      <c r="AS44" s="822">
        <f>SUM(AP44:AR44)</f>
        <v>13624</v>
      </c>
      <c r="AT44" s="347"/>
      <c r="AU44" s="821">
        <v>0</v>
      </c>
      <c r="AV44" s="821">
        <v>0</v>
      </c>
      <c r="AW44" s="821">
        <v>0</v>
      </c>
      <c r="AX44" s="822">
        <f>SUM(AU44:AW44)</f>
        <v>0</v>
      </c>
    </row>
    <row r="45" spans="1:50">
      <c r="A45" s="159">
        <v>21</v>
      </c>
      <c r="B45" s="156"/>
      <c r="C45" s="754" t="s">
        <v>214</v>
      </c>
      <c r="D45" s="754"/>
      <c r="E45" s="167">
        <f>'ROO INPUT'!$F45</f>
        <v>6260</v>
      </c>
      <c r="F45" s="514">
        <v>0</v>
      </c>
      <c r="G45" s="514">
        <v>0</v>
      </c>
      <c r="H45" s="514">
        <v>0</v>
      </c>
      <c r="I45" s="514">
        <v>0</v>
      </c>
      <c r="J45" s="514">
        <v>0</v>
      </c>
      <c r="K45" s="514">
        <v>0</v>
      </c>
      <c r="L45" s="514">
        <v>0</v>
      </c>
      <c r="M45" s="514">
        <v>0</v>
      </c>
      <c r="N45" s="514">
        <v>0</v>
      </c>
      <c r="O45" s="514">
        <v>0</v>
      </c>
      <c r="P45" s="514">
        <v>0</v>
      </c>
      <c r="Q45" s="514">
        <v>0</v>
      </c>
      <c r="R45" s="514"/>
      <c r="S45" s="514"/>
      <c r="T45" s="514">
        <v>0</v>
      </c>
      <c r="U45" s="514">
        <v>0</v>
      </c>
      <c r="V45" s="514">
        <v>0</v>
      </c>
      <c r="W45" s="514">
        <v>0</v>
      </c>
      <c r="X45" s="514">
        <v>0</v>
      </c>
      <c r="Y45" s="757">
        <f>SUM(E45:X45)</f>
        <v>6260</v>
      </c>
      <c r="Z45" s="514">
        <v>0</v>
      </c>
      <c r="AA45" s="514">
        <v>0</v>
      </c>
      <c r="AB45" s="514">
        <v>0</v>
      </c>
      <c r="AC45" s="514">
        <v>0</v>
      </c>
      <c r="AD45" s="514">
        <v>0</v>
      </c>
      <c r="AE45" s="514">
        <v>0</v>
      </c>
      <c r="AF45" s="514">
        <v>0</v>
      </c>
      <c r="AG45" s="514">
        <v>0</v>
      </c>
      <c r="AH45" s="514">
        <v>0</v>
      </c>
      <c r="AI45" s="516">
        <v>280</v>
      </c>
      <c r="AJ45" s="514">
        <v>0</v>
      </c>
      <c r="AK45" s="514">
        <v>0</v>
      </c>
      <c r="AL45" s="514">
        <v>0</v>
      </c>
      <c r="AM45" s="755">
        <f>SUM(Y45:AL45)</f>
        <v>6540</v>
      </c>
      <c r="AN45" s="710"/>
      <c r="AO45" s="516">
        <v>0</v>
      </c>
      <c r="AP45" s="756">
        <f>SUM(AM45:AO45)</f>
        <v>6540</v>
      </c>
      <c r="AQ45" s="821">
        <v>0</v>
      </c>
      <c r="AR45" s="821">
        <v>0</v>
      </c>
      <c r="AS45" s="822">
        <f t="shared" ref="AS45:AS47" si="15">SUM(AP45:AR45)</f>
        <v>6540</v>
      </c>
      <c r="AT45" s="347"/>
      <c r="AU45" s="821">
        <v>0</v>
      </c>
      <c r="AV45" s="821">
        <v>0</v>
      </c>
      <c r="AW45" s="821">
        <v>0</v>
      </c>
      <c r="AX45" s="822">
        <f>SUM(AU45:AW45)</f>
        <v>0</v>
      </c>
    </row>
    <row r="46" spans="1:50">
      <c r="A46" s="159">
        <v>22</v>
      </c>
      <c r="B46" s="156"/>
      <c r="C46" s="763" t="s">
        <v>428</v>
      </c>
      <c r="D46" s="754"/>
      <c r="E46" s="167">
        <f>'ROO INPUT'!$F46</f>
        <v>0</v>
      </c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>
        <v>0</v>
      </c>
      <c r="S46" s="514">
        <v>0</v>
      </c>
      <c r="T46" s="514">
        <v>0</v>
      </c>
      <c r="U46" s="514">
        <v>1079</v>
      </c>
      <c r="V46" s="514">
        <v>0</v>
      </c>
      <c r="W46" s="514">
        <v>0</v>
      </c>
      <c r="X46" s="514">
        <v>0</v>
      </c>
      <c r="Y46" s="757">
        <f>SUM(E46:X46)</f>
        <v>1079</v>
      </c>
      <c r="Z46" s="514"/>
      <c r="AA46" s="514"/>
      <c r="AB46" s="514"/>
      <c r="AC46" s="514"/>
      <c r="AD46" s="514">
        <v>0</v>
      </c>
      <c r="AE46" s="514"/>
      <c r="AF46" s="514"/>
      <c r="AG46" s="514">
        <v>0</v>
      </c>
      <c r="AH46" s="514">
        <v>-1079</v>
      </c>
      <c r="AI46" s="516"/>
      <c r="AJ46" s="514"/>
      <c r="AK46" s="514"/>
      <c r="AL46" s="514">
        <v>584</v>
      </c>
      <c r="AM46" s="755">
        <f>SUM(Y46:AL46)</f>
        <v>584</v>
      </c>
      <c r="AN46" s="710"/>
      <c r="AO46" s="516"/>
      <c r="AP46" s="756">
        <f>SUM(AM46:AO46)</f>
        <v>584</v>
      </c>
      <c r="AQ46" s="821">
        <v>0</v>
      </c>
      <c r="AR46" s="821">
        <v>0</v>
      </c>
      <c r="AS46" s="822">
        <f t="shared" si="15"/>
        <v>584</v>
      </c>
      <c r="AT46" s="347"/>
      <c r="AU46" s="821">
        <v>0</v>
      </c>
      <c r="AV46" s="821">
        <v>0</v>
      </c>
      <c r="AW46" s="821">
        <v>0</v>
      </c>
      <c r="AX46" s="822">
        <f>SUM(AU46:AW46)</f>
        <v>0</v>
      </c>
    </row>
    <row r="47" spans="1:50" ht="12.6" thickBot="1">
      <c r="A47" s="159">
        <v>23</v>
      </c>
      <c r="B47" s="156"/>
      <c r="C47" s="754" t="s">
        <v>21</v>
      </c>
      <c r="D47" s="754"/>
      <c r="E47" s="713">
        <f>'ROO INPUT'!$F47</f>
        <v>0</v>
      </c>
      <c r="F47" s="515">
        <v>0</v>
      </c>
      <c r="G47" s="515">
        <v>0</v>
      </c>
      <c r="H47" s="515">
        <v>0</v>
      </c>
      <c r="I47" s="515">
        <v>0</v>
      </c>
      <c r="J47" s="515">
        <v>0</v>
      </c>
      <c r="K47" s="515">
        <v>0</v>
      </c>
      <c r="L47" s="515">
        <v>0</v>
      </c>
      <c r="M47" s="515">
        <v>0</v>
      </c>
      <c r="N47" s="515">
        <v>0</v>
      </c>
      <c r="O47" s="515">
        <v>0</v>
      </c>
      <c r="P47" s="515">
        <v>0</v>
      </c>
      <c r="Q47" s="515">
        <v>0</v>
      </c>
      <c r="R47" s="515">
        <v>0</v>
      </c>
      <c r="S47" s="515">
        <v>0</v>
      </c>
      <c r="T47" s="515">
        <v>0</v>
      </c>
      <c r="U47" s="515">
        <v>0</v>
      </c>
      <c r="V47" s="515">
        <v>0</v>
      </c>
      <c r="W47" s="515">
        <v>0</v>
      </c>
      <c r="X47" s="515">
        <v>0</v>
      </c>
      <c r="Y47" s="762">
        <f>SUM(E47:X47)</f>
        <v>0</v>
      </c>
      <c r="Z47" s="515">
        <v>0</v>
      </c>
      <c r="AA47" s="515">
        <v>0</v>
      </c>
      <c r="AB47" s="515">
        <v>0</v>
      </c>
      <c r="AC47" s="515">
        <v>0</v>
      </c>
      <c r="AD47" s="515">
        <v>0</v>
      </c>
      <c r="AE47" s="515">
        <v>0</v>
      </c>
      <c r="AF47" s="515">
        <v>0</v>
      </c>
      <c r="AG47" s="515">
        <v>0</v>
      </c>
      <c r="AH47" s="515">
        <v>0</v>
      </c>
      <c r="AI47" s="515">
        <v>0</v>
      </c>
      <c r="AJ47" s="515">
        <v>0</v>
      </c>
      <c r="AK47" s="515">
        <v>0</v>
      </c>
      <c r="AL47" s="515">
        <v>0</v>
      </c>
      <c r="AM47" s="759">
        <f>SUM(Y47:AL47)</f>
        <v>0</v>
      </c>
      <c r="AN47" s="710"/>
      <c r="AO47" s="515">
        <v>0</v>
      </c>
      <c r="AP47" s="760">
        <f>SUM(AM47:AO47)</f>
        <v>0</v>
      </c>
      <c r="AQ47" s="823">
        <v>0</v>
      </c>
      <c r="AR47" s="823">
        <v>0</v>
      </c>
      <c r="AS47" s="824">
        <f t="shared" si="15"/>
        <v>0</v>
      </c>
      <c r="AT47" s="347"/>
      <c r="AU47" s="823">
        <v>0</v>
      </c>
      <c r="AV47" s="823">
        <v>0</v>
      </c>
      <c r="AW47" s="823">
        <v>0</v>
      </c>
      <c r="AX47" s="824">
        <f>SUM(AU47:AW47)</f>
        <v>0</v>
      </c>
    </row>
    <row r="48" spans="1:50">
      <c r="A48" s="159">
        <v>24</v>
      </c>
      <c r="B48" s="754" t="s">
        <v>53</v>
      </c>
      <c r="C48" s="754"/>
      <c r="D48" s="156"/>
      <c r="E48" s="713">
        <f t="shared" ref="E48:AM48" si="16">SUM(E44:E47)</f>
        <v>20023</v>
      </c>
      <c r="F48" s="713">
        <f t="shared" si="16"/>
        <v>0</v>
      </c>
      <c r="G48" s="713">
        <f t="shared" si="16"/>
        <v>0</v>
      </c>
      <c r="H48" s="713">
        <f t="shared" si="16"/>
        <v>0</v>
      </c>
      <c r="I48" s="713">
        <f t="shared" si="16"/>
        <v>0</v>
      </c>
      <c r="J48" s="713">
        <f t="shared" si="16"/>
        <v>0</v>
      </c>
      <c r="K48" s="713">
        <f t="shared" si="16"/>
        <v>0</v>
      </c>
      <c r="L48" s="713">
        <f t="shared" si="16"/>
        <v>-3</v>
      </c>
      <c r="M48" s="713">
        <f t="shared" si="16"/>
        <v>76</v>
      </c>
      <c r="N48" s="713">
        <f t="shared" si="16"/>
        <v>0</v>
      </c>
      <c r="O48" s="713">
        <f t="shared" si="16"/>
        <v>-9</v>
      </c>
      <c r="P48" s="713">
        <f t="shared" si="16"/>
        <v>0</v>
      </c>
      <c r="Q48" s="713">
        <f t="shared" si="16"/>
        <v>0</v>
      </c>
      <c r="R48" s="713">
        <f t="shared" si="16"/>
        <v>22</v>
      </c>
      <c r="S48" s="713">
        <f t="shared" si="16"/>
        <v>-2</v>
      </c>
      <c r="T48" s="713">
        <f t="shared" si="16"/>
        <v>-316</v>
      </c>
      <c r="U48" s="713">
        <f t="shared" si="16"/>
        <v>1079</v>
      </c>
      <c r="V48" s="713">
        <f t="shared" si="16"/>
        <v>-167</v>
      </c>
      <c r="W48" s="713">
        <f t="shared" si="16"/>
        <v>0</v>
      </c>
      <c r="X48" s="713">
        <f t="shared" si="16"/>
        <v>0</v>
      </c>
      <c r="Y48" s="761">
        <f t="shared" si="16"/>
        <v>20703</v>
      </c>
      <c r="Z48" s="713">
        <f t="shared" si="16"/>
        <v>0</v>
      </c>
      <c r="AA48" s="713">
        <f t="shared" si="16"/>
        <v>251</v>
      </c>
      <c r="AB48" s="713">
        <f t="shared" si="16"/>
        <v>-10</v>
      </c>
      <c r="AC48" s="713">
        <f t="shared" si="16"/>
        <v>-49</v>
      </c>
      <c r="AD48" s="713">
        <f t="shared" si="16"/>
        <v>0</v>
      </c>
      <c r="AE48" s="713">
        <f t="shared" si="16"/>
        <v>0</v>
      </c>
      <c r="AF48" s="713">
        <f t="shared" si="16"/>
        <v>201</v>
      </c>
      <c r="AG48" s="713">
        <f t="shared" si="16"/>
        <v>-133</v>
      </c>
      <c r="AH48" s="713">
        <f t="shared" si="16"/>
        <v>-1079</v>
      </c>
      <c r="AI48" s="713">
        <f t="shared" si="16"/>
        <v>280</v>
      </c>
      <c r="AJ48" s="713">
        <f t="shared" si="16"/>
        <v>0</v>
      </c>
      <c r="AK48" s="713">
        <f t="shared" si="16"/>
        <v>0</v>
      </c>
      <c r="AL48" s="713">
        <f t="shared" si="16"/>
        <v>584</v>
      </c>
      <c r="AM48" s="759">
        <f t="shared" si="16"/>
        <v>20748</v>
      </c>
      <c r="AN48" s="710"/>
      <c r="AO48" s="713">
        <f>SUM(AO44:AO47)</f>
        <v>0</v>
      </c>
      <c r="AP48" s="760">
        <f>SUM(AP44:AP47)</f>
        <v>20748</v>
      </c>
      <c r="AQ48" s="252">
        <f t="shared" ref="AQ48:AX48" si="17">SUM(AQ44:AQ47)</f>
        <v>0</v>
      </c>
      <c r="AR48" s="252">
        <f t="shared" si="17"/>
        <v>0</v>
      </c>
      <c r="AS48" s="824">
        <f t="shared" si="17"/>
        <v>20748</v>
      </c>
      <c r="AT48" s="347"/>
      <c r="AU48" s="252">
        <f t="shared" si="17"/>
        <v>0</v>
      </c>
      <c r="AV48" s="252">
        <f t="shared" si="17"/>
        <v>0</v>
      </c>
      <c r="AW48" s="252">
        <f t="shared" si="17"/>
        <v>0</v>
      </c>
      <c r="AX48" s="824">
        <f t="shared" si="17"/>
        <v>0</v>
      </c>
    </row>
    <row r="49" spans="1:52" ht="19.5" customHeight="1">
      <c r="A49" s="159">
        <v>25</v>
      </c>
      <c r="B49" s="156" t="s">
        <v>54</v>
      </c>
      <c r="C49" s="754"/>
      <c r="D49" s="754"/>
      <c r="E49" s="713">
        <f t="shared" ref="E49:AM49" si="18">E21+E25+E31+E37+E39+E40+E41+E48</f>
        <v>187893</v>
      </c>
      <c r="F49" s="713">
        <f t="shared" si="18"/>
        <v>0</v>
      </c>
      <c r="G49" s="713">
        <f t="shared" si="18"/>
        <v>2</v>
      </c>
      <c r="H49" s="713">
        <f t="shared" si="18"/>
        <v>0</v>
      </c>
      <c r="I49" s="713">
        <f t="shared" si="18"/>
        <v>-5183</v>
      </c>
      <c r="J49" s="713">
        <f t="shared" si="18"/>
        <v>259</v>
      </c>
      <c r="K49" s="713">
        <f t="shared" si="18"/>
        <v>-386</v>
      </c>
      <c r="L49" s="713">
        <f t="shared" si="18"/>
        <v>-3</v>
      </c>
      <c r="M49" s="713">
        <f t="shared" si="18"/>
        <v>76</v>
      </c>
      <c r="N49" s="713">
        <f t="shared" si="18"/>
        <v>0</v>
      </c>
      <c r="O49" s="713">
        <f t="shared" si="18"/>
        <v>-9</v>
      </c>
      <c r="P49" s="713">
        <f t="shared" si="18"/>
        <v>2</v>
      </c>
      <c r="Q49" s="713">
        <f t="shared" si="18"/>
        <v>-13</v>
      </c>
      <c r="R49" s="713">
        <f t="shared" si="18"/>
        <v>5800</v>
      </c>
      <c r="S49" s="713">
        <f t="shared" si="18"/>
        <v>-64040</v>
      </c>
      <c r="T49" s="713">
        <f t="shared" si="18"/>
        <v>-315</v>
      </c>
      <c r="U49" s="713">
        <f t="shared" si="18"/>
        <v>1079</v>
      </c>
      <c r="V49" s="713">
        <f t="shared" si="18"/>
        <v>-167</v>
      </c>
      <c r="W49" s="713">
        <f t="shared" si="18"/>
        <v>0</v>
      </c>
      <c r="X49" s="713">
        <f t="shared" si="18"/>
        <v>0</v>
      </c>
      <c r="Y49" s="761">
        <f t="shared" si="18"/>
        <v>124995</v>
      </c>
      <c r="Z49" s="713">
        <f t="shared" si="18"/>
        <v>348</v>
      </c>
      <c r="AA49" s="713">
        <f t="shared" si="18"/>
        <v>874</v>
      </c>
      <c r="AB49" s="713">
        <f t="shared" si="18"/>
        <v>-10</v>
      </c>
      <c r="AC49" s="713">
        <f t="shared" si="18"/>
        <v>-176</v>
      </c>
      <c r="AD49" s="713">
        <f t="shared" si="18"/>
        <v>0</v>
      </c>
      <c r="AE49" s="713">
        <f t="shared" si="18"/>
        <v>429</v>
      </c>
      <c r="AF49" s="713">
        <f t="shared" si="18"/>
        <v>201</v>
      </c>
      <c r="AG49" s="713">
        <f t="shared" si="18"/>
        <v>-66555</v>
      </c>
      <c r="AH49" s="713">
        <f t="shared" si="18"/>
        <v>-1079</v>
      </c>
      <c r="AI49" s="713">
        <f t="shared" si="18"/>
        <v>490</v>
      </c>
      <c r="AJ49" s="713">
        <f t="shared" si="18"/>
        <v>0</v>
      </c>
      <c r="AK49" s="713">
        <f t="shared" si="18"/>
        <v>0</v>
      </c>
      <c r="AL49" s="713">
        <f t="shared" si="18"/>
        <v>584</v>
      </c>
      <c r="AM49" s="759">
        <f t="shared" si="18"/>
        <v>60101</v>
      </c>
      <c r="AN49" s="710"/>
      <c r="AO49" s="713">
        <f>AO21+AO25+AO31+AO37+AO39+AO40+AO41+AO48</f>
        <v>0</v>
      </c>
      <c r="AP49" s="760">
        <f>AP25+AP31+AP37+AP39+AP40+AP41+AP48</f>
        <v>60101</v>
      </c>
      <c r="AQ49" s="252">
        <f t="shared" ref="AQ49:AX49" si="19">AQ21+AQ25+AQ31+AQ37+AQ39+AQ40+AQ41+AQ48</f>
        <v>0</v>
      </c>
      <c r="AR49" s="252">
        <f t="shared" si="19"/>
        <v>0</v>
      </c>
      <c r="AS49" s="824">
        <f t="shared" si="19"/>
        <v>60101</v>
      </c>
      <c r="AT49" s="347"/>
      <c r="AU49" s="252">
        <f t="shared" si="19"/>
        <v>0</v>
      </c>
      <c r="AV49" s="252">
        <f t="shared" si="19"/>
        <v>0</v>
      </c>
      <c r="AW49" s="252">
        <f t="shared" si="19"/>
        <v>0</v>
      </c>
      <c r="AX49" s="824">
        <f t="shared" si="19"/>
        <v>0</v>
      </c>
    </row>
    <row r="50" spans="1:52" ht="9" customHeight="1">
      <c r="A50" s="159"/>
      <c r="B50" s="156"/>
      <c r="C50" s="754"/>
      <c r="D50" s="754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757"/>
      <c r="Z50" s="167"/>
      <c r="AA50" s="167"/>
      <c r="AB50" s="167"/>
      <c r="AC50" s="167"/>
      <c r="AD50" s="167"/>
      <c r="AE50" s="167"/>
      <c r="AF50" s="167"/>
      <c r="AG50" s="167"/>
      <c r="AH50" s="167"/>
      <c r="AI50" s="711"/>
      <c r="AJ50" s="167"/>
      <c r="AK50" s="167"/>
      <c r="AL50" s="167"/>
      <c r="AM50" s="755"/>
      <c r="AN50" s="710"/>
      <c r="AO50" s="711"/>
      <c r="AP50" s="756"/>
      <c r="AQ50" s="297"/>
      <c r="AR50" s="297"/>
      <c r="AS50" s="822"/>
      <c r="AT50" s="347"/>
      <c r="AU50" s="297"/>
      <c r="AV50" s="297"/>
      <c r="AW50" s="297"/>
      <c r="AX50" s="822"/>
    </row>
    <row r="51" spans="1:52" ht="13.05" customHeight="1">
      <c r="A51" s="159">
        <v>26</v>
      </c>
      <c r="B51" s="156" t="s">
        <v>55</v>
      </c>
      <c r="C51" s="754"/>
      <c r="D51" s="754"/>
      <c r="E51" s="167">
        <f t="shared" ref="E51:X51" si="20">E18-E49</f>
        <v>32523</v>
      </c>
      <c r="F51" s="167">
        <f t="shared" si="20"/>
        <v>0</v>
      </c>
      <c r="G51" s="167">
        <f t="shared" si="20"/>
        <v>-2</v>
      </c>
      <c r="H51" s="167">
        <f t="shared" si="20"/>
        <v>0</v>
      </c>
      <c r="I51" s="167">
        <f t="shared" si="20"/>
        <v>-32</v>
      </c>
      <c r="J51" s="167">
        <f t="shared" si="20"/>
        <v>-259</v>
      </c>
      <c r="K51" s="167">
        <f t="shared" si="20"/>
        <v>386</v>
      </c>
      <c r="L51" s="167">
        <f t="shared" si="20"/>
        <v>3</v>
      </c>
      <c r="M51" s="167">
        <f t="shared" si="20"/>
        <v>-76</v>
      </c>
      <c r="N51" s="167">
        <f t="shared" si="20"/>
        <v>0</v>
      </c>
      <c r="O51" s="167">
        <f t="shared" si="20"/>
        <v>9</v>
      </c>
      <c r="P51" s="167">
        <f t="shared" si="20"/>
        <v>-2</v>
      </c>
      <c r="Q51" s="167">
        <f t="shared" si="20"/>
        <v>13</v>
      </c>
      <c r="R51" s="167">
        <f t="shared" si="20"/>
        <v>-18</v>
      </c>
      <c r="S51" s="167">
        <f t="shared" si="20"/>
        <v>-476</v>
      </c>
      <c r="T51" s="167">
        <f t="shared" si="20"/>
        <v>315</v>
      </c>
      <c r="U51" s="167">
        <f t="shared" si="20"/>
        <v>-1079</v>
      </c>
      <c r="V51" s="167">
        <f t="shared" si="20"/>
        <v>167</v>
      </c>
      <c r="W51" s="167">
        <f t="shared" si="20"/>
        <v>0</v>
      </c>
      <c r="X51" s="167">
        <f t="shared" si="20"/>
        <v>0</v>
      </c>
      <c r="Y51" s="757">
        <f>SUM(E51:X51)</f>
        <v>31472</v>
      </c>
      <c r="Z51" s="167">
        <f t="shared" ref="Z51:AM51" si="21">Z18-Z49</f>
        <v>-348</v>
      </c>
      <c r="AA51" s="167">
        <f t="shared" si="21"/>
        <v>-874</v>
      </c>
      <c r="AB51" s="167">
        <f t="shared" si="21"/>
        <v>10</v>
      </c>
      <c r="AC51" s="167">
        <f t="shared" si="21"/>
        <v>176</v>
      </c>
      <c r="AD51" s="167">
        <f t="shared" si="21"/>
        <v>0</v>
      </c>
      <c r="AE51" s="167">
        <f t="shared" si="21"/>
        <v>-429</v>
      </c>
      <c r="AF51" s="167">
        <f t="shared" si="21"/>
        <v>-201</v>
      </c>
      <c r="AG51" s="167">
        <f t="shared" si="21"/>
        <v>-836</v>
      </c>
      <c r="AH51" s="167">
        <f t="shared" si="21"/>
        <v>1079</v>
      </c>
      <c r="AI51" s="711">
        <f t="shared" si="21"/>
        <v>-490</v>
      </c>
      <c r="AJ51" s="167">
        <f t="shared" si="21"/>
        <v>0</v>
      </c>
      <c r="AK51" s="167">
        <f t="shared" si="21"/>
        <v>0</v>
      </c>
      <c r="AL51" s="167">
        <f t="shared" si="21"/>
        <v>-584</v>
      </c>
      <c r="AM51" s="755">
        <f t="shared" si="21"/>
        <v>28975</v>
      </c>
      <c r="AN51" s="710"/>
      <c r="AO51" s="711">
        <f>AO18-AO49</f>
        <v>0</v>
      </c>
      <c r="AP51" s="756">
        <f>AP18-AP49</f>
        <v>28975</v>
      </c>
      <c r="AQ51" s="297">
        <f t="shared" ref="AQ51:AX51" si="22">AQ18-AQ49</f>
        <v>0</v>
      </c>
      <c r="AR51" s="297">
        <f t="shared" si="22"/>
        <v>0</v>
      </c>
      <c r="AS51" s="822">
        <f t="shared" si="22"/>
        <v>28975</v>
      </c>
      <c r="AT51" s="347"/>
      <c r="AU51" s="297">
        <f t="shared" si="22"/>
        <v>0</v>
      </c>
      <c r="AV51" s="297">
        <f t="shared" si="22"/>
        <v>0</v>
      </c>
      <c r="AW51" s="297">
        <f t="shared" si="22"/>
        <v>0</v>
      </c>
      <c r="AX51" s="822">
        <f t="shared" si="22"/>
        <v>0</v>
      </c>
    </row>
    <row r="52" spans="1:52" ht="13.05" customHeight="1">
      <c r="A52" s="159"/>
      <c r="B52" s="156"/>
      <c r="C52" s="754"/>
      <c r="D52" s="754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757"/>
      <c r="Z52" s="167"/>
      <c r="AA52" s="167"/>
      <c r="AB52" s="167"/>
      <c r="AC52" s="167"/>
      <c r="AD52" s="167"/>
      <c r="AE52" s="167"/>
      <c r="AF52" s="167"/>
      <c r="AG52" s="167"/>
      <c r="AH52" s="167"/>
      <c r="AI52" s="711"/>
      <c r="AJ52" s="167"/>
      <c r="AK52" s="167"/>
      <c r="AL52" s="167"/>
      <c r="AM52" s="755"/>
      <c r="AN52" s="710"/>
      <c r="AO52" s="711"/>
      <c r="AP52" s="756"/>
      <c r="AQ52" s="297"/>
      <c r="AR52" s="297"/>
      <c r="AS52" s="822"/>
      <c r="AT52" s="347"/>
      <c r="AU52" s="297"/>
      <c r="AV52" s="297"/>
      <c r="AW52" s="297"/>
      <c r="AX52" s="822"/>
    </row>
    <row r="53" spans="1:52" ht="13.05" customHeight="1">
      <c r="A53" s="159"/>
      <c r="B53" s="156" t="s">
        <v>56</v>
      </c>
      <c r="C53" s="754"/>
      <c r="D53" s="754"/>
      <c r="E53" s="167"/>
      <c r="F53" s="514"/>
      <c r="G53" s="514"/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14"/>
      <c r="Y53" s="757"/>
      <c r="Z53" s="514"/>
      <c r="AA53" s="514"/>
      <c r="AB53" s="514"/>
      <c r="AC53" s="514"/>
      <c r="AD53" s="514"/>
      <c r="AE53" s="514"/>
      <c r="AF53" s="514"/>
      <c r="AG53" s="514"/>
      <c r="AH53" s="514"/>
      <c r="AI53" s="516"/>
      <c r="AJ53" s="514"/>
      <c r="AK53" s="514"/>
      <c r="AL53" s="514"/>
      <c r="AM53" s="755"/>
      <c r="AN53" s="710"/>
      <c r="AO53" s="516"/>
      <c r="AP53" s="756"/>
      <c r="AQ53" s="821"/>
      <c r="AR53" s="821"/>
      <c r="AS53" s="822"/>
      <c r="AT53" s="347"/>
      <c r="AU53" s="821"/>
      <c r="AV53" s="821"/>
      <c r="AW53" s="821"/>
      <c r="AX53" s="822"/>
    </row>
    <row r="54" spans="1:52">
      <c r="A54" s="159">
        <v>27</v>
      </c>
      <c r="B54" s="754" t="s">
        <v>57</v>
      </c>
      <c r="C54" s="156"/>
      <c r="D54" s="754"/>
      <c r="E54" s="167">
        <f>'ROO INPUT'!$F54</f>
        <v>-841</v>
      </c>
      <c r="F54" s="514">
        <f t="shared" ref="F54:M54" si="23">F51*0.35</f>
        <v>0</v>
      </c>
      <c r="G54" s="514">
        <f t="shared" si="23"/>
        <v>-0.7</v>
      </c>
      <c r="H54" s="514">
        <f t="shared" si="23"/>
        <v>0</v>
      </c>
      <c r="I54" s="514">
        <f t="shared" si="23"/>
        <v>-11.2</v>
      </c>
      <c r="J54" s="514">
        <f t="shared" si="23"/>
        <v>-90.649999999999991</v>
      </c>
      <c r="K54" s="514">
        <f t="shared" si="23"/>
        <v>135.1</v>
      </c>
      <c r="L54" s="514">
        <f t="shared" si="23"/>
        <v>1.0499999999999998</v>
      </c>
      <c r="M54" s="514">
        <f t="shared" si="23"/>
        <v>-26.599999999999998</v>
      </c>
      <c r="N54" s="514">
        <v>0</v>
      </c>
      <c r="O54" s="514">
        <f t="shared" ref="O54:V54" si="24">O51*0.35</f>
        <v>3.15</v>
      </c>
      <c r="P54" s="514">
        <f t="shared" si="24"/>
        <v>-0.7</v>
      </c>
      <c r="Q54" s="514">
        <f t="shared" si="24"/>
        <v>4.55</v>
      </c>
      <c r="R54" s="514">
        <f t="shared" si="24"/>
        <v>-6.3</v>
      </c>
      <c r="S54" s="514">
        <f t="shared" si="24"/>
        <v>-166.6</v>
      </c>
      <c r="T54" s="514">
        <f t="shared" si="24"/>
        <v>110.25</v>
      </c>
      <c r="U54" s="514">
        <f t="shared" si="24"/>
        <v>-377.65</v>
      </c>
      <c r="V54" s="514">
        <f t="shared" si="24"/>
        <v>58.449999999999996</v>
      </c>
      <c r="W54" s="514">
        <f>'DEBT CALC'!E57</f>
        <v>-67</v>
      </c>
      <c r="X54" s="514">
        <v>0</v>
      </c>
      <c r="Y54" s="757">
        <f>SUM(E54:X54)</f>
        <v>-1275.8500000000001</v>
      </c>
      <c r="Z54" s="514">
        <f t="shared" ref="Z54:AL54" si="25">Z51*0.35</f>
        <v>-121.8</v>
      </c>
      <c r="AA54" s="514">
        <f t="shared" si="25"/>
        <v>-305.89999999999998</v>
      </c>
      <c r="AB54" s="514">
        <f t="shared" si="25"/>
        <v>3.5</v>
      </c>
      <c r="AC54" s="514">
        <f t="shared" si="25"/>
        <v>61.599999999999994</v>
      </c>
      <c r="AD54" s="514">
        <f t="shared" si="25"/>
        <v>0</v>
      </c>
      <c r="AE54" s="514">
        <f t="shared" si="25"/>
        <v>-150.14999999999998</v>
      </c>
      <c r="AF54" s="514">
        <f t="shared" si="25"/>
        <v>-70.349999999999994</v>
      </c>
      <c r="AG54" s="514">
        <f t="shared" si="25"/>
        <v>-292.59999999999997</v>
      </c>
      <c r="AH54" s="514">
        <f t="shared" si="25"/>
        <v>377.65</v>
      </c>
      <c r="AI54" s="516">
        <f t="shared" si="25"/>
        <v>-171.5</v>
      </c>
      <c r="AJ54" s="514">
        <f t="shared" si="25"/>
        <v>0</v>
      </c>
      <c r="AK54" s="514">
        <f t="shared" si="25"/>
        <v>0</v>
      </c>
      <c r="AL54" s="514">
        <f t="shared" si="25"/>
        <v>-204.39999999999998</v>
      </c>
      <c r="AM54" s="755">
        <f>SUM(Y54:AL54)</f>
        <v>-2149.8000000000002</v>
      </c>
      <c r="AN54" s="710"/>
      <c r="AO54" s="516">
        <f>AO51*0.35</f>
        <v>0</v>
      </c>
      <c r="AP54" s="756">
        <f>SUM(AM54:AO54)</f>
        <v>-2149.8000000000002</v>
      </c>
      <c r="AQ54" s="826">
        <f>AP54/0.35*0.21-AP54</f>
        <v>859.91999999999985</v>
      </c>
      <c r="AR54" s="821">
        <f t="shared" ref="AR54:AU54" si="26">AR51*0.35</f>
        <v>0</v>
      </c>
      <c r="AS54" s="822">
        <f>SUM(AP54:AR54)</f>
        <v>-1289.8800000000003</v>
      </c>
      <c r="AT54" s="347"/>
      <c r="AU54" s="821">
        <f t="shared" si="26"/>
        <v>0</v>
      </c>
      <c r="AV54" s="827">
        <f>'2015 GRC Embedded Tax'!C38</f>
        <v>-1293.1138604351358</v>
      </c>
      <c r="AW54" s="827"/>
      <c r="AX54" s="822">
        <f>SUM(AU54:AW54)</f>
        <v>-1293.1138604351358</v>
      </c>
    </row>
    <row r="55" spans="1:52">
      <c r="A55" s="159">
        <v>28</v>
      </c>
      <c r="B55" s="754" t="s">
        <v>195</v>
      </c>
      <c r="C55" s="156"/>
      <c r="D55" s="754"/>
      <c r="E55" s="167">
        <f>'ROO INPUT'!$F55</f>
        <v>0</v>
      </c>
      <c r="F55" s="514">
        <f>(F82*'RR SUMMARY'!$N$22)*-0.35</f>
        <v>3.1701897499999996</v>
      </c>
      <c r="G55" s="514">
        <f>(G82*'RR SUMMARY'!$N$22)*-0.35</f>
        <v>0</v>
      </c>
      <c r="H55" s="514">
        <f>(H82*'RR SUMMARY'!$N$22)*-0.35</f>
        <v>40.793026259999991</v>
      </c>
      <c r="I55" s="514">
        <f>(I82*'RR SUMMARY'!$N$22)*-0.35</f>
        <v>0</v>
      </c>
      <c r="J55" s="514">
        <f>(J82*'RR SUMMARY'!$N$22)*-0.35</f>
        <v>0</v>
      </c>
      <c r="K55" s="514">
        <f>(K82*'RR SUMMARY'!$N$22)*-0.35</f>
        <v>0</v>
      </c>
      <c r="L55" s="514">
        <f>(L82*'RR SUMMARY'!$N$22)*-0.35</f>
        <v>0</v>
      </c>
      <c r="M55" s="514">
        <f>(M82*'RR SUMMARY'!$N$22)*-0.35</f>
        <v>0</v>
      </c>
      <c r="N55" s="514">
        <f>(N82*'RR SUMMARY'!$N$22)*-0.35</f>
        <v>0</v>
      </c>
      <c r="O55" s="514">
        <f>(O82*'RR SUMMARY'!$N$22)*-0.35</f>
        <v>0</v>
      </c>
      <c r="P55" s="514">
        <f>(P82*'RR SUMMARY'!$N$22)*-0.35</f>
        <v>0</v>
      </c>
      <c r="Q55" s="514">
        <f>(Q82*'RR SUMMARY'!$N$22)*-0.35</f>
        <v>0</v>
      </c>
      <c r="R55" s="514">
        <f>(R82*'RR SUMMARY'!$N$22)*-0.35</f>
        <v>0</v>
      </c>
      <c r="S55" s="514">
        <f>(S82*'RR SUMMARY'!$N$22)*-0.35</f>
        <v>0</v>
      </c>
      <c r="T55" s="514">
        <f>(T82*'RR SUMMARY'!$N$22)*-0.35</f>
        <v>0</v>
      </c>
      <c r="U55" s="514">
        <f>(U82*'RR SUMMARY'!$N$22)*-0.35</f>
        <v>0</v>
      </c>
      <c r="V55" s="514">
        <f>(V82*'RR SUMMARY'!$N$22)*-0.35</f>
        <v>0</v>
      </c>
      <c r="W55" s="514">
        <f>(W82*'RR SUMMARY'!$N$22)*-0.35</f>
        <v>0</v>
      </c>
      <c r="X55" s="514">
        <f>(X82*'RR SUMMARY'!$N$22)*-0.35</f>
        <v>-138.12272879999998</v>
      </c>
      <c r="Y55" s="757">
        <f>SUM(E55:X55)</f>
        <v>-94.15951278999998</v>
      </c>
      <c r="Z55" s="514">
        <f>(Z82*'RR SUMMARY'!$N$22)*-0.35</f>
        <v>0</v>
      </c>
      <c r="AA55" s="514">
        <f>(AA82*'RR SUMMARY'!$N$22)*-0.35</f>
        <v>0</v>
      </c>
      <c r="AB55" s="514">
        <f>(AB82*'RR SUMMARY'!$N$22)*-0.35</f>
        <v>0</v>
      </c>
      <c r="AC55" s="514">
        <f>(AC82*'RR SUMMARY'!$N$22)*-0.35</f>
        <v>0</v>
      </c>
      <c r="AD55" s="514">
        <f>(AD82*'RR SUMMARY'!$N$22)*-0.35</f>
        <v>0</v>
      </c>
      <c r="AE55" s="514">
        <f>(AE82*'RR SUMMARY'!$N$22)*-0.35</f>
        <v>0</v>
      </c>
      <c r="AF55" s="514">
        <f>(AF82*'RR SUMMARY'!$N$22)*-0.35</f>
        <v>0</v>
      </c>
      <c r="AG55" s="514">
        <f>(AG82*'RR SUMMARY'!$N$22)*-0.35</f>
        <v>0</v>
      </c>
      <c r="AH55" s="514">
        <f>(AH82*'RR SUMMARY'!$N$22)*-0.35</f>
        <v>0</v>
      </c>
      <c r="AI55" s="514">
        <f>(AI82*'RR SUMMARY'!$N$22)*-0.35</f>
        <v>-76.786872959999982</v>
      </c>
      <c r="AJ55" s="514">
        <f>(AJ82*'RR SUMMARY'!$N$22)*-0.35</f>
        <v>0</v>
      </c>
      <c r="AK55" s="514">
        <f>(AK82*'RR SUMMARY'!$N$22)*-0.35</f>
        <v>0</v>
      </c>
      <c r="AL55" s="514">
        <f>(AL82*'RR SUMMARY'!$N$22)*-0.35</f>
        <v>-14.378029819999997</v>
      </c>
      <c r="AM55" s="755">
        <f>SUM(Y55:AL55)</f>
        <v>-185.32441556999996</v>
      </c>
      <c r="AN55" s="710"/>
      <c r="AO55" s="514">
        <v>0</v>
      </c>
      <c r="AP55" s="756">
        <f>SUM(AM55:AO55)</f>
        <v>-185.32441556999996</v>
      </c>
      <c r="AQ55" s="826">
        <f>AP55/0.35*0.21-AP55</f>
        <v>74.12976622799998</v>
      </c>
      <c r="AR55" s="821">
        <f>(AR82*'RR SUMMARY'!$N$22)*-0.21</f>
        <v>-4.9747592999999997</v>
      </c>
      <c r="AS55" s="822">
        <f t="shared" ref="AS55:AS57" si="27">SUM(AP55:AR55)</f>
        <v>-116.16940864199998</v>
      </c>
      <c r="AT55" s="347"/>
      <c r="AU55" s="821">
        <f>(AU82*'RR SUMMARY'!$N$22)*-0.21</f>
        <v>-6.1335855839999986</v>
      </c>
      <c r="AV55" s="821">
        <f>(AV82*'RR SUMMARY'!$N$22)*-0.21</f>
        <v>0</v>
      </c>
      <c r="AW55" s="821">
        <f>(AW82*'RR SUMMARY'!$N$22)*-0.21</f>
        <v>-0.88960401599999983</v>
      </c>
      <c r="AX55" s="822">
        <f>SUM(AU55:AW55)</f>
        <v>-7.0231895999999985</v>
      </c>
    </row>
    <row r="56" spans="1:52">
      <c r="A56" s="159">
        <v>29</v>
      </c>
      <c r="B56" s="754" t="s">
        <v>58</v>
      </c>
      <c r="C56" s="156"/>
      <c r="D56" s="754"/>
      <c r="E56" s="167">
        <f>'ROO INPUT'!$F56</f>
        <v>9923</v>
      </c>
      <c r="F56" s="514">
        <v>0</v>
      </c>
      <c r="G56" s="514">
        <v>0</v>
      </c>
      <c r="H56" s="514">
        <v>0</v>
      </c>
      <c r="I56" s="514">
        <v>0</v>
      </c>
      <c r="J56" s="514">
        <v>0</v>
      </c>
      <c r="K56" s="514">
        <v>0</v>
      </c>
      <c r="L56" s="514">
        <v>0</v>
      </c>
      <c r="M56" s="514">
        <v>0</v>
      </c>
      <c r="N56" s="514">
        <v>0</v>
      </c>
      <c r="O56" s="514">
        <v>0</v>
      </c>
      <c r="P56" s="514">
        <v>0</v>
      </c>
      <c r="Q56" s="514">
        <v>0</v>
      </c>
      <c r="R56" s="514">
        <v>0</v>
      </c>
      <c r="S56" s="514">
        <v>0</v>
      </c>
      <c r="T56" s="514">
        <v>0</v>
      </c>
      <c r="U56" s="514">
        <v>0</v>
      </c>
      <c r="V56" s="514">
        <v>0</v>
      </c>
      <c r="W56" s="514">
        <v>0</v>
      </c>
      <c r="X56" s="514">
        <v>0</v>
      </c>
      <c r="Y56" s="757">
        <f>SUM(E56:X56)</f>
        <v>9923</v>
      </c>
      <c r="Z56" s="514">
        <v>0</v>
      </c>
      <c r="AA56" s="514">
        <v>0</v>
      </c>
      <c r="AB56" s="514">
        <v>0</v>
      </c>
      <c r="AC56" s="514">
        <v>0</v>
      </c>
      <c r="AD56" s="514">
        <v>0</v>
      </c>
      <c r="AE56" s="514">
        <v>0</v>
      </c>
      <c r="AF56" s="514">
        <v>0</v>
      </c>
      <c r="AG56" s="514">
        <v>0</v>
      </c>
      <c r="AH56" s="514">
        <v>0</v>
      </c>
      <c r="AI56" s="516">
        <v>0</v>
      </c>
      <c r="AJ56" s="514">
        <v>0</v>
      </c>
      <c r="AK56" s="514">
        <v>0</v>
      </c>
      <c r="AL56" s="514">
        <v>0</v>
      </c>
      <c r="AM56" s="755">
        <f>SUM(Y56:AL56)</f>
        <v>9923</v>
      </c>
      <c r="AN56" s="710"/>
      <c r="AO56" s="516">
        <v>0</v>
      </c>
      <c r="AP56" s="756">
        <f>SUM(AM56:AO56)</f>
        <v>9923</v>
      </c>
      <c r="AQ56" s="828">
        <f>(AP56-AY56)/0.35*0.21-(AP56-AY56)</f>
        <v>-3824</v>
      </c>
      <c r="AR56" s="827">
        <f>(-910.8*8-1079.3*4)/12</f>
        <v>-966.96666666666658</v>
      </c>
      <c r="AS56" s="822">
        <f t="shared" si="27"/>
        <v>5132.0333333333338</v>
      </c>
      <c r="AT56" s="347"/>
      <c r="AU56" s="829">
        <v>-931</v>
      </c>
      <c r="AV56" s="827"/>
      <c r="AW56" s="827">
        <f>(-910.8*4-1079.3*0)/12</f>
        <v>-303.59999999999997</v>
      </c>
      <c r="AX56" s="822">
        <f>SUM(AU56:AW56)</f>
        <v>-1234.5999999999999</v>
      </c>
      <c r="AY56" s="859">
        <f>409-46</f>
        <v>363</v>
      </c>
      <c r="AZ56" s="859" t="s">
        <v>594</v>
      </c>
    </row>
    <row r="57" spans="1:52">
      <c r="A57" s="159">
        <v>30</v>
      </c>
      <c r="B57" s="754" t="s">
        <v>59</v>
      </c>
      <c r="C57" s="156"/>
      <c r="D57" s="754"/>
      <c r="E57" s="713">
        <f>'ROO INPUT'!$F57</f>
        <v>-17</v>
      </c>
      <c r="F57" s="515"/>
      <c r="G57" s="515"/>
      <c r="H57" s="515"/>
      <c r="I57" s="515">
        <v>0</v>
      </c>
      <c r="J57" s="515">
        <v>0</v>
      </c>
      <c r="K57" s="515">
        <v>0</v>
      </c>
      <c r="L57" s="515">
        <v>0</v>
      </c>
      <c r="M57" s="515">
        <v>0</v>
      </c>
      <c r="N57" s="515">
        <v>0</v>
      </c>
      <c r="O57" s="515">
        <v>0</v>
      </c>
      <c r="P57" s="515">
        <v>0</v>
      </c>
      <c r="Q57" s="515">
        <v>0</v>
      </c>
      <c r="R57" s="515">
        <v>0</v>
      </c>
      <c r="S57" s="515">
        <v>0</v>
      </c>
      <c r="T57" s="515">
        <v>0</v>
      </c>
      <c r="U57" s="515">
        <v>0</v>
      </c>
      <c r="V57" s="515">
        <v>0</v>
      </c>
      <c r="W57" s="515">
        <v>0</v>
      </c>
      <c r="X57" s="515">
        <v>0</v>
      </c>
      <c r="Y57" s="761">
        <f>SUM(E57:X57)</f>
        <v>-17</v>
      </c>
      <c r="Z57" s="515">
        <v>0</v>
      </c>
      <c r="AA57" s="515">
        <v>0</v>
      </c>
      <c r="AB57" s="515">
        <v>0</v>
      </c>
      <c r="AC57" s="515">
        <v>0</v>
      </c>
      <c r="AD57" s="515">
        <v>0</v>
      </c>
      <c r="AE57" s="515">
        <v>0</v>
      </c>
      <c r="AF57" s="515">
        <v>0</v>
      </c>
      <c r="AG57" s="515">
        <v>0</v>
      </c>
      <c r="AH57" s="515">
        <v>0</v>
      </c>
      <c r="AI57" s="515">
        <v>0</v>
      </c>
      <c r="AJ57" s="515">
        <v>0</v>
      </c>
      <c r="AK57" s="515">
        <v>0</v>
      </c>
      <c r="AL57" s="515">
        <v>0</v>
      </c>
      <c r="AM57" s="759">
        <f>SUM(Y57:AL57)</f>
        <v>-17</v>
      </c>
      <c r="AN57" s="710"/>
      <c r="AO57" s="515">
        <v>0</v>
      </c>
      <c r="AP57" s="760">
        <f>SUM(AM57:AO57)</f>
        <v>-17</v>
      </c>
      <c r="AQ57" s="830">
        <v>0</v>
      </c>
      <c r="AR57" s="823">
        <v>0</v>
      </c>
      <c r="AS57" s="824">
        <f t="shared" si="27"/>
        <v>-17</v>
      </c>
      <c r="AT57" s="347"/>
      <c r="AU57" s="823">
        <v>0</v>
      </c>
      <c r="AV57" s="823">
        <v>0</v>
      </c>
      <c r="AW57" s="823">
        <v>0</v>
      </c>
      <c r="AX57" s="824">
        <f>SUM(AU57:AW57)</f>
        <v>0</v>
      </c>
    </row>
    <row r="58" spans="1:52">
      <c r="A58" s="159"/>
      <c r="B58" s="156"/>
      <c r="C58" s="156"/>
      <c r="D58" s="156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757"/>
      <c r="Z58" s="167"/>
      <c r="AA58" s="167"/>
      <c r="AB58" s="167"/>
      <c r="AC58" s="167"/>
      <c r="AD58" s="167"/>
      <c r="AE58" s="167"/>
      <c r="AF58" s="167"/>
      <c r="AG58" s="167"/>
      <c r="AH58" s="167"/>
      <c r="AI58" s="711"/>
      <c r="AJ58" s="167"/>
      <c r="AK58" s="167"/>
      <c r="AL58" s="167"/>
      <c r="AM58" s="755"/>
      <c r="AN58" s="710"/>
      <c r="AO58" s="711"/>
      <c r="AP58" s="756"/>
      <c r="AQ58" s="297"/>
      <c r="AR58" s="297"/>
      <c r="AS58" s="822"/>
      <c r="AT58" s="347"/>
      <c r="AU58" s="297"/>
      <c r="AV58" s="297"/>
      <c r="AW58" s="297"/>
      <c r="AX58" s="822"/>
    </row>
    <row r="59" spans="1:52" s="2" customFormat="1" ht="12.6" thickBot="1">
      <c r="A59" s="159">
        <v>31</v>
      </c>
      <c r="B59" s="749" t="s">
        <v>60</v>
      </c>
      <c r="C59" s="749"/>
      <c r="D59" s="749"/>
      <c r="E59" s="714">
        <f t="shared" ref="E59:X59" si="28">E51-SUM(E54:E57)</f>
        <v>23458</v>
      </c>
      <c r="F59" s="714">
        <f t="shared" si="28"/>
        <v>-3.1701897499999996</v>
      </c>
      <c r="G59" s="714">
        <f t="shared" si="28"/>
        <v>-1.3</v>
      </c>
      <c r="H59" s="714">
        <f t="shared" si="28"/>
        <v>-40.793026259999991</v>
      </c>
      <c r="I59" s="714">
        <f t="shared" si="28"/>
        <v>-20.8</v>
      </c>
      <c r="J59" s="714">
        <f t="shared" si="28"/>
        <v>-168.35000000000002</v>
      </c>
      <c r="K59" s="714">
        <f t="shared" si="28"/>
        <v>250.9</v>
      </c>
      <c r="L59" s="714">
        <f t="shared" si="28"/>
        <v>1.9500000000000002</v>
      </c>
      <c r="M59" s="714">
        <f t="shared" si="28"/>
        <v>-49.400000000000006</v>
      </c>
      <c r="N59" s="714">
        <f t="shared" si="28"/>
        <v>0</v>
      </c>
      <c r="O59" s="714">
        <f t="shared" si="28"/>
        <v>5.85</v>
      </c>
      <c r="P59" s="714">
        <f t="shared" si="28"/>
        <v>-1.3</v>
      </c>
      <c r="Q59" s="714">
        <f t="shared" si="28"/>
        <v>8.4499999999999993</v>
      </c>
      <c r="R59" s="714">
        <f t="shared" si="28"/>
        <v>-11.7</v>
      </c>
      <c r="S59" s="714">
        <f t="shared" si="28"/>
        <v>-309.39999999999998</v>
      </c>
      <c r="T59" s="714">
        <f t="shared" si="28"/>
        <v>204.75</v>
      </c>
      <c r="U59" s="714">
        <f t="shared" si="28"/>
        <v>-701.35</v>
      </c>
      <c r="V59" s="714">
        <f t="shared" si="28"/>
        <v>108.55000000000001</v>
      </c>
      <c r="W59" s="714">
        <f t="shared" si="28"/>
        <v>67</v>
      </c>
      <c r="X59" s="714">
        <f t="shared" si="28"/>
        <v>138.12272879999998</v>
      </c>
      <c r="Y59" s="720">
        <f>Y51-SUM(Y54:Y57)+Y58</f>
        <v>22936.009512789999</v>
      </c>
      <c r="Z59" s="714">
        <f t="shared" ref="Z59:AL59" si="29">Z51-SUM(Z54:Z57)</f>
        <v>-226.2</v>
      </c>
      <c r="AA59" s="714">
        <f t="shared" si="29"/>
        <v>-568.1</v>
      </c>
      <c r="AB59" s="714">
        <f t="shared" si="29"/>
        <v>6.5</v>
      </c>
      <c r="AC59" s="714">
        <f t="shared" si="29"/>
        <v>114.4</v>
      </c>
      <c r="AD59" s="714">
        <f t="shared" si="29"/>
        <v>0</v>
      </c>
      <c r="AE59" s="714">
        <f t="shared" si="29"/>
        <v>-278.85000000000002</v>
      </c>
      <c r="AF59" s="714">
        <f t="shared" si="29"/>
        <v>-130.65</v>
      </c>
      <c r="AG59" s="714">
        <f t="shared" si="29"/>
        <v>-543.40000000000009</v>
      </c>
      <c r="AH59" s="714">
        <f t="shared" si="29"/>
        <v>701.35</v>
      </c>
      <c r="AI59" s="714">
        <f t="shared" si="29"/>
        <v>-241.71312704000002</v>
      </c>
      <c r="AJ59" s="714">
        <f t="shared" si="29"/>
        <v>0</v>
      </c>
      <c r="AK59" s="714">
        <f t="shared" si="29"/>
        <v>0</v>
      </c>
      <c r="AL59" s="714">
        <f t="shared" si="29"/>
        <v>-365.22197018000003</v>
      </c>
      <c r="AM59" s="764">
        <f>AM51-SUM(AM54:AM57)+AM58</f>
        <v>21404.124415570001</v>
      </c>
      <c r="AN59" s="709"/>
      <c r="AO59" s="714">
        <f>AO51-SUM(AO54:AO57)</f>
        <v>0</v>
      </c>
      <c r="AP59" s="765">
        <f>AP51-SUM(AP54:AP57)+AP58</f>
        <v>21404.124415570001</v>
      </c>
      <c r="AQ59" s="831">
        <f t="shared" ref="AQ59:AW59" si="30">AQ51-SUM(AQ54:AQ57)</f>
        <v>2889.950233772</v>
      </c>
      <c r="AR59" s="831">
        <f t="shared" si="30"/>
        <v>971.94142596666654</v>
      </c>
      <c r="AS59" s="832">
        <f>AS51-SUM(AS54:AS57)+AS58</f>
        <v>25266.016075308667</v>
      </c>
      <c r="AT59" s="351"/>
      <c r="AU59" s="831">
        <f t="shared" si="30"/>
        <v>937.133585584</v>
      </c>
      <c r="AV59" s="831">
        <f t="shared" si="30"/>
        <v>1293.1138604351358</v>
      </c>
      <c r="AW59" s="831">
        <f t="shared" si="30"/>
        <v>304.48960401599999</v>
      </c>
      <c r="AX59" s="832">
        <f>AX51-SUM(AX54:AX57)+AX58</f>
        <v>2534.7370500351358</v>
      </c>
    </row>
    <row r="60" spans="1:52" ht="6" customHeight="1" thickTop="1">
      <c r="A60" s="159"/>
      <c r="B60" s="156"/>
      <c r="C60" s="156"/>
      <c r="D60" s="156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757"/>
      <c r="V60" s="757"/>
      <c r="W60" s="167"/>
      <c r="X60" s="167"/>
      <c r="Y60" s="757"/>
      <c r="Z60" s="167"/>
      <c r="AA60" s="757"/>
      <c r="AB60" s="757"/>
      <c r="AC60" s="757"/>
      <c r="AD60" s="757"/>
      <c r="AE60" s="167"/>
      <c r="AF60" s="167"/>
      <c r="AG60" s="167"/>
      <c r="AH60" s="167"/>
      <c r="AI60" s="711"/>
      <c r="AJ60" s="167"/>
      <c r="AK60" s="167"/>
      <c r="AL60" s="167"/>
      <c r="AM60" s="755"/>
      <c r="AN60" s="710"/>
      <c r="AO60" s="711"/>
      <c r="AP60" s="756"/>
      <c r="AQ60" s="297"/>
      <c r="AR60" s="297"/>
      <c r="AS60" s="822"/>
      <c r="AT60" s="347"/>
      <c r="AU60" s="297"/>
      <c r="AV60" s="297"/>
      <c r="AW60" s="297"/>
      <c r="AX60" s="822"/>
    </row>
    <row r="61" spans="1:52">
      <c r="A61" s="159"/>
      <c r="B61" s="156" t="s">
        <v>107</v>
      </c>
      <c r="C61" s="156"/>
      <c r="D61" s="156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757"/>
      <c r="V61" s="757"/>
      <c r="W61" s="167"/>
      <c r="X61" s="167"/>
      <c r="Y61" s="757"/>
      <c r="Z61" s="167"/>
      <c r="AA61" s="757"/>
      <c r="AB61" s="757"/>
      <c r="AC61" s="757"/>
      <c r="AD61" s="757"/>
      <c r="AE61" s="167"/>
      <c r="AF61" s="167"/>
      <c r="AG61" s="167"/>
      <c r="AH61" s="167"/>
      <c r="AI61" s="711"/>
      <c r="AJ61" s="167"/>
      <c r="AK61" s="167"/>
      <c r="AL61" s="167"/>
      <c r="AM61" s="755"/>
      <c r="AN61" s="710"/>
      <c r="AO61" s="711"/>
      <c r="AP61" s="756"/>
      <c r="AQ61" s="297"/>
      <c r="AR61" s="297"/>
      <c r="AS61" s="822"/>
      <c r="AT61" s="347"/>
      <c r="AU61" s="297"/>
      <c r="AV61" s="297"/>
      <c r="AW61" s="297"/>
      <c r="AX61" s="822"/>
    </row>
    <row r="62" spans="1:52">
      <c r="A62" s="159"/>
      <c r="B62" s="156" t="s">
        <v>108</v>
      </c>
      <c r="C62" s="156"/>
      <c r="D62" s="156"/>
      <c r="E62" s="167"/>
      <c r="F62" s="514"/>
      <c r="G62" s="514"/>
      <c r="H62" s="514"/>
      <c r="I62" s="514"/>
      <c r="J62" s="514"/>
      <c r="K62" s="514"/>
      <c r="L62" s="514"/>
      <c r="M62" s="514"/>
      <c r="N62" s="514"/>
      <c r="O62" s="514"/>
      <c r="P62" s="514"/>
      <c r="Q62" s="514"/>
      <c r="R62" s="514"/>
      <c r="S62" s="514"/>
      <c r="T62" s="514"/>
      <c r="U62" s="715"/>
      <c r="V62" s="715"/>
      <c r="W62" s="514"/>
      <c r="X62" s="514"/>
      <c r="Y62" s="757"/>
      <c r="Z62" s="514"/>
      <c r="AA62" s="715"/>
      <c r="AB62" s="715"/>
      <c r="AC62" s="715"/>
      <c r="AD62" s="715"/>
      <c r="AE62" s="514"/>
      <c r="AF62" s="514"/>
      <c r="AG62" s="514"/>
      <c r="AH62" s="514"/>
      <c r="AI62" s="516"/>
      <c r="AJ62" s="514"/>
      <c r="AK62" s="514"/>
      <c r="AL62" s="514"/>
      <c r="AM62" s="755"/>
      <c r="AN62" s="710"/>
      <c r="AO62" s="516"/>
      <c r="AP62" s="756"/>
      <c r="AQ62" s="821"/>
      <c r="AR62" s="821"/>
      <c r="AS62" s="822"/>
      <c r="AT62" s="347"/>
      <c r="AU62" s="821"/>
      <c r="AV62" s="821"/>
      <c r="AW62" s="821"/>
      <c r="AX62" s="822"/>
    </row>
    <row r="63" spans="1:52">
      <c r="A63" s="159">
        <v>32</v>
      </c>
      <c r="B63" s="754"/>
      <c r="C63" s="754" t="s">
        <v>43</v>
      </c>
      <c r="D63" s="754"/>
      <c r="E63" s="750">
        <f>'ROO INPUT'!$F63</f>
        <v>26868</v>
      </c>
      <c r="F63" s="513">
        <v>0</v>
      </c>
      <c r="G63" s="513">
        <v>0</v>
      </c>
      <c r="H63" s="513">
        <v>0</v>
      </c>
      <c r="I63" s="513">
        <v>0</v>
      </c>
      <c r="J63" s="513">
        <v>0</v>
      </c>
      <c r="K63" s="513">
        <v>0</v>
      </c>
      <c r="L63" s="513">
        <v>0</v>
      </c>
      <c r="M63" s="513">
        <v>0</v>
      </c>
      <c r="N63" s="513">
        <v>0</v>
      </c>
      <c r="O63" s="513">
        <v>0</v>
      </c>
      <c r="P63" s="513">
        <v>0</v>
      </c>
      <c r="Q63" s="513">
        <v>0</v>
      </c>
      <c r="R63" s="513">
        <v>0</v>
      </c>
      <c r="S63" s="513">
        <v>0</v>
      </c>
      <c r="T63" s="513">
        <v>0</v>
      </c>
      <c r="U63" s="716">
        <v>0</v>
      </c>
      <c r="V63" s="716">
        <v>0</v>
      </c>
      <c r="W63" s="513">
        <v>0</v>
      </c>
      <c r="X63" s="514">
        <v>275</v>
      </c>
      <c r="Y63" s="751">
        <f>SUM(E63:X63)</f>
        <v>27143</v>
      </c>
      <c r="Z63" s="513">
        <v>0</v>
      </c>
      <c r="AA63" s="716">
        <v>0</v>
      </c>
      <c r="AB63" s="716">
        <v>0</v>
      </c>
      <c r="AC63" s="716">
        <v>0</v>
      </c>
      <c r="AD63" s="716">
        <v>0</v>
      </c>
      <c r="AE63" s="513">
        <v>0</v>
      </c>
      <c r="AF63" s="513">
        <v>0</v>
      </c>
      <c r="AG63" s="513">
        <v>0</v>
      </c>
      <c r="AH63" s="513">
        <v>0</v>
      </c>
      <c r="AI63" s="708">
        <v>0</v>
      </c>
      <c r="AJ63" s="513">
        <v>0</v>
      </c>
      <c r="AK63" s="513">
        <v>0</v>
      </c>
      <c r="AL63" s="513">
        <v>0</v>
      </c>
      <c r="AM63" s="752">
        <f>SUM(Y63:AL63)</f>
        <v>27143</v>
      </c>
      <c r="AN63" s="709"/>
      <c r="AO63" s="513">
        <v>0</v>
      </c>
      <c r="AP63" s="753">
        <f>SUM(AM63:AO63)</f>
        <v>27143</v>
      </c>
      <c r="AQ63" s="819">
        <v>0</v>
      </c>
      <c r="AR63" s="819">
        <v>0</v>
      </c>
      <c r="AS63" s="820">
        <f>SUM(AP63:AR63)</f>
        <v>27143</v>
      </c>
      <c r="AT63" s="351"/>
      <c r="AU63" s="819">
        <v>0</v>
      </c>
      <c r="AV63" s="819">
        <v>0</v>
      </c>
      <c r="AW63" s="819">
        <v>0</v>
      </c>
      <c r="AX63" s="820">
        <f>SUM(AU63:AW63)</f>
        <v>0</v>
      </c>
    </row>
    <row r="64" spans="1:52">
      <c r="A64" s="159">
        <v>33</v>
      </c>
      <c r="B64" s="754"/>
      <c r="C64" s="754" t="s">
        <v>62</v>
      </c>
      <c r="D64" s="754"/>
      <c r="E64" s="167">
        <f>'ROO INPUT'!$F64</f>
        <v>390508</v>
      </c>
      <c r="F64" s="514">
        <v>0</v>
      </c>
      <c r="G64" s="514">
        <v>0</v>
      </c>
      <c r="H64" s="514">
        <v>0</v>
      </c>
      <c r="I64" s="514">
        <v>0</v>
      </c>
      <c r="J64" s="514">
        <v>0</v>
      </c>
      <c r="K64" s="514">
        <v>0</v>
      </c>
      <c r="L64" s="514">
        <v>0</v>
      </c>
      <c r="M64" s="514">
        <v>0</v>
      </c>
      <c r="N64" s="514">
        <v>0</v>
      </c>
      <c r="O64" s="514">
        <v>0</v>
      </c>
      <c r="P64" s="514">
        <v>0</v>
      </c>
      <c r="Q64" s="514">
        <v>0</v>
      </c>
      <c r="R64" s="514">
        <v>0</v>
      </c>
      <c r="S64" s="514">
        <v>0</v>
      </c>
      <c r="T64" s="514">
        <v>0</v>
      </c>
      <c r="U64" s="715">
        <v>0</v>
      </c>
      <c r="V64" s="715">
        <v>0</v>
      </c>
      <c r="W64" s="514">
        <v>0</v>
      </c>
      <c r="X64" s="122">
        <v>18072</v>
      </c>
      <c r="Y64" s="757">
        <f>SUM(E64:X64)</f>
        <v>408580</v>
      </c>
      <c r="Z64" s="514">
        <v>0</v>
      </c>
      <c r="AA64" s="715">
        <v>0</v>
      </c>
      <c r="AB64" s="715">
        <v>0</v>
      </c>
      <c r="AC64" s="715">
        <v>0</v>
      </c>
      <c r="AD64" s="715">
        <v>0</v>
      </c>
      <c r="AE64" s="514">
        <v>0</v>
      </c>
      <c r="AF64" s="514"/>
      <c r="AG64" s="514">
        <v>0</v>
      </c>
      <c r="AH64" s="514">
        <v>0</v>
      </c>
      <c r="AI64" s="516">
        <v>8338</v>
      </c>
      <c r="AJ64" s="514">
        <v>0</v>
      </c>
      <c r="AK64" s="514"/>
      <c r="AL64" s="514">
        <v>0</v>
      </c>
      <c r="AM64" s="755">
        <f>SUM(Y64:AL64)</f>
        <v>416918</v>
      </c>
      <c r="AN64" s="710"/>
      <c r="AO64" s="514">
        <v>0</v>
      </c>
      <c r="AP64" s="756">
        <f>SUM(AM64:AO64)</f>
        <v>416918</v>
      </c>
      <c r="AQ64" s="821">
        <v>0</v>
      </c>
      <c r="AR64" s="821">
        <v>0</v>
      </c>
      <c r="AS64" s="820">
        <f t="shared" ref="AS64:AS65" si="31">SUM(AP64:AR64)</f>
        <v>416918</v>
      </c>
      <c r="AT64" s="347"/>
      <c r="AU64" s="821">
        <v>0</v>
      </c>
      <c r="AV64" s="821">
        <v>0</v>
      </c>
      <c r="AW64" s="821">
        <v>0</v>
      </c>
      <c r="AX64" s="822">
        <f>SUM(AU64:AW64)</f>
        <v>0</v>
      </c>
    </row>
    <row r="65" spans="1:50">
      <c r="A65" s="159">
        <v>34</v>
      </c>
      <c r="B65" s="754"/>
      <c r="C65" s="754" t="s">
        <v>63</v>
      </c>
      <c r="D65" s="754"/>
      <c r="E65" s="713">
        <f>'ROO INPUT'!$F65</f>
        <v>82624</v>
      </c>
      <c r="F65" s="515">
        <v>0</v>
      </c>
      <c r="G65" s="515">
        <v>0</v>
      </c>
      <c r="H65" s="515">
        <v>0</v>
      </c>
      <c r="I65" s="515">
        <v>0</v>
      </c>
      <c r="J65" s="515">
        <v>0</v>
      </c>
      <c r="K65" s="515">
        <v>0</v>
      </c>
      <c r="L65" s="515">
        <v>0</v>
      </c>
      <c r="M65" s="515">
        <v>0</v>
      </c>
      <c r="N65" s="515">
        <v>0</v>
      </c>
      <c r="O65" s="515">
        <v>0</v>
      </c>
      <c r="P65" s="515">
        <v>0</v>
      </c>
      <c r="Q65" s="515">
        <v>0</v>
      </c>
      <c r="R65" s="515">
        <v>0</v>
      </c>
      <c r="S65" s="515">
        <v>0</v>
      </c>
      <c r="T65" s="515">
        <v>0</v>
      </c>
      <c r="U65" s="717">
        <v>0</v>
      </c>
      <c r="V65" s="717">
        <v>0</v>
      </c>
      <c r="W65" s="515">
        <v>0</v>
      </c>
      <c r="X65" s="515">
        <f>3141+1097</f>
        <v>4238</v>
      </c>
      <c r="Y65" s="761">
        <f>SUM(E65:X65)</f>
        <v>86862</v>
      </c>
      <c r="Z65" s="515">
        <v>0</v>
      </c>
      <c r="AA65" s="717">
        <v>0</v>
      </c>
      <c r="AB65" s="717">
        <v>0</v>
      </c>
      <c r="AC65" s="717">
        <v>0</v>
      </c>
      <c r="AD65" s="717">
        <v>0</v>
      </c>
      <c r="AE65" s="515">
        <v>0</v>
      </c>
      <c r="AF65" s="515"/>
      <c r="AG65" s="515">
        <v>0</v>
      </c>
      <c r="AH65" s="515">
        <v>0</v>
      </c>
      <c r="AI65" s="515">
        <v>1570</v>
      </c>
      <c r="AJ65" s="515">
        <v>0</v>
      </c>
      <c r="AK65" s="515"/>
      <c r="AL65" s="515">
        <v>0</v>
      </c>
      <c r="AM65" s="759">
        <f>SUM(Y65:AL65)</f>
        <v>88432</v>
      </c>
      <c r="AN65" s="710"/>
      <c r="AO65" s="515">
        <v>0</v>
      </c>
      <c r="AP65" s="760">
        <f>SUM(AM65:AO65)</f>
        <v>88432</v>
      </c>
      <c r="AQ65" s="823">
        <v>0</v>
      </c>
      <c r="AR65" s="823">
        <v>0</v>
      </c>
      <c r="AS65" s="883">
        <f t="shared" si="31"/>
        <v>88432</v>
      </c>
      <c r="AT65" s="347"/>
      <c r="AU65" s="823">
        <v>0</v>
      </c>
      <c r="AV65" s="823">
        <v>0</v>
      </c>
      <c r="AW65" s="823">
        <v>0</v>
      </c>
      <c r="AX65" s="824">
        <f>SUM(AU65:AW65)</f>
        <v>0</v>
      </c>
    </row>
    <row r="66" spans="1:50" ht="18" customHeight="1">
      <c r="A66" s="159">
        <v>35</v>
      </c>
      <c r="B66" s="754" t="s">
        <v>64</v>
      </c>
      <c r="C66" s="754"/>
      <c r="D66" s="156"/>
      <c r="E66" s="167">
        <f t="shared" ref="E66:AM66" si="32">SUM(E63:E65)</f>
        <v>500000</v>
      </c>
      <c r="F66" s="167">
        <f t="shared" si="32"/>
        <v>0</v>
      </c>
      <c r="G66" s="167">
        <f t="shared" si="32"/>
        <v>0</v>
      </c>
      <c r="H66" s="167">
        <f t="shared" si="32"/>
        <v>0</v>
      </c>
      <c r="I66" s="167">
        <f t="shared" si="32"/>
        <v>0</v>
      </c>
      <c r="J66" s="167">
        <f t="shared" si="32"/>
        <v>0</v>
      </c>
      <c r="K66" s="167">
        <f t="shared" si="32"/>
        <v>0</v>
      </c>
      <c r="L66" s="167">
        <f t="shared" si="32"/>
        <v>0</v>
      </c>
      <c r="M66" s="167">
        <f t="shared" si="32"/>
        <v>0</v>
      </c>
      <c r="N66" s="167">
        <f t="shared" si="32"/>
        <v>0</v>
      </c>
      <c r="O66" s="167">
        <f t="shared" si="32"/>
        <v>0</v>
      </c>
      <c r="P66" s="167">
        <f t="shared" si="32"/>
        <v>0</v>
      </c>
      <c r="Q66" s="167">
        <f t="shared" si="32"/>
        <v>0</v>
      </c>
      <c r="R66" s="167">
        <f t="shared" si="32"/>
        <v>0</v>
      </c>
      <c r="S66" s="167">
        <f t="shared" si="32"/>
        <v>0</v>
      </c>
      <c r="T66" s="167">
        <f t="shared" si="32"/>
        <v>0</v>
      </c>
      <c r="U66" s="167">
        <f t="shared" si="32"/>
        <v>0</v>
      </c>
      <c r="V66" s="167">
        <f t="shared" si="32"/>
        <v>0</v>
      </c>
      <c r="W66" s="167">
        <f t="shared" si="32"/>
        <v>0</v>
      </c>
      <c r="X66" s="757">
        <f t="shared" si="32"/>
        <v>22585</v>
      </c>
      <c r="Y66" s="757">
        <f t="shared" si="32"/>
        <v>522585</v>
      </c>
      <c r="Z66" s="167">
        <f t="shared" si="32"/>
        <v>0</v>
      </c>
      <c r="AA66" s="167">
        <f t="shared" si="32"/>
        <v>0</v>
      </c>
      <c r="AB66" s="167">
        <f t="shared" si="32"/>
        <v>0</v>
      </c>
      <c r="AC66" s="167">
        <f t="shared" si="32"/>
        <v>0</v>
      </c>
      <c r="AD66" s="167">
        <f t="shared" si="32"/>
        <v>0</v>
      </c>
      <c r="AE66" s="167">
        <f t="shared" si="32"/>
        <v>0</v>
      </c>
      <c r="AF66" s="167">
        <f t="shared" si="32"/>
        <v>0</v>
      </c>
      <c r="AG66" s="167">
        <f t="shared" si="32"/>
        <v>0</v>
      </c>
      <c r="AH66" s="167">
        <f t="shared" si="32"/>
        <v>0</v>
      </c>
      <c r="AI66" s="711">
        <f t="shared" si="32"/>
        <v>9908</v>
      </c>
      <c r="AJ66" s="167">
        <f t="shared" si="32"/>
        <v>0</v>
      </c>
      <c r="AK66" s="167">
        <f t="shared" si="32"/>
        <v>0</v>
      </c>
      <c r="AL66" s="167">
        <f t="shared" si="32"/>
        <v>0</v>
      </c>
      <c r="AM66" s="755">
        <f t="shared" si="32"/>
        <v>532493</v>
      </c>
      <c r="AN66" s="710"/>
      <c r="AO66" s="711">
        <f>SUM(AO63:AO65)</f>
        <v>0</v>
      </c>
      <c r="AP66" s="756">
        <f>SUM(AP63:AP65)</f>
        <v>532493</v>
      </c>
      <c r="AQ66" s="297">
        <f t="shared" ref="AQ66:AX66" si="33">SUM(AQ63:AQ65)</f>
        <v>0</v>
      </c>
      <c r="AR66" s="297">
        <f t="shared" si="33"/>
        <v>0</v>
      </c>
      <c r="AS66" s="822">
        <f t="shared" si="33"/>
        <v>532493</v>
      </c>
      <c r="AT66" s="347"/>
      <c r="AU66" s="297">
        <f t="shared" si="33"/>
        <v>0</v>
      </c>
      <c r="AV66" s="297">
        <f t="shared" si="33"/>
        <v>0</v>
      </c>
      <c r="AW66" s="297">
        <f t="shared" si="33"/>
        <v>0</v>
      </c>
      <c r="AX66" s="822">
        <f t="shared" si="33"/>
        <v>0</v>
      </c>
    </row>
    <row r="67" spans="1:50" ht="3.75" customHeight="1">
      <c r="A67" s="159"/>
      <c r="B67" s="754"/>
      <c r="C67" s="754"/>
      <c r="D67" s="156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757"/>
      <c r="Z67" s="167"/>
      <c r="AA67" s="167"/>
      <c r="AB67" s="167"/>
      <c r="AC67" s="167"/>
      <c r="AD67" s="167"/>
      <c r="AE67" s="167"/>
      <c r="AF67" s="167"/>
      <c r="AG67" s="167"/>
      <c r="AH67" s="167"/>
      <c r="AI67" s="711"/>
      <c r="AJ67" s="167"/>
      <c r="AK67" s="167"/>
      <c r="AL67" s="167"/>
      <c r="AM67" s="755"/>
      <c r="AN67" s="710"/>
      <c r="AO67" s="711"/>
      <c r="AP67" s="756"/>
      <c r="AQ67" s="297"/>
      <c r="AR67" s="297"/>
      <c r="AS67" s="822"/>
      <c r="AT67" s="347"/>
      <c r="AU67" s="297"/>
      <c r="AV67" s="297"/>
      <c r="AW67" s="297"/>
      <c r="AX67" s="822"/>
    </row>
    <row r="68" spans="1:50">
      <c r="A68" s="159"/>
      <c r="B68" s="754" t="s">
        <v>216</v>
      </c>
      <c r="C68" s="754"/>
      <c r="D68" s="754"/>
      <c r="E68" s="167"/>
      <c r="F68" s="514"/>
      <c r="G68" s="514"/>
      <c r="H68" s="514"/>
      <c r="I68" s="514"/>
      <c r="J68" s="514"/>
      <c r="K68" s="514"/>
      <c r="L68" s="514"/>
      <c r="M68" s="514"/>
      <c r="N68" s="514"/>
      <c r="O68" s="514"/>
      <c r="P68" s="514"/>
      <c r="Q68" s="514"/>
      <c r="R68" s="514"/>
      <c r="S68" s="514"/>
      <c r="T68" s="514"/>
      <c r="U68" s="514"/>
      <c r="V68" s="514"/>
      <c r="W68" s="514"/>
      <c r="X68" s="514"/>
      <c r="Y68" s="757"/>
      <c r="Z68" s="514"/>
      <c r="AA68" s="514"/>
      <c r="AB68" s="514"/>
      <c r="AC68" s="514"/>
      <c r="AD68" s="514"/>
      <c r="AE68" s="514"/>
      <c r="AF68" s="514"/>
      <c r="AG68" s="514"/>
      <c r="AH68" s="514"/>
      <c r="AI68" s="516"/>
      <c r="AJ68" s="514"/>
      <c r="AK68" s="514"/>
      <c r="AL68" s="514"/>
      <c r="AM68" s="755"/>
      <c r="AN68" s="710"/>
      <c r="AO68" s="516"/>
      <c r="AP68" s="756"/>
      <c r="AQ68" s="821"/>
      <c r="AR68" s="821"/>
      <c r="AS68" s="822"/>
      <c r="AT68" s="347"/>
      <c r="AU68" s="821"/>
      <c r="AV68" s="821"/>
      <c r="AW68" s="821"/>
      <c r="AX68" s="822"/>
    </row>
    <row r="69" spans="1:50">
      <c r="A69" s="159">
        <v>36</v>
      </c>
      <c r="B69" s="754"/>
      <c r="C69" s="754" t="s">
        <v>43</v>
      </c>
      <c r="D69" s="754"/>
      <c r="E69" s="167">
        <f>'ROO INPUT'!$F69</f>
        <v>-10317</v>
      </c>
      <c r="F69" s="514">
        <v>0</v>
      </c>
      <c r="G69" s="514">
        <v>0</v>
      </c>
      <c r="H69" s="514">
        <v>0</v>
      </c>
      <c r="I69" s="514">
        <v>0</v>
      </c>
      <c r="J69" s="514">
        <v>0</v>
      </c>
      <c r="K69" s="514">
        <v>0</v>
      </c>
      <c r="L69" s="514">
        <v>0</v>
      </c>
      <c r="M69" s="514">
        <v>0</v>
      </c>
      <c r="N69" s="514">
        <v>0</v>
      </c>
      <c r="O69" s="514">
        <v>0</v>
      </c>
      <c r="P69" s="514">
        <v>0</v>
      </c>
      <c r="Q69" s="514">
        <v>0</v>
      </c>
      <c r="R69" s="514">
        <v>0</v>
      </c>
      <c r="S69" s="514">
        <v>0</v>
      </c>
      <c r="T69" s="514">
        <v>0</v>
      </c>
      <c r="U69" s="514">
        <v>0</v>
      </c>
      <c r="V69" s="514">
        <v>0</v>
      </c>
      <c r="W69" s="514">
        <v>0</v>
      </c>
      <c r="X69" s="514">
        <v>-155</v>
      </c>
      <c r="Y69" s="757">
        <f>SUM(E69:X69)</f>
        <v>-10472</v>
      </c>
      <c r="Z69" s="514">
        <v>0</v>
      </c>
      <c r="AA69" s="514">
        <v>0</v>
      </c>
      <c r="AB69" s="514">
        <v>0</v>
      </c>
      <c r="AC69" s="514">
        <v>0</v>
      </c>
      <c r="AD69" s="514">
        <v>0</v>
      </c>
      <c r="AE69" s="514">
        <v>0</v>
      </c>
      <c r="AF69" s="514">
        <v>0</v>
      </c>
      <c r="AG69" s="514">
        <v>0</v>
      </c>
      <c r="AH69" s="514">
        <v>0</v>
      </c>
      <c r="AI69" s="718">
        <v>0</v>
      </c>
      <c r="AJ69" s="514">
        <v>0</v>
      </c>
      <c r="AK69" s="514">
        <v>0</v>
      </c>
      <c r="AL69" s="514">
        <v>0</v>
      </c>
      <c r="AM69" s="755">
        <f>SUM(Y69:AL69)</f>
        <v>-10472</v>
      </c>
      <c r="AN69" s="710"/>
      <c r="AO69" s="513">
        <v>0</v>
      </c>
      <c r="AP69" s="756">
        <f>SUM(AM69:AO69)</f>
        <v>-10472</v>
      </c>
      <c r="AQ69" s="821">
        <v>0</v>
      </c>
      <c r="AR69" s="821">
        <v>0</v>
      </c>
      <c r="AS69" s="822">
        <f>SUM(AP69:AR69)</f>
        <v>-10472</v>
      </c>
      <c r="AT69" s="347"/>
      <c r="AU69" s="821">
        <v>0</v>
      </c>
      <c r="AV69" s="821">
        <v>0</v>
      </c>
      <c r="AW69" s="821">
        <v>0</v>
      </c>
      <c r="AX69" s="822">
        <f>SUM(AU69:AW69)</f>
        <v>0</v>
      </c>
    </row>
    <row r="70" spans="1:50">
      <c r="A70" s="159">
        <v>37</v>
      </c>
      <c r="B70" s="754"/>
      <c r="C70" s="754" t="s">
        <v>62</v>
      </c>
      <c r="D70" s="754"/>
      <c r="E70" s="167">
        <f>'ROO INPUT'!$F70</f>
        <v>-129098</v>
      </c>
      <c r="F70" s="514">
        <v>0</v>
      </c>
      <c r="G70" s="514">
        <v>0</v>
      </c>
      <c r="H70" s="514">
        <v>0</v>
      </c>
      <c r="I70" s="514">
        <v>0</v>
      </c>
      <c r="J70" s="514">
        <v>0</v>
      </c>
      <c r="K70" s="514">
        <v>0</v>
      </c>
      <c r="L70" s="514">
        <v>0</v>
      </c>
      <c r="M70" s="514">
        <v>0</v>
      </c>
      <c r="N70" s="514">
        <v>0</v>
      </c>
      <c r="O70" s="514">
        <v>0</v>
      </c>
      <c r="P70" s="514">
        <v>0</v>
      </c>
      <c r="Q70" s="514">
        <v>0</v>
      </c>
      <c r="R70" s="514">
        <v>0</v>
      </c>
      <c r="S70" s="514">
        <v>0</v>
      </c>
      <c r="T70" s="514">
        <v>0</v>
      </c>
      <c r="U70" s="514">
        <v>0</v>
      </c>
      <c r="V70" s="514">
        <v>0</v>
      </c>
      <c r="W70" s="514">
        <v>0</v>
      </c>
      <c r="X70" s="514">
        <v>-3730</v>
      </c>
      <c r="Y70" s="757">
        <f>SUM(E70:X70)</f>
        <v>-132828</v>
      </c>
      <c r="Z70" s="514">
        <v>0</v>
      </c>
      <c r="AA70" s="514">
        <v>0</v>
      </c>
      <c r="AB70" s="514">
        <v>0</v>
      </c>
      <c r="AC70" s="514">
        <v>0</v>
      </c>
      <c r="AD70" s="514">
        <v>0</v>
      </c>
      <c r="AE70" s="514">
        <v>0</v>
      </c>
      <c r="AF70" s="514"/>
      <c r="AG70" s="514">
        <v>0</v>
      </c>
      <c r="AH70" s="514">
        <v>0</v>
      </c>
      <c r="AI70" s="516">
        <v>-68</v>
      </c>
      <c r="AJ70" s="514">
        <v>0</v>
      </c>
      <c r="AK70" s="514"/>
      <c r="AL70" s="514">
        <v>0</v>
      </c>
      <c r="AM70" s="755">
        <f>SUM(Y70:AL70)</f>
        <v>-132896</v>
      </c>
      <c r="AN70" s="710"/>
      <c r="AO70" s="514">
        <v>0</v>
      </c>
      <c r="AP70" s="756">
        <f>SUM(AM70:AO70)</f>
        <v>-132896</v>
      </c>
      <c r="AQ70" s="821">
        <v>0</v>
      </c>
      <c r="AR70" s="821">
        <v>0</v>
      </c>
      <c r="AS70" s="822">
        <f t="shared" ref="AS70:AS71" si="34">SUM(AP70:AR70)</f>
        <v>-132896</v>
      </c>
      <c r="AT70" s="347"/>
      <c r="AU70" s="821">
        <v>0</v>
      </c>
      <c r="AV70" s="821">
        <v>0</v>
      </c>
      <c r="AW70" s="821">
        <v>0</v>
      </c>
      <c r="AX70" s="822">
        <f>SUM(AU70:AW70)</f>
        <v>0</v>
      </c>
    </row>
    <row r="71" spans="1:50">
      <c r="A71" s="159">
        <v>38</v>
      </c>
      <c r="B71" s="754"/>
      <c r="C71" s="754" t="s">
        <v>63</v>
      </c>
      <c r="D71" s="754"/>
      <c r="E71" s="167">
        <f>'ROO INPUT'!$F71</f>
        <v>-23473</v>
      </c>
      <c r="F71" s="514">
        <v>0</v>
      </c>
      <c r="G71" s="514">
        <v>0</v>
      </c>
      <c r="H71" s="514">
        <v>0</v>
      </c>
      <c r="I71" s="514">
        <v>0</v>
      </c>
      <c r="J71" s="514">
        <v>0</v>
      </c>
      <c r="K71" s="514">
        <v>0</v>
      </c>
      <c r="L71" s="514">
        <v>0</v>
      </c>
      <c r="M71" s="514">
        <v>0</v>
      </c>
      <c r="N71" s="514">
        <v>0</v>
      </c>
      <c r="O71" s="514">
        <v>0</v>
      </c>
      <c r="P71" s="514">
        <v>0</v>
      </c>
      <c r="Q71" s="514">
        <v>0</v>
      </c>
      <c r="R71" s="514">
        <v>0</v>
      </c>
      <c r="S71" s="514">
        <v>0</v>
      </c>
      <c r="T71" s="514">
        <v>0</v>
      </c>
      <c r="U71" s="514">
        <v>0</v>
      </c>
      <c r="V71" s="514">
        <v>0</v>
      </c>
      <c r="W71" s="514">
        <v>0</v>
      </c>
      <c r="X71" s="514">
        <f>-752-641</f>
        <v>-1393</v>
      </c>
      <c r="Y71" s="757">
        <f>SUM(E71:X71)</f>
        <v>-24866</v>
      </c>
      <c r="Z71" s="514">
        <v>0</v>
      </c>
      <c r="AA71" s="514">
        <v>0</v>
      </c>
      <c r="AB71" s="514">
        <v>0</v>
      </c>
      <c r="AC71" s="514">
        <v>0</v>
      </c>
      <c r="AD71" s="514">
        <v>0</v>
      </c>
      <c r="AE71" s="514">
        <v>0</v>
      </c>
      <c r="AF71" s="514"/>
      <c r="AG71" s="514">
        <v>0</v>
      </c>
      <c r="AH71" s="514">
        <v>0</v>
      </c>
      <c r="AI71" s="515">
        <v>-159</v>
      </c>
      <c r="AJ71" s="514">
        <v>0</v>
      </c>
      <c r="AK71" s="514"/>
      <c r="AL71" s="514">
        <v>0</v>
      </c>
      <c r="AM71" s="755">
        <f>SUM(Y71:AL71)</f>
        <v>-25025</v>
      </c>
      <c r="AN71" s="710"/>
      <c r="AO71" s="515">
        <v>0</v>
      </c>
      <c r="AP71" s="756">
        <f>SUM(AM71:AO71)</f>
        <v>-25025</v>
      </c>
      <c r="AQ71" s="821">
        <v>0</v>
      </c>
      <c r="AR71" s="821">
        <v>0</v>
      </c>
      <c r="AS71" s="822">
        <f t="shared" si="34"/>
        <v>-25025</v>
      </c>
      <c r="AT71" s="347"/>
      <c r="AU71" s="821">
        <v>0</v>
      </c>
      <c r="AV71" s="821">
        <v>0</v>
      </c>
      <c r="AW71" s="821">
        <v>0</v>
      </c>
      <c r="AX71" s="822">
        <f>SUM(AU71:AW71)</f>
        <v>0</v>
      </c>
    </row>
    <row r="72" spans="1:50">
      <c r="A72" s="159">
        <v>39</v>
      </c>
      <c r="B72" s="754" t="s">
        <v>432</v>
      </c>
      <c r="C72" s="754"/>
      <c r="D72" s="156"/>
      <c r="E72" s="719">
        <f t="shared" ref="E72:AM72" si="35">SUM(E69:E71)</f>
        <v>-162888</v>
      </c>
      <c r="F72" s="719">
        <f t="shared" si="35"/>
        <v>0</v>
      </c>
      <c r="G72" s="719">
        <f t="shared" si="35"/>
        <v>0</v>
      </c>
      <c r="H72" s="719">
        <f t="shared" si="35"/>
        <v>0</v>
      </c>
      <c r="I72" s="719">
        <f t="shared" si="35"/>
        <v>0</v>
      </c>
      <c r="J72" s="719">
        <f t="shared" si="35"/>
        <v>0</v>
      </c>
      <c r="K72" s="719">
        <f t="shared" si="35"/>
        <v>0</v>
      </c>
      <c r="L72" s="719">
        <f t="shared" si="35"/>
        <v>0</v>
      </c>
      <c r="M72" s="719">
        <f t="shared" si="35"/>
        <v>0</v>
      </c>
      <c r="N72" s="719">
        <f t="shared" si="35"/>
        <v>0</v>
      </c>
      <c r="O72" s="719">
        <f t="shared" si="35"/>
        <v>0</v>
      </c>
      <c r="P72" s="719">
        <f t="shared" si="35"/>
        <v>0</v>
      </c>
      <c r="Q72" s="719">
        <f t="shared" si="35"/>
        <v>0</v>
      </c>
      <c r="R72" s="719">
        <f t="shared" si="35"/>
        <v>0</v>
      </c>
      <c r="S72" s="719">
        <f t="shared" si="35"/>
        <v>0</v>
      </c>
      <c r="T72" s="719">
        <f t="shared" si="35"/>
        <v>0</v>
      </c>
      <c r="U72" s="719">
        <f t="shared" si="35"/>
        <v>0</v>
      </c>
      <c r="V72" s="719">
        <f t="shared" si="35"/>
        <v>0</v>
      </c>
      <c r="W72" s="719">
        <f t="shared" si="35"/>
        <v>0</v>
      </c>
      <c r="X72" s="719">
        <f t="shared" si="35"/>
        <v>-5278</v>
      </c>
      <c r="Y72" s="766">
        <f t="shared" si="35"/>
        <v>-168166</v>
      </c>
      <c r="Z72" s="719">
        <f t="shared" si="35"/>
        <v>0</v>
      </c>
      <c r="AA72" s="719">
        <f t="shared" si="35"/>
        <v>0</v>
      </c>
      <c r="AB72" s="719">
        <f t="shared" si="35"/>
        <v>0</v>
      </c>
      <c r="AC72" s="719">
        <f t="shared" si="35"/>
        <v>0</v>
      </c>
      <c r="AD72" s="719">
        <f t="shared" si="35"/>
        <v>0</v>
      </c>
      <c r="AE72" s="719">
        <f t="shared" si="35"/>
        <v>0</v>
      </c>
      <c r="AF72" s="719">
        <f t="shared" si="35"/>
        <v>0</v>
      </c>
      <c r="AG72" s="719">
        <f t="shared" si="35"/>
        <v>0</v>
      </c>
      <c r="AH72" s="719">
        <f t="shared" si="35"/>
        <v>0</v>
      </c>
      <c r="AI72" s="719">
        <f t="shared" si="35"/>
        <v>-227</v>
      </c>
      <c r="AJ72" s="719">
        <f t="shared" si="35"/>
        <v>0</v>
      </c>
      <c r="AK72" s="719">
        <f t="shared" si="35"/>
        <v>0</v>
      </c>
      <c r="AL72" s="719">
        <f t="shared" si="35"/>
        <v>0</v>
      </c>
      <c r="AM72" s="767">
        <f t="shared" si="35"/>
        <v>-168393</v>
      </c>
      <c r="AN72" s="710"/>
      <c r="AO72" s="719">
        <f>SUM(AO69:AO71)</f>
        <v>0</v>
      </c>
      <c r="AP72" s="768">
        <f>SUM(AP69:AP71)</f>
        <v>-168393</v>
      </c>
      <c r="AQ72" s="833">
        <f t="shared" ref="AQ72:AX72" si="36">SUM(AQ69:AQ71)</f>
        <v>0</v>
      </c>
      <c r="AR72" s="833">
        <f t="shared" si="36"/>
        <v>0</v>
      </c>
      <c r="AS72" s="834">
        <f t="shared" si="36"/>
        <v>-168393</v>
      </c>
      <c r="AT72" s="347"/>
      <c r="AU72" s="833">
        <f t="shared" si="36"/>
        <v>0</v>
      </c>
      <c r="AV72" s="833">
        <f t="shared" si="36"/>
        <v>0</v>
      </c>
      <c r="AW72" s="833">
        <f t="shared" si="36"/>
        <v>0</v>
      </c>
      <c r="AX72" s="834">
        <f t="shared" si="36"/>
        <v>0</v>
      </c>
    </row>
    <row r="73" spans="1:50">
      <c r="A73" s="159">
        <v>40</v>
      </c>
      <c r="B73" s="754" t="s">
        <v>186</v>
      </c>
      <c r="C73" s="754"/>
      <c r="D73" s="754"/>
      <c r="E73" s="711">
        <f t="shared" ref="E73:AM73" si="37">E66+E72</f>
        <v>337112</v>
      </c>
      <c r="F73" s="711">
        <f t="shared" si="37"/>
        <v>0</v>
      </c>
      <c r="G73" s="711">
        <f t="shared" si="37"/>
        <v>0</v>
      </c>
      <c r="H73" s="711">
        <f t="shared" si="37"/>
        <v>0</v>
      </c>
      <c r="I73" s="711">
        <f t="shared" si="37"/>
        <v>0</v>
      </c>
      <c r="J73" s="711">
        <f t="shared" si="37"/>
        <v>0</v>
      </c>
      <c r="K73" s="711">
        <f t="shared" si="37"/>
        <v>0</v>
      </c>
      <c r="L73" s="711">
        <f t="shared" si="37"/>
        <v>0</v>
      </c>
      <c r="M73" s="711">
        <f t="shared" si="37"/>
        <v>0</v>
      </c>
      <c r="N73" s="711">
        <f t="shared" si="37"/>
        <v>0</v>
      </c>
      <c r="O73" s="711">
        <f t="shared" si="37"/>
        <v>0</v>
      </c>
      <c r="P73" s="711">
        <f t="shared" si="37"/>
        <v>0</v>
      </c>
      <c r="Q73" s="711">
        <f t="shared" si="37"/>
        <v>0</v>
      </c>
      <c r="R73" s="711">
        <f t="shared" si="37"/>
        <v>0</v>
      </c>
      <c r="S73" s="711">
        <f t="shared" si="37"/>
        <v>0</v>
      </c>
      <c r="T73" s="711">
        <f t="shared" si="37"/>
        <v>0</v>
      </c>
      <c r="U73" s="711">
        <f t="shared" si="37"/>
        <v>0</v>
      </c>
      <c r="V73" s="711">
        <f t="shared" si="37"/>
        <v>0</v>
      </c>
      <c r="W73" s="711">
        <f t="shared" si="37"/>
        <v>0</v>
      </c>
      <c r="X73" s="711">
        <f t="shared" si="37"/>
        <v>17307</v>
      </c>
      <c r="Y73" s="710">
        <f t="shared" si="37"/>
        <v>354419</v>
      </c>
      <c r="Z73" s="711">
        <f t="shared" si="37"/>
        <v>0</v>
      </c>
      <c r="AA73" s="711">
        <f t="shared" si="37"/>
        <v>0</v>
      </c>
      <c r="AB73" s="711">
        <f t="shared" si="37"/>
        <v>0</v>
      </c>
      <c r="AC73" s="711">
        <f t="shared" si="37"/>
        <v>0</v>
      </c>
      <c r="AD73" s="711">
        <f t="shared" si="37"/>
        <v>0</v>
      </c>
      <c r="AE73" s="711">
        <f t="shared" si="37"/>
        <v>0</v>
      </c>
      <c r="AF73" s="711">
        <f t="shared" si="37"/>
        <v>0</v>
      </c>
      <c r="AG73" s="711">
        <f t="shared" si="37"/>
        <v>0</v>
      </c>
      <c r="AH73" s="711">
        <f t="shared" si="37"/>
        <v>0</v>
      </c>
      <c r="AI73" s="711">
        <f t="shared" si="37"/>
        <v>9681</v>
      </c>
      <c r="AJ73" s="711">
        <f t="shared" si="37"/>
        <v>0</v>
      </c>
      <c r="AK73" s="711">
        <f t="shared" si="37"/>
        <v>0</v>
      </c>
      <c r="AL73" s="711">
        <f t="shared" si="37"/>
        <v>0</v>
      </c>
      <c r="AM73" s="755">
        <f t="shared" si="37"/>
        <v>364100</v>
      </c>
      <c r="AN73" s="710"/>
      <c r="AO73" s="711">
        <f>AO66+AO72</f>
        <v>0</v>
      </c>
      <c r="AP73" s="756">
        <f>AP66+AP72</f>
        <v>364100</v>
      </c>
      <c r="AQ73" s="835">
        <f t="shared" ref="AQ73:AX73" si="38">AQ66+AQ72</f>
        <v>0</v>
      </c>
      <c r="AR73" s="835">
        <f t="shared" si="38"/>
        <v>0</v>
      </c>
      <c r="AS73" s="822">
        <f t="shared" si="38"/>
        <v>364100</v>
      </c>
      <c r="AT73" s="347"/>
      <c r="AU73" s="835">
        <f t="shared" si="38"/>
        <v>0</v>
      </c>
      <c r="AV73" s="835">
        <f t="shared" si="38"/>
        <v>0</v>
      </c>
      <c r="AW73" s="835">
        <f t="shared" si="38"/>
        <v>0</v>
      </c>
      <c r="AX73" s="822">
        <f t="shared" si="38"/>
        <v>0</v>
      </c>
    </row>
    <row r="74" spans="1:50" s="328" customFormat="1" ht="13.5" customHeight="1">
      <c r="A74" s="517">
        <v>41</v>
      </c>
      <c r="B74" s="769" t="s">
        <v>113</v>
      </c>
      <c r="C74" s="769"/>
      <c r="D74" s="769"/>
      <c r="E74" s="713">
        <f>'ROO INPUT'!$F74</f>
        <v>-73856</v>
      </c>
      <c r="F74" s="515">
        <v>-325</v>
      </c>
      <c r="G74" s="515">
        <v>0</v>
      </c>
      <c r="H74" s="515">
        <v>0</v>
      </c>
      <c r="I74" s="515">
        <v>0</v>
      </c>
      <c r="J74" s="515">
        <v>0</v>
      </c>
      <c r="K74" s="515">
        <v>0</v>
      </c>
      <c r="L74" s="515">
        <v>0</v>
      </c>
      <c r="M74" s="515">
        <v>0</v>
      </c>
      <c r="N74" s="515">
        <v>0</v>
      </c>
      <c r="O74" s="515">
        <v>0</v>
      </c>
      <c r="P74" s="515">
        <v>0</v>
      </c>
      <c r="Q74" s="515">
        <v>0</v>
      </c>
      <c r="R74" s="515">
        <v>0</v>
      </c>
      <c r="S74" s="515">
        <v>0</v>
      </c>
      <c r="T74" s="515">
        <v>0</v>
      </c>
      <c r="U74" s="515">
        <v>0</v>
      </c>
      <c r="V74" s="515">
        <v>0</v>
      </c>
      <c r="W74" s="515">
        <v>0</v>
      </c>
      <c r="X74" s="515">
        <v>-3147</v>
      </c>
      <c r="Y74" s="761">
        <f>SUM(E74:X74)</f>
        <v>-77328</v>
      </c>
      <c r="Z74" s="515"/>
      <c r="AA74" s="515"/>
      <c r="AB74" s="515"/>
      <c r="AC74" s="515"/>
      <c r="AD74" s="515">
        <v>0</v>
      </c>
      <c r="AE74" s="515">
        <v>0</v>
      </c>
      <c r="AF74" s="515"/>
      <c r="AG74" s="515">
        <v>0</v>
      </c>
      <c r="AH74" s="515"/>
      <c r="AI74" s="515">
        <v>-1809</v>
      </c>
      <c r="AJ74" s="515"/>
      <c r="AK74" s="515"/>
      <c r="AL74" s="515"/>
      <c r="AM74" s="759">
        <f>SUM(Y74:AL74)</f>
        <v>-79137</v>
      </c>
      <c r="AN74" s="710"/>
      <c r="AO74" s="515">
        <v>0</v>
      </c>
      <c r="AP74" s="760">
        <f>SUM(AM74:AO74)</f>
        <v>-79137</v>
      </c>
      <c r="AQ74" s="823">
        <v>0</v>
      </c>
      <c r="AR74" s="836">
        <v>850</v>
      </c>
      <c r="AS74" s="824">
        <f>SUM(AP74:AR74)</f>
        <v>-78287</v>
      </c>
      <c r="AT74" s="347"/>
      <c r="AU74" s="836">
        <v>0</v>
      </c>
      <c r="AV74" s="836">
        <v>0</v>
      </c>
      <c r="AW74" s="836">
        <v>152</v>
      </c>
      <c r="AX74" s="824">
        <f>SUM(AU74:AW74)</f>
        <v>152</v>
      </c>
    </row>
    <row r="75" spans="1:50" s="328" customFormat="1" ht="19.05" customHeight="1">
      <c r="A75" s="517">
        <v>42</v>
      </c>
      <c r="B75" s="769" t="s">
        <v>217</v>
      </c>
      <c r="C75" s="769"/>
      <c r="D75" s="769"/>
      <c r="E75" s="711">
        <f t="shared" ref="E75:AM75" si="39">E73+E74</f>
        <v>263256</v>
      </c>
      <c r="F75" s="711">
        <f t="shared" si="39"/>
        <v>-325</v>
      </c>
      <c r="G75" s="711">
        <f t="shared" si="39"/>
        <v>0</v>
      </c>
      <c r="H75" s="711">
        <f t="shared" si="39"/>
        <v>0</v>
      </c>
      <c r="I75" s="711">
        <f t="shared" si="39"/>
        <v>0</v>
      </c>
      <c r="J75" s="711">
        <f t="shared" si="39"/>
        <v>0</v>
      </c>
      <c r="K75" s="711">
        <f t="shared" si="39"/>
        <v>0</v>
      </c>
      <c r="L75" s="711">
        <f t="shared" si="39"/>
        <v>0</v>
      </c>
      <c r="M75" s="711">
        <f t="shared" si="39"/>
        <v>0</v>
      </c>
      <c r="N75" s="711">
        <f t="shared" si="39"/>
        <v>0</v>
      </c>
      <c r="O75" s="711">
        <f t="shared" si="39"/>
        <v>0</v>
      </c>
      <c r="P75" s="711">
        <f t="shared" si="39"/>
        <v>0</v>
      </c>
      <c r="Q75" s="711">
        <f t="shared" si="39"/>
        <v>0</v>
      </c>
      <c r="R75" s="711">
        <f t="shared" si="39"/>
        <v>0</v>
      </c>
      <c r="S75" s="711">
        <f t="shared" si="39"/>
        <v>0</v>
      </c>
      <c r="T75" s="711">
        <f t="shared" si="39"/>
        <v>0</v>
      </c>
      <c r="U75" s="711">
        <f t="shared" si="39"/>
        <v>0</v>
      </c>
      <c r="V75" s="711">
        <f t="shared" si="39"/>
        <v>0</v>
      </c>
      <c r="W75" s="711">
        <f t="shared" si="39"/>
        <v>0</v>
      </c>
      <c r="X75" s="711">
        <f t="shared" si="39"/>
        <v>14160</v>
      </c>
      <c r="Y75" s="710">
        <f t="shared" si="39"/>
        <v>277091</v>
      </c>
      <c r="Z75" s="711">
        <f t="shared" si="39"/>
        <v>0</v>
      </c>
      <c r="AA75" s="711">
        <f t="shared" si="39"/>
        <v>0</v>
      </c>
      <c r="AB75" s="711">
        <f t="shared" si="39"/>
        <v>0</v>
      </c>
      <c r="AC75" s="711">
        <f t="shared" si="39"/>
        <v>0</v>
      </c>
      <c r="AD75" s="711">
        <f t="shared" si="39"/>
        <v>0</v>
      </c>
      <c r="AE75" s="711">
        <f t="shared" si="39"/>
        <v>0</v>
      </c>
      <c r="AF75" s="711">
        <f t="shared" si="39"/>
        <v>0</v>
      </c>
      <c r="AG75" s="711">
        <f t="shared" si="39"/>
        <v>0</v>
      </c>
      <c r="AH75" s="711">
        <f t="shared" si="39"/>
        <v>0</v>
      </c>
      <c r="AI75" s="711">
        <f t="shared" si="39"/>
        <v>7872</v>
      </c>
      <c r="AJ75" s="711">
        <f t="shared" si="39"/>
        <v>0</v>
      </c>
      <c r="AK75" s="711">
        <f t="shared" si="39"/>
        <v>0</v>
      </c>
      <c r="AL75" s="711">
        <f t="shared" si="39"/>
        <v>0</v>
      </c>
      <c r="AM75" s="755">
        <f t="shared" si="39"/>
        <v>284963</v>
      </c>
      <c r="AN75" s="710"/>
      <c r="AO75" s="711">
        <f>AO73+AO74</f>
        <v>0</v>
      </c>
      <c r="AP75" s="756">
        <f>AP73+AP74</f>
        <v>284963</v>
      </c>
      <c r="AQ75" s="835">
        <f t="shared" ref="AQ75:AX75" si="40">AQ73+AQ74</f>
        <v>0</v>
      </c>
      <c r="AR75" s="835">
        <f t="shared" si="40"/>
        <v>850</v>
      </c>
      <c r="AS75" s="822">
        <f t="shared" si="40"/>
        <v>285813</v>
      </c>
      <c r="AT75" s="347"/>
      <c r="AU75" s="835">
        <f t="shared" si="40"/>
        <v>0</v>
      </c>
      <c r="AV75" s="835">
        <f t="shared" si="40"/>
        <v>0</v>
      </c>
      <c r="AW75" s="835">
        <f t="shared" si="40"/>
        <v>152</v>
      </c>
      <c r="AX75" s="822">
        <f t="shared" si="40"/>
        <v>152</v>
      </c>
    </row>
    <row r="76" spans="1:50">
      <c r="A76" s="159">
        <v>43</v>
      </c>
      <c r="B76" s="754" t="s">
        <v>67</v>
      </c>
      <c r="C76" s="754"/>
      <c r="D76" s="754"/>
      <c r="E76" s="167">
        <f>'ROO INPUT'!$F76</f>
        <v>9116</v>
      </c>
      <c r="F76" s="514">
        <v>0</v>
      </c>
      <c r="G76" s="514">
        <v>0</v>
      </c>
      <c r="H76" s="514">
        <v>0</v>
      </c>
      <c r="I76" s="514">
        <v>0</v>
      </c>
      <c r="J76" s="514">
        <v>0</v>
      </c>
      <c r="K76" s="514">
        <v>0</v>
      </c>
      <c r="L76" s="514">
        <v>0</v>
      </c>
      <c r="M76" s="514">
        <v>0</v>
      </c>
      <c r="N76" s="514">
        <v>0</v>
      </c>
      <c r="O76" s="514">
        <v>0</v>
      </c>
      <c r="P76" s="514">
        <v>0</v>
      </c>
      <c r="Q76" s="514">
        <v>0</v>
      </c>
      <c r="R76" s="514">
        <v>0</v>
      </c>
      <c r="S76" s="514">
        <v>0</v>
      </c>
      <c r="T76" s="514">
        <v>0</v>
      </c>
      <c r="U76" s="514">
        <v>0</v>
      </c>
      <c r="V76" s="514">
        <v>0</v>
      </c>
      <c r="W76" s="514">
        <v>0</v>
      </c>
      <c r="X76" s="514">
        <v>0</v>
      </c>
      <c r="Y76" s="757">
        <f>SUM(E76:X76)</f>
        <v>9116</v>
      </c>
      <c r="Z76" s="514"/>
      <c r="AA76" s="514"/>
      <c r="AB76" s="514"/>
      <c r="AC76" s="514"/>
      <c r="AD76" s="514">
        <v>0</v>
      </c>
      <c r="AE76" s="514">
        <v>0</v>
      </c>
      <c r="AF76" s="514">
        <v>0</v>
      </c>
      <c r="AG76" s="514">
        <v>0</v>
      </c>
      <c r="AH76" s="514"/>
      <c r="AI76" s="516">
        <v>0</v>
      </c>
      <c r="AJ76" s="514"/>
      <c r="AK76" s="514">
        <v>0</v>
      </c>
      <c r="AL76" s="514"/>
      <c r="AM76" s="755">
        <f>SUM(Y76:AL76)</f>
        <v>9116</v>
      </c>
      <c r="AN76" s="710"/>
      <c r="AO76" s="516">
        <v>0</v>
      </c>
      <c r="AP76" s="756">
        <f>SUM(AM76:AO76)</f>
        <v>9116</v>
      </c>
      <c r="AQ76" s="821">
        <v>0</v>
      </c>
      <c r="AR76" s="821">
        <v>0</v>
      </c>
      <c r="AS76" s="822">
        <f>SUM(AP76:AR76)</f>
        <v>9116</v>
      </c>
      <c r="AT76" s="347"/>
      <c r="AU76" s="821">
        <v>0</v>
      </c>
      <c r="AV76" s="821">
        <v>0</v>
      </c>
      <c r="AW76" s="821">
        <v>0</v>
      </c>
      <c r="AX76" s="822">
        <f>SUM(AU76:AW76)</f>
        <v>0</v>
      </c>
    </row>
    <row r="77" spans="1:50" s="328" customFormat="1">
      <c r="A77" s="517">
        <v>44</v>
      </c>
      <c r="B77" s="769" t="s">
        <v>68</v>
      </c>
      <c r="C77" s="769"/>
      <c r="D77" s="769"/>
      <c r="E77" s="167">
        <f>'ROO INPUT'!$F77</f>
        <v>0</v>
      </c>
      <c r="F77" s="516">
        <v>0</v>
      </c>
      <c r="G77" s="516">
        <v>0</v>
      </c>
      <c r="H77" s="516">
        <v>0</v>
      </c>
      <c r="I77" s="516">
        <v>0</v>
      </c>
      <c r="J77" s="516">
        <v>0</v>
      </c>
      <c r="K77" s="516">
        <v>0</v>
      </c>
      <c r="L77" s="516">
        <v>0</v>
      </c>
      <c r="M77" s="516">
        <v>0</v>
      </c>
      <c r="N77" s="516">
        <v>0</v>
      </c>
      <c r="O77" s="516">
        <v>0</v>
      </c>
      <c r="P77" s="516">
        <v>0</v>
      </c>
      <c r="Q77" s="516">
        <v>0</v>
      </c>
      <c r="R77" s="516">
        <v>0</v>
      </c>
      <c r="S77" s="516">
        <v>0</v>
      </c>
      <c r="T77" s="516">
        <v>0</v>
      </c>
      <c r="U77" s="516">
        <v>0</v>
      </c>
      <c r="V77" s="516">
        <v>0</v>
      </c>
      <c r="W77" s="516">
        <v>0</v>
      </c>
      <c r="X77" s="516">
        <v>0</v>
      </c>
      <c r="Y77" s="710">
        <f>SUM(E77:X77)</f>
        <v>0</v>
      </c>
      <c r="Z77" s="516"/>
      <c r="AA77" s="516"/>
      <c r="AB77" s="516"/>
      <c r="AC77" s="516"/>
      <c r="AD77" s="516">
        <v>0</v>
      </c>
      <c r="AE77" s="516">
        <v>0</v>
      </c>
      <c r="AF77" s="516">
        <v>0</v>
      </c>
      <c r="AG77" s="516">
        <v>0</v>
      </c>
      <c r="AH77" s="516"/>
      <c r="AI77" s="516"/>
      <c r="AJ77" s="516"/>
      <c r="AK77" s="516">
        <v>0</v>
      </c>
      <c r="AL77" s="516"/>
      <c r="AM77" s="755">
        <f>SUM(Y77:AL77)</f>
        <v>0</v>
      </c>
      <c r="AN77" s="710"/>
      <c r="AO77" s="516"/>
      <c r="AP77" s="756">
        <f>SUM(AM77:AO77)</f>
        <v>0</v>
      </c>
      <c r="AQ77" s="825">
        <v>0</v>
      </c>
      <c r="AR77" s="825">
        <v>0</v>
      </c>
      <c r="AS77" s="822">
        <f t="shared" ref="AS77:AS79" si="41">SUM(AP77:AR77)</f>
        <v>0</v>
      </c>
      <c r="AT77" s="347"/>
      <c r="AU77" s="825">
        <v>0</v>
      </c>
      <c r="AV77" s="825">
        <v>0</v>
      </c>
      <c r="AW77" s="825">
        <v>0</v>
      </c>
      <c r="AX77" s="822">
        <f>SUM(AU77:AW77)</f>
        <v>0</v>
      </c>
    </row>
    <row r="78" spans="1:50" s="328" customFormat="1">
      <c r="A78" s="517">
        <v>45</v>
      </c>
      <c r="B78" s="769" t="s">
        <v>435</v>
      </c>
      <c r="C78" s="769"/>
      <c r="D78" s="769"/>
      <c r="E78" s="167">
        <f>'ROO INPUT'!$F78</f>
        <v>-249</v>
      </c>
      <c r="F78" s="516"/>
      <c r="G78" s="516">
        <v>0</v>
      </c>
      <c r="H78" s="516"/>
      <c r="I78" s="516"/>
      <c r="J78" s="516"/>
      <c r="K78" s="516"/>
      <c r="L78" s="516"/>
      <c r="M78" s="516"/>
      <c r="N78" s="516"/>
      <c r="O78" s="516"/>
      <c r="P78" s="516"/>
      <c r="Q78" s="516"/>
      <c r="R78" s="516"/>
      <c r="S78" s="516"/>
      <c r="T78" s="516"/>
      <c r="U78" s="516"/>
      <c r="V78" s="516"/>
      <c r="W78" s="516"/>
      <c r="X78" s="516"/>
      <c r="Y78" s="710">
        <f>SUM(E78:X78)</f>
        <v>-249</v>
      </c>
      <c r="Z78" s="516"/>
      <c r="AA78" s="516"/>
      <c r="AB78" s="516"/>
      <c r="AC78" s="516"/>
      <c r="AD78" s="516"/>
      <c r="AE78" s="516"/>
      <c r="AF78" s="516"/>
      <c r="AG78" s="516"/>
      <c r="AH78" s="516"/>
      <c r="AI78" s="516"/>
      <c r="AJ78" s="516"/>
      <c r="AK78" s="516"/>
      <c r="AL78" s="516">
        <v>1474</v>
      </c>
      <c r="AM78" s="755">
        <f>SUM(Y78:AL78)</f>
        <v>1225</v>
      </c>
      <c r="AN78" s="710"/>
      <c r="AO78" s="516"/>
      <c r="AP78" s="756">
        <f>SUM(AM78:AO78)</f>
        <v>1225</v>
      </c>
      <c r="AQ78" s="825">
        <v>0</v>
      </c>
      <c r="AR78" s="837">
        <v>0</v>
      </c>
      <c r="AS78" s="822">
        <f t="shared" si="41"/>
        <v>1225</v>
      </c>
      <c r="AT78" s="347"/>
      <c r="AU78" s="827">
        <v>1048</v>
      </c>
      <c r="AV78" s="827">
        <v>0</v>
      </c>
      <c r="AW78" s="827">
        <v>0</v>
      </c>
      <c r="AX78" s="822">
        <f>SUM(AU78:AW78)</f>
        <v>1048</v>
      </c>
    </row>
    <row r="79" spans="1:50">
      <c r="A79" s="159">
        <v>46</v>
      </c>
      <c r="B79" s="754" t="s">
        <v>189</v>
      </c>
      <c r="C79" s="754"/>
      <c r="D79" s="754"/>
      <c r="E79" s="713">
        <f>'ROO INPUT'!$F79</f>
        <v>15664</v>
      </c>
      <c r="F79" s="515">
        <v>0</v>
      </c>
      <c r="G79" s="515">
        <v>0</v>
      </c>
      <c r="H79" s="515">
        <v>-4182</v>
      </c>
      <c r="I79" s="515">
        <v>0</v>
      </c>
      <c r="J79" s="515">
        <v>0</v>
      </c>
      <c r="K79" s="515">
        <v>0</v>
      </c>
      <c r="L79" s="515">
        <v>0</v>
      </c>
      <c r="M79" s="515">
        <v>0</v>
      </c>
      <c r="N79" s="515">
        <v>0</v>
      </c>
      <c r="O79" s="515">
        <v>0</v>
      </c>
      <c r="P79" s="515">
        <v>0</v>
      </c>
      <c r="Q79" s="515">
        <v>0</v>
      </c>
      <c r="R79" s="515">
        <v>0</v>
      </c>
      <c r="S79" s="515">
        <v>0</v>
      </c>
      <c r="T79" s="515">
        <v>0</v>
      </c>
      <c r="U79" s="515">
        <v>0</v>
      </c>
      <c r="V79" s="515">
        <v>0</v>
      </c>
      <c r="W79" s="515">
        <v>0</v>
      </c>
      <c r="X79" s="515">
        <v>0</v>
      </c>
      <c r="Y79" s="761">
        <f>SUM(E79:X79)</f>
        <v>11482</v>
      </c>
      <c r="Z79" s="515"/>
      <c r="AA79" s="515"/>
      <c r="AB79" s="515"/>
      <c r="AC79" s="515"/>
      <c r="AD79" s="515">
        <v>0</v>
      </c>
      <c r="AE79" s="515">
        <v>0</v>
      </c>
      <c r="AF79" s="515">
        <v>0</v>
      </c>
      <c r="AG79" s="515">
        <v>0</v>
      </c>
      <c r="AH79" s="515"/>
      <c r="AI79" s="515"/>
      <c r="AJ79" s="515"/>
      <c r="AK79" s="515">
        <v>0</v>
      </c>
      <c r="AL79" s="515"/>
      <c r="AM79" s="759">
        <f>SUM(Y79:AL79)</f>
        <v>11482</v>
      </c>
      <c r="AN79" s="710"/>
      <c r="AO79" s="515"/>
      <c r="AP79" s="760">
        <f>SUM(AM79:AO79)</f>
        <v>11482</v>
      </c>
      <c r="AQ79" s="823">
        <v>0</v>
      </c>
      <c r="AR79" s="823">
        <v>0</v>
      </c>
      <c r="AS79" s="824">
        <f t="shared" si="41"/>
        <v>11482</v>
      </c>
      <c r="AT79" s="347"/>
      <c r="AU79" s="823">
        <v>0</v>
      </c>
      <c r="AV79" s="823">
        <v>0</v>
      </c>
      <c r="AW79" s="823">
        <v>0</v>
      </c>
      <c r="AX79" s="824">
        <f>SUM(AU79:AW79)</f>
        <v>0</v>
      </c>
    </row>
    <row r="80" spans="1:50" ht="7.5" customHeight="1">
      <c r="A80" s="159"/>
      <c r="B80" s="156"/>
      <c r="C80" s="156"/>
      <c r="D80" s="156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682"/>
      <c r="V80" s="682"/>
      <c r="W80" s="122"/>
      <c r="X80" s="122"/>
      <c r="Y80" s="682"/>
      <c r="Z80" s="122"/>
      <c r="AA80" s="682"/>
      <c r="AB80" s="682"/>
      <c r="AC80" s="682"/>
      <c r="AD80" s="682"/>
      <c r="AE80" s="122"/>
      <c r="AF80" s="122"/>
      <c r="AG80" s="122"/>
      <c r="AH80" s="122"/>
      <c r="AI80" s="521"/>
      <c r="AJ80" s="122"/>
      <c r="AK80" s="122"/>
      <c r="AL80" s="122"/>
      <c r="AM80" s="747"/>
      <c r="AN80" s="678"/>
      <c r="AO80" s="521"/>
      <c r="AP80" s="748"/>
      <c r="AQ80" s="320"/>
      <c r="AR80" s="320"/>
      <c r="AS80" s="817"/>
      <c r="AT80" s="350"/>
      <c r="AU80" s="320"/>
      <c r="AV80" s="320"/>
      <c r="AW80" s="320"/>
      <c r="AX80" s="817"/>
    </row>
    <row r="81" spans="1:50" ht="6.75" customHeight="1">
      <c r="A81" s="159"/>
      <c r="B81" s="156"/>
      <c r="C81" s="156"/>
      <c r="D81" s="156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757"/>
      <c r="Z81" s="167"/>
      <c r="AA81" s="167"/>
      <c r="AB81" s="167"/>
      <c r="AC81" s="167"/>
      <c r="AD81" s="167"/>
      <c r="AE81" s="167"/>
      <c r="AF81" s="167"/>
      <c r="AG81" s="167"/>
      <c r="AH81" s="167"/>
      <c r="AI81" s="711"/>
      <c r="AJ81" s="167"/>
      <c r="AK81" s="167"/>
      <c r="AL81" s="167"/>
      <c r="AM81" s="755"/>
      <c r="AN81" s="710"/>
      <c r="AO81" s="711"/>
      <c r="AP81" s="756"/>
      <c r="AQ81" s="297"/>
      <c r="AR81" s="297"/>
      <c r="AS81" s="822"/>
      <c r="AT81" s="347"/>
      <c r="AU81" s="297"/>
      <c r="AV81" s="297"/>
      <c r="AW81" s="297"/>
      <c r="AX81" s="822"/>
    </row>
    <row r="82" spans="1:50" s="329" customFormat="1" thickBot="1">
      <c r="A82" s="683">
        <v>47</v>
      </c>
      <c r="B82" s="770" t="s">
        <v>69</v>
      </c>
      <c r="C82" s="770"/>
      <c r="D82" s="770"/>
      <c r="E82" s="720">
        <f t="shared" ref="E82:AM82" si="42">E75+E76+E77+E79+E78</f>
        <v>287787</v>
      </c>
      <c r="F82" s="720">
        <f t="shared" si="42"/>
        <v>-325</v>
      </c>
      <c r="G82" s="720">
        <f t="shared" si="42"/>
        <v>0</v>
      </c>
      <c r="H82" s="720">
        <f t="shared" si="42"/>
        <v>-4182</v>
      </c>
      <c r="I82" s="720">
        <f t="shared" si="42"/>
        <v>0</v>
      </c>
      <c r="J82" s="720">
        <f t="shared" si="42"/>
        <v>0</v>
      </c>
      <c r="K82" s="720">
        <f t="shared" si="42"/>
        <v>0</v>
      </c>
      <c r="L82" s="720">
        <f t="shared" si="42"/>
        <v>0</v>
      </c>
      <c r="M82" s="720">
        <f t="shared" si="42"/>
        <v>0</v>
      </c>
      <c r="N82" s="720">
        <f t="shared" si="42"/>
        <v>0</v>
      </c>
      <c r="O82" s="720">
        <f t="shared" si="42"/>
        <v>0</v>
      </c>
      <c r="P82" s="720">
        <f t="shared" si="42"/>
        <v>0</v>
      </c>
      <c r="Q82" s="720">
        <f t="shared" si="42"/>
        <v>0</v>
      </c>
      <c r="R82" s="720">
        <f t="shared" si="42"/>
        <v>0</v>
      </c>
      <c r="S82" s="720">
        <f t="shared" si="42"/>
        <v>0</v>
      </c>
      <c r="T82" s="720">
        <f t="shared" si="42"/>
        <v>0</v>
      </c>
      <c r="U82" s="720">
        <f t="shared" si="42"/>
        <v>0</v>
      </c>
      <c r="V82" s="720">
        <f t="shared" si="42"/>
        <v>0</v>
      </c>
      <c r="W82" s="720">
        <f t="shared" si="42"/>
        <v>0</v>
      </c>
      <c r="X82" s="720">
        <f t="shared" si="42"/>
        <v>14160</v>
      </c>
      <c r="Y82" s="720">
        <f t="shared" si="42"/>
        <v>297440</v>
      </c>
      <c r="Z82" s="720">
        <f t="shared" si="42"/>
        <v>0</v>
      </c>
      <c r="AA82" s="720">
        <f t="shared" si="42"/>
        <v>0</v>
      </c>
      <c r="AB82" s="720">
        <f t="shared" si="42"/>
        <v>0</v>
      </c>
      <c r="AC82" s="720">
        <f t="shared" si="42"/>
        <v>0</v>
      </c>
      <c r="AD82" s="720">
        <f t="shared" si="42"/>
        <v>0</v>
      </c>
      <c r="AE82" s="720">
        <f t="shared" si="42"/>
        <v>0</v>
      </c>
      <c r="AF82" s="720">
        <f t="shared" si="42"/>
        <v>0</v>
      </c>
      <c r="AG82" s="720">
        <f t="shared" si="42"/>
        <v>0</v>
      </c>
      <c r="AH82" s="720">
        <f t="shared" si="42"/>
        <v>0</v>
      </c>
      <c r="AI82" s="720">
        <f t="shared" si="42"/>
        <v>7872</v>
      </c>
      <c r="AJ82" s="720">
        <f t="shared" si="42"/>
        <v>0</v>
      </c>
      <c r="AK82" s="720">
        <f t="shared" si="42"/>
        <v>0</v>
      </c>
      <c r="AL82" s="720">
        <f t="shared" si="42"/>
        <v>1474</v>
      </c>
      <c r="AM82" s="764">
        <f t="shared" si="42"/>
        <v>306786</v>
      </c>
      <c r="AN82" s="709"/>
      <c r="AO82" s="720">
        <f>AO75+AO76+AO77+AO79+AO78</f>
        <v>0</v>
      </c>
      <c r="AP82" s="765">
        <f>AP75+AP76+AP77+AP79+AP78</f>
        <v>306786</v>
      </c>
      <c r="AQ82" s="838">
        <f t="shared" ref="AQ82:AX82" si="43">AQ75+AQ76+AQ77+AQ79+AQ78</f>
        <v>0</v>
      </c>
      <c r="AR82" s="838">
        <f t="shared" si="43"/>
        <v>850</v>
      </c>
      <c r="AS82" s="832">
        <f t="shared" si="43"/>
        <v>307636</v>
      </c>
      <c r="AT82" s="351"/>
      <c r="AU82" s="838">
        <f t="shared" si="43"/>
        <v>1048</v>
      </c>
      <c r="AV82" s="838">
        <f t="shared" si="43"/>
        <v>0</v>
      </c>
      <c r="AW82" s="838">
        <f t="shared" si="43"/>
        <v>152</v>
      </c>
      <c r="AX82" s="832">
        <f t="shared" si="43"/>
        <v>1200</v>
      </c>
    </row>
    <row r="83" spans="1:50" ht="12.6" thickTop="1">
      <c r="A83" s="771">
        <v>50</v>
      </c>
      <c r="B83" s="772" t="s">
        <v>559</v>
      </c>
      <c r="C83" s="772"/>
      <c r="D83" s="772"/>
      <c r="E83" s="158">
        <f>ROUND(E59/E82,4)</f>
        <v>8.1500000000000003E-2</v>
      </c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248"/>
      <c r="S83" s="248"/>
      <c r="T83" s="248"/>
      <c r="U83" s="327"/>
      <c r="V83" s="327"/>
      <c r="W83" s="248"/>
      <c r="X83" s="248"/>
      <c r="Y83" s="341"/>
      <c r="Z83" s="297"/>
      <c r="AA83" s="327"/>
      <c r="AB83" s="327"/>
      <c r="AC83" s="327"/>
      <c r="AD83" s="327"/>
      <c r="AE83" s="248"/>
      <c r="AF83" s="248"/>
      <c r="AG83" s="248"/>
      <c r="AH83" s="297"/>
      <c r="AI83" s="397"/>
      <c r="AJ83" s="248"/>
      <c r="AK83" s="248"/>
      <c r="AL83" s="297"/>
      <c r="AM83" s="344"/>
      <c r="AN83" s="352"/>
      <c r="AO83" s="397"/>
      <c r="AP83" s="345"/>
      <c r="AQ83" s="297"/>
      <c r="AR83" s="297"/>
      <c r="AS83" s="345"/>
      <c r="AT83" s="352"/>
      <c r="AU83" s="297"/>
      <c r="AV83" s="297"/>
      <c r="AW83" s="297"/>
      <c r="AX83" s="345"/>
    </row>
    <row r="84" spans="1:50" ht="13.2">
      <c r="A84" s="773">
        <v>51</v>
      </c>
      <c r="B84" s="772" t="s">
        <v>560</v>
      </c>
      <c r="C84" s="772"/>
      <c r="D84" s="772"/>
      <c r="E84" s="774">
        <f>+E90</f>
        <v>-4414.2682331985598</v>
      </c>
      <c r="F84" s="774">
        <f t="shared" ref="F84:AP84" si="44">+F90</f>
        <v>-32.641877272917952</v>
      </c>
      <c r="G84" s="774">
        <f t="shared" si="44"/>
        <v>2.0974575587530131</v>
      </c>
      <c r="H84" s="774">
        <f t="shared" si="44"/>
        <v>-420.02563309336267</v>
      </c>
      <c r="I84" s="774">
        <f t="shared" si="44"/>
        <v>33.55932094004821</v>
      </c>
      <c r="J84" s="774">
        <f t="shared" si="44"/>
        <v>271.62075385851523</v>
      </c>
      <c r="K84" s="774">
        <f t="shared" si="44"/>
        <v>-404.80930883933155</v>
      </c>
      <c r="L84" s="774">
        <f t="shared" si="44"/>
        <v>-3.1461863381295201</v>
      </c>
      <c r="M84" s="774">
        <f t="shared" si="44"/>
        <v>79.703387232614517</v>
      </c>
      <c r="N84" s="774">
        <f t="shared" si="44"/>
        <v>0</v>
      </c>
      <c r="O84" s="774">
        <f t="shared" si="44"/>
        <v>-9.4385590143885594</v>
      </c>
      <c r="P84" s="774">
        <f t="shared" si="44"/>
        <v>2.0974575587530131</v>
      </c>
      <c r="Q84" s="774">
        <f t="shared" si="44"/>
        <v>-13.633474131894586</v>
      </c>
      <c r="R84" s="774">
        <f t="shared" si="44"/>
        <v>18.877118028777119</v>
      </c>
      <c r="S84" s="774">
        <f t="shared" si="44"/>
        <v>499.19489898321712</v>
      </c>
      <c r="T84" s="774">
        <f t="shared" si="44"/>
        <v>-330.34956550359959</v>
      </c>
      <c r="U84" s="774">
        <f t="shared" si="44"/>
        <v>1131.5783529472508</v>
      </c>
      <c r="V84" s="774">
        <f t="shared" si="44"/>
        <v>-175.13770615587663</v>
      </c>
      <c r="W84" s="774">
        <f t="shared" si="44"/>
        <v>-108.09973572034761</v>
      </c>
      <c r="X84" s="774">
        <f t="shared" si="44"/>
        <v>1422.1814836446713</v>
      </c>
      <c r="Y84" s="774">
        <f t="shared" si="44"/>
        <v>-2450.6400485158092</v>
      </c>
      <c r="Z84" s="774">
        <f t="shared" si="44"/>
        <v>364.95761522302428</v>
      </c>
      <c r="AA84" s="774">
        <f t="shared" si="44"/>
        <v>916.58895317506676</v>
      </c>
      <c r="AB84" s="774">
        <f t="shared" si="44"/>
        <v>-10.487287793765066</v>
      </c>
      <c r="AC84" s="774">
        <f t="shared" si="44"/>
        <v>-184.57626517026517</v>
      </c>
      <c r="AD84" s="774">
        <f t="shared" si="44"/>
        <v>0</v>
      </c>
      <c r="AE84" s="774">
        <f t="shared" si="44"/>
        <v>449.90464635252135</v>
      </c>
      <c r="AF84" s="774">
        <f t="shared" si="44"/>
        <v>210.79448465467783</v>
      </c>
      <c r="AG84" s="774">
        <f t="shared" si="44"/>
        <v>876.73725955875966</v>
      </c>
      <c r="AH84" s="774">
        <f t="shared" si="44"/>
        <v>-1131.5783529472508</v>
      </c>
      <c r="AI84" s="774">
        <f t="shared" si="44"/>
        <v>1304.5135877172886</v>
      </c>
      <c r="AJ84" s="774">
        <f t="shared" si="44"/>
        <v>0</v>
      </c>
      <c r="AK84" s="774">
        <f t="shared" si="44"/>
        <v>0</v>
      </c>
      <c r="AL84" s="774">
        <f t="shared" si="44"/>
        <v>760.50107515674472</v>
      </c>
      <c r="AM84" s="774">
        <f t="shared" si="44"/>
        <v>1106.7156674109913</v>
      </c>
      <c r="AN84" s="774">
        <f t="shared" si="44"/>
        <v>0</v>
      </c>
      <c r="AO84" s="774">
        <f t="shared" si="44"/>
        <v>0</v>
      </c>
      <c r="AP84" s="781">
        <f t="shared" si="44"/>
        <v>1106.7156674109913</v>
      </c>
      <c r="AQ84" s="856">
        <f>+AQ91</f>
        <v>-3836.4225258591277</v>
      </c>
      <c r="AR84" s="856">
        <f>+AR91</f>
        <v>-1209.0081096819783</v>
      </c>
      <c r="AS84" s="856">
        <f>SUM(AP84:AR84)+AP92</f>
        <v>-4134.8418510575157</v>
      </c>
      <c r="AT84" s="350"/>
      <c r="AU84" s="856">
        <f t="shared" ref="AU84:AW84" si="45">+AU91</f>
        <v>-1143.8743691817128</v>
      </c>
      <c r="AV84" s="856">
        <f t="shared" si="45"/>
        <v>-1716.6147308353268</v>
      </c>
      <c r="AW84" s="856">
        <f t="shared" si="45"/>
        <v>-389.68220123643783</v>
      </c>
      <c r="AX84" s="856">
        <f>SUM(AU84:AW84)</f>
        <v>-3250.1713012534774</v>
      </c>
    </row>
    <row r="85" spans="1:50" ht="21" customHeight="1" thickBot="1">
      <c r="A85" s="149" t="s">
        <v>564</v>
      </c>
      <c r="B85" s="125" t="s">
        <v>563</v>
      </c>
      <c r="C85" s="125"/>
      <c r="D85" s="12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248"/>
      <c r="S85" s="248"/>
      <c r="T85" s="248"/>
      <c r="U85" s="327"/>
      <c r="V85" s="327"/>
      <c r="W85" s="248"/>
      <c r="X85" s="248"/>
      <c r="Y85" s="327"/>
      <c r="Z85" s="297"/>
      <c r="AA85" s="327"/>
      <c r="AB85" s="327"/>
      <c r="AC85" s="327"/>
      <c r="AD85" s="327"/>
      <c r="AE85" s="248"/>
      <c r="AF85" s="248"/>
      <c r="AG85" s="248"/>
      <c r="AH85" s="297"/>
      <c r="AI85" s="297"/>
      <c r="AJ85" s="248"/>
      <c r="AK85" s="248"/>
      <c r="AL85" s="297"/>
      <c r="AM85" s="327"/>
      <c r="AN85" s="347"/>
      <c r="AO85" s="297"/>
      <c r="AP85" s="327"/>
      <c r="AQ85" s="320">
        <f>+AP92</f>
        <v>-196.1268829274004</v>
      </c>
      <c r="AR85" s="947" t="s">
        <v>587</v>
      </c>
      <c r="AS85" s="947"/>
      <c r="AT85" s="839"/>
      <c r="AU85" s="840"/>
      <c r="AV85" s="840"/>
      <c r="AW85" s="840"/>
      <c r="AX85" s="350"/>
    </row>
    <row r="86" spans="1:50" s="331" customFormat="1" ht="20.55" customHeight="1" thickBot="1">
      <c r="A86" s="155"/>
      <c r="B86" s="156"/>
      <c r="C86" s="156"/>
      <c r="D86" s="852" t="s">
        <v>589</v>
      </c>
      <c r="E86" s="158">
        <f>+'RR SUMMARY'!N26</f>
        <v>7.2004799999999994E-2</v>
      </c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297"/>
      <c r="S86" s="297"/>
      <c r="T86" s="297"/>
      <c r="U86" s="332"/>
      <c r="V86" s="332"/>
      <c r="W86" s="297"/>
      <c r="X86" s="297"/>
      <c r="Y86" s="332"/>
      <c r="Z86" s="297"/>
      <c r="AA86" s="332"/>
      <c r="AB86" s="332"/>
      <c r="AC86" s="332"/>
      <c r="AD86" s="332"/>
      <c r="AE86" s="297"/>
      <c r="AF86" s="297"/>
      <c r="AG86" s="297"/>
      <c r="AH86" s="297"/>
      <c r="AI86" s="297"/>
      <c r="AJ86" s="297"/>
      <c r="AK86" s="297"/>
      <c r="AL86" s="297"/>
      <c r="AM86" s="332"/>
      <c r="AN86" s="347"/>
      <c r="AO86" s="297"/>
      <c r="AP86" s="332"/>
      <c r="AQ86" s="857">
        <f>AQ84+AQ85</f>
        <v>-4032.5494087865281</v>
      </c>
      <c r="AR86" s="948" t="s">
        <v>588</v>
      </c>
      <c r="AS86" s="948"/>
      <c r="AT86" s="841"/>
      <c r="AU86" s="842"/>
      <c r="AV86" s="842"/>
      <c r="AW86" s="842"/>
      <c r="AX86" s="842"/>
    </row>
    <row r="87" spans="1:50" s="331" customFormat="1" ht="17.25" customHeight="1">
      <c r="A87" s="159"/>
      <c r="B87" s="156"/>
      <c r="C87" s="156"/>
      <c r="D87" s="852" t="s">
        <v>590</v>
      </c>
      <c r="E87" s="855">
        <f>+CF!E27</f>
        <v>0.61979799999999996</v>
      </c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297"/>
      <c r="S87" s="297"/>
      <c r="T87" s="297"/>
      <c r="U87" s="332"/>
      <c r="V87" s="332"/>
      <c r="W87" s="297"/>
      <c r="X87" s="297"/>
      <c r="Y87" s="332"/>
      <c r="Z87" s="297"/>
      <c r="AA87" s="332"/>
      <c r="AB87" s="332"/>
      <c r="AC87" s="332"/>
      <c r="AD87" s="332"/>
      <c r="AE87" s="297"/>
      <c r="AF87" s="297"/>
      <c r="AG87" s="297"/>
      <c r="AH87" s="297"/>
      <c r="AI87" s="297"/>
      <c r="AJ87" s="297"/>
      <c r="AK87" s="297"/>
      <c r="AL87" s="297"/>
      <c r="AM87" s="332"/>
      <c r="AN87" s="347"/>
      <c r="AO87" s="297"/>
      <c r="AP87" s="332"/>
      <c r="AQ87" s="848"/>
      <c r="AR87" s="848"/>
      <c r="AS87" s="849"/>
      <c r="AT87" s="347"/>
      <c r="AU87" s="297"/>
      <c r="AV87" s="297"/>
      <c r="AW87" s="297"/>
      <c r="AX87" s="332"/>
    </row>
    <row r="88" spans="1:50" s="331" customFormat="1" ht="12.75" customHeight="1">
      <c r="A88" s="159"/>
      <c r="B88" s="156"/>
      <c r="C88" s="156"/>
      <c r="D88" s="803" t="s">
        <v>591</v>
      </c>
      <c r="E88" s="854">
        <v>0.75329299999999999</v>
      </c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297"/>
      <c r="S88" s="297"/>
      <c r="T88" s="297"/>
      <c r="U88" s="332"/>
      <c r="V88" s="332"/>
      <c r="W88" s="297"/>
      <c r="X88" s="297"/>
      <c r="Y88" s="332"/>
      <c r="Z88" s="297"/>
      <c r="AA88" s="332"/>
      <c r="AB88" s="332"/>
      <c r="AC88" s="332"/>
      <c r="AD88" s="332"/>
      <c r="AE88" s="297"/>
      <c r="AF88" s="297"/>
      <c r="AG88" s="297"/>
      <c r="AH88" s="297"/>
      <c r="AI88" s="297"/>
      <c r="AJ88" s="297"/>
      <c r="AK88" s="297"/>
      <c r="AL88" s="297"/>
      <c r="AM88" s="332"/>
      <c r="AN88" s="347"/>
      <c r="AO88" s="297"/>
      <c r="AP88" s="332"/>
      <c r="AQ88" s="848"/>
      <c r="AR88" s="848"/>
      <c r="AS88" s="849"/>
      <c r="AT88" s="347"/>
      <c r="AU88" s="297"/>
      <c r="AV88" s="297"/>
      <c r="AW88" s="297"/>
      <c r="AX88" s="332"/>
    </row>
    <row r="89" spans="1:50" s="331" customFormat="1" ht="17.100000000000001" customHeight="1">
      <c r="A89" s="159"/>
      <c r="B89" s="156"/>
      <c r="C89" s="156"/>
      <c r="D89" s="157" t="s">
        <v>168</v>
      </c>
      <c r="E89" s="888">
        <f t="shared" ref="E89:AM89" si="46">E82*$E$86-E59</f>
        <v>-2735.9546224000005</v>
      </c>
      <c r="F89" s="888">
        <f t="shared" si="46"/>
        <v>-20.231370249999998</v>
      </c>
      <c r="G89" s="888">
        <f t="shared" si="46"/>
        <v>1.3</v>
      </c>
      <c r="H89" s="888">
        <f t="shared" si="46"/>
        <v>-260.33104734</v>
      </c>
      <c r="I89" s="888">
        <f t="shared" si="46"/>
        <v>20.8</v>
      </c>
      <c r="J89" s="888">
        <f t="shared" si="46"/>
        <v>168.35000000000002</v>
      </c>
      <c r="K89" s="888">
        <f t="shared" si="46"/>
        <v>-250.9</v>
      </c>
      <c r="L89" s="888">
        <f t="shared" si="46"/>
        <v>-1.9500000000000002</v>
      </c>
      <c r="M89" s="888">
        <f t="shared" si="46"/>
        <v>49.400000000000006</v>
      </c>
      <c r="N89" s="888">
        <f t="shared" si="46"/>
        <v>0</v>
      </c>
      <c r="O89" s="888">
        <f t="shared" si="46"/>
        <v>-5.85</v>
      </c>
      <c r="P89" s="888">
        <f t="shared" si="46"/>
        <v>1.3</v>
      </c>
      <c r="Q89" s="888">
        <f t="shared" si="46"/>
        <v>-8.4499999999999993</v>
      </c>
      <c r="R89" s="889">
        <f t="shared" si="46"/>
        <v>11.7</v>
      </c>
      <c r="S89" s="889">
        <f t="shared" si="46"/>
        <v>309.39999999999998</v>
      </c>
      <c r="T89" s="889">
        <f t="shared" si="46"/>
        <v>-204.75</v>
      </c>
      <c r="U89" s="889">
        <f t="shared" si="46"/>
        <v>701.35</v>
      </c>
      <c r="V89" s="889">
        <f t="shared" si="46"/>
        <v>-108.55000000000001</v>
      </c>
      <c r="W89" s="889">
        <f t="shared" si="46"/>
        <v>-67</v>
      </c>
      <c r="X89" s="889">
        <f t="shared" si="46"/>
        <v>881.46523919999993</v>
      </c>
      <c r="Y89" s="889">
        <f t="shared" si="46"/>
        <v>-1518.9018007900013</v>
      </c>
      <c r="Z89" s="889">
        <f t="shared" si="46"/>
        <v>226.2</v>
      </c>
      <c r="AA89" s="889">
        <f t="shared" si="46"/>
        <v>568.1</v>
      </c>
      <c r="AB89" s="889">
        <f t="shared" si="46"/>
        <v>-6.5</v>
      </c>
      <c r="AC89" s="889">
        <f t="shared" si="46"/>
        <v>-114.4</v>
      </c>
      <c r="AD89" s="889">
        <f t="shared" si="46"/>
        <v>0</v>
      </c>
      <c r="AE89" s="889">
        <f t="shared" si="46"/>
        <v>278.85000000000002</v>
      </c>
      <c r="AF89" s="889">
        <f t="shared" si="46"/>
        <v>130.65</v>
      </c>
      <c r="AG89" s="889">
        <f t="shared" si="46"/>
        <v>543.40000000000009</v>
      </c>
      <c r="AH89" s="889">
        <f t="shared" si="46"/>
        <v>-701.35</v>
      </c>
      <c r="AI89" s="889">
        <f t="shared" si="46"/>
        <v>808.53491264000002</v>
      </c>
      <c r="AJ89" s="889">
        <f t="shared" si="46"/>
        <v>0</v>
      </c>
      <c r="AK89" s="889">
        <f t="shared" si="46"/>
        <v>0</v>
      </c>
      <c r="AL89" s="889">
        <f t="shared" si="46"/>
        <v>471.35704538000005</v>
      </c>
      <c r="AM89" s="886">
        <f t="shared" si="46"/>
        <v>685.94015722999757</v>
      </c>
      <c r="AN89" s="886"/>
      <c r="AO89" s="889">
        <f>AO82*$E$86-AO59</f>
        <v>0</v>
      </c>
      <c r="AP89" s="886">
        <f>AP82*$E$86-AP59</f>
        <v>685.94015722999757</v>
      </c>
      <c r="AQ89" s="886">
        <f t="shared" ref="AQ89:AR89" si="47">AQ82*$E$86-AQ59</f>
        <v>-2889.950233772</v>
      </c>
      <c r="AR89" s="886">
        <f t="shared" si="47"/>
        <v>-910.73734596666657</v>
      </c>
      <c r="AS89" s="892"/>
      <c r="AT89" s="893"/>
      <c r="AU89" s="886">
        <f t="shared" ref="AU89:AV89" si="48">AU82*$E$86-AU59</f>
        <v>-861.67255518399998</v>
      </c>
      <c r="AV89" s="886">
        <f t="shared" si="48"/>
        <v>-1293.1138604351358</v>
      </c>
      <c r="AW89" s="886">
        <f t="shared" ref="AW89" si="49">AW82*$E$86-AW59</f>
        <v>-293.54487441599997</v>
      </c>
      <c r="AX89" s="893"/>
    </row>
    <row r="90" spans="1:50" s="331" customFormat="1">
      <c r="A90" s="159"/>
      <c r="B90" s="156"/>
      <c r="C90" s="156"/>
      <c r="D90" s="157" t="s">
        <v>149</v>
      </c>
      <c r="E90" s="888">
        <f>E89/$E$87</f>
        <v>-4414.2682331985598</v>
      </c>
      <c r="F90" s="888">
        <f t="shared" ref="F90:AO90" si="50">F89/$E$87</f>
        <v>-32.641877272917952</v>
      </c>
      <c r="G90" s="888">
        <f t="shared" si="50"/>
        <v>2.0974575587530131</v>
      </c>
      <c r="H90" s="888">
        <f t="shared" si="50"/>
        <v>-420.02563309336267</v>
      </c>
      <c r="I90" s="888">
        <f t="shared" si="50"/>
        <v>33.55932094004821</v>
      </c>
      <c r="J90" s="888">
        <f t="shared" si="50"/>
        <v>271.62075385851523</v>
      </c>
      <c r="K90" s="888">
        <f t="shared" si="50"/>
        <v>-404.80930883933155</v>
      </c>
      <c r="L90" s="888">
        <f t="shared" si="50"/>
        <v>-3.1461863381295201</v>
      </c>
      <c r="M90" s="888">
        <f t="shared" si="50"/>
        <v>79.703387232614517</v>
      </c>
      <c r="N90" s="888">
        <f t="shared" si="50"/>
        <v>0</v>
      </c>
      <c r="O90" s="888">
        <f t="shared" si="50"/>
        <v>-9.4385590143885594</v>
      </c>
      <c r="P90" s="888">
        <f t="shared" si="50"/>
        <v>2.0974575587530131</v>
      </c>
      <c r="Q90" s="888">
        <f t="shared" si="50"/>
        <v>-13.633474131894586</v>
      </c>
      <c r="R90" s="889">
        <f t="shared" si="50"/>
        <v>18.877118028777119</v>
      </c>
      <c r="S90" s="889">
        <f t="shared" si="50"/>
        <v>499.19489898321712</v>
      </c>
      <c r="T90" s="889">
        <f t="shared" si="50"/>
        <v>-330.34956550359959</v>
      </c>
      <c r="U90" s="889">
        <f t="shared" si="50"/>
        <v>1131.5783529472508</v>
      </c>
      <c r="V90" s="889">
        <f t="shared" si="50"/>
        <v>-175.13770615587663</v>
      </c>
      <c r="W90" s="889">
        <f t="shared" si="50"/>
        <v>-108.09973572034761</v>
      </c>
      <c r="X90" s="889">
        <f t="shared" ref="X90" si="51">X89/$E$87</f>
        <v>1422.1814836446713</v>
      </c>
      <c r="Y90" s="889">
        <f t="shared" si="50"/>
        <v>-2450.6400485158092</v>
      </c>
      <c r="Z90" s="889">
        <f t="shared" si="50"/>
        <v>364.95761522302428</v>
      </c>
      <c r="AA90" s="889">
        <f t="shared" si="50"/>
        <v>916.58895317506676</v>
      </c>
      <c r="AB90" s="889">
        <f t="shared" si="50"/>
        <v>-10.487287793765066</v>
      </c>
      <c r="AC90" s="889">
        <f t="shared" si="50"/>
        <v>-184.57626517026517</v>
      </c>
      <c r="AD90" s="889">
        <f t="shared" si="50"/>
        <v>0</v>
      </c>
      <c r="AE90" s="889">
        <f t="shared" si="50"/>
        <v>449.90464635252135</v>
      </c>
      <c r="AF90" s="889">
        <f t="shared" si="50"/>
        <v>210.79448465467783</v>
      </c>
      <c r="AG90" s="889">
        <f t="shared" si="50"/>
        <v>876.73725955875966</v>
      </c>
      <c r="AH90" s="889">
        <f t="shared" si="50"/>
        <v>-1131.5783529472508</v>
      </c>
      <c r="AI90" s="889">
        <f t="shared" si="50"/>
        <v>1304.5135877172886</v>
      </c>
      <c r="AJ90" s="889">
        <f t="shared" si="50"/>
        <v>0</v>
      </c>
      <c r="AK90" s="889">
        <f t="shared" si="50"/>
        <v>0</v>
      </c>
      <c r="AL90" s="889">
        <f t="shared" si="50"/>
        <v>760.50107515674472</v>
      </c>
      <c r="AM90" s="889">
        <f>AM89/$E$87</f>
        <v>1106.7156674109913</v>
      </c>
      <c r="AN90" s="889">
        <f t="shared" si="50"/>
        <v>0</v>
      </c>
      <c r="AO90" s="889">
        <f t="shared" si="50"/>
        <v>0</v>
      </c>
      <c r="AP90" s="889">
        <f>AP89/$E$87</f>
        <v>1106.7156674109913</v>
      </c>
      <c r="AQ90" s="889"/>
      <c r="AR90" s="889"/>
      <c r="AS90" s="890"/>
      <c r="AT90" s="886"/>
      <c r="AU90" s="889"/>
      <c r="AV90" s="889"/>
      <c r="AW90" s="889"/>
      <c r="AX90" s="891"/>
    </row>
    <row r="91" spans="1:50" s="331" customFormat="1">
      <c r="A91" s="159"/>
      <c r="B91" s="156"/>
      <c r="C91" s="156"/>
      <c r="D91" s="852" t="s">
        <v>592</v>
      </c>
      <c r="E91" s="884">
        <f>+E89/$E$88</f>
        <v>-3631.992627569884</v>
      </c>
      <c r="F91" s="884">
        <f t="shared" ref="F91:AO91" si="52">+F89/$E$88</f>
        <v>-26.85723914864468</v>
      </c>
      <c r="G91" s="884">
        <f t="shared" si="52"/>
        <v>1.7257561134910322</v>
      </c>
      <c r="H91" s="884">
        <f t="shared" si="52"/>
        <v>-345.59068959886793</v>
      </c>
      <c r="I91" s="884">
        <f t="shared" si="52"/>
        <v>27.612097815856515</v>
      </c>
      <c r="J91" s="884">
        <f t="shared" si="52"/>
        <v>223.48541669708868</v>
      </c>
      <c r="K91" s="884">
        <f t="shared" si="52"/>
        <v>-333.07092990376918</v>
      </c>
      <c r="L91" s="884">
        <f t="shared" si="52"/>
        <v>-2.5886341702365483</v>
      </c>
      <c r="M91" s="884">
        <f t="shared" si="52"/>
        <v>65.578732312659227</v>
      </c>
      <c r="N91" s="884">
        <f t="shared" si="52"/>
        <v>0</v>
      </c>
      <c r="O91" s="884">
        <f t="shared" si="52"/>
        <v>-7.765902510709644</v>
      </c>
      <c r="P91" s="884">
        <f>+P89/$E$88</f>
        <v>1.7257561134910322</v>
      </c>
      <c r="Q91" s="884">
        <f t="shared" si="52"/>
        <v>-11.217414737691707</v>
      </c>
      <c r="R91" s="884">
        <f t="shared" si="52"/>
        <v>15.531805021419288</v>
      </c>
      <c r="S91" s="884">
        <f t="shared" si="52"/>
        <v>410.72995501086558</v>
      </c>
      <c r="T91" s="884">
        <f t="shared" si="52"/>
        <v>-271.80658787483753</v>
      </c>
      <c r="U91" s="884">
        <f>+U89/$E$88</f>
        <v>931.04542322841178</v>
      </c>
      <c r="V91" s="884">
        <f t="shared" si="52"/>
        <v>-144.1006354765012</v>
      </c>
      <c r="W91" s="884">
        <f t="shared" si="52"/>
        <v>-88.942815079922426</v>
      </c>
      <c r="X91" s="884">
        <f t="shared" si="52"/>
        <v>1170.149250291719</v>
      </c>
      <c r="Y91" s="884">
        <f t="shared" si="52"/>
        <v>-2016.3492834660635</v>
      </c>
      <c r="Z91" s="884">
        <f t="shared" si="52"/>
        <v>300.28156374743958</v>
      </c>
      <c r="AA91" s="884">
        <f t="shared" si="52"/>
        <v>754.15542159558106</v>
      </c>
      <c r="AB91" s="884">
        <f t="shared" si="52"/>
        <v>-8.628780567455161</v>
      </c>
      <c r="AC91" s="884">
        <f t="shared" si="52"/>
        <v>-151.86653798721082</v>
      </c>
      <c r="AD91" s="884">
        <f t="shared" si="52"/>
        <v>0</v>
      </c>
      <c r="AE91" s="884">
        <f t="shared" si="52"/>
        <v>370.17468634382641</v>
      </c>
      <c r="AF91" s="884">
        <f t="shared" si="52"/>
        <v>173.43848940584874</v>
      </c>
      <c r="AG91" s="884">
        <f t="shared" si="52"/>
        <v>721.36605543925157</v>
      </c>
      <c r="AH91" s="884">
        <f t="shared" si="52"/>
        <v>-931.04542322841178</v>
      </c>
      <c r="AI91" s="884">
        <f t="shared" si="52"/>
        <v>1073.3338988149367</v>
      </c>
      <c r="AJ91" s="884">
        <f t="shared" si="52"/>
        <v>0</v>
      </c>
      <c r="AK91" s="884">
        <f t="shared" si="52"/>
        <v>0</v>
      </c>
      <c r="AL91" s="884">
        <f t="shared" si="52"/>
        <v>625.72869438584996</v>
      </c>
      <c r="AM91" s="884">
        <f t="shared" si="52"/>
        <v>910.58878448359087</v>
      </c>
      <c r="AN91" s="884">
        <f t="shared" si="52"/>
        <v>0</v>
      </c>
      <c r="AO91" s="884">
        <f t="shared" si="52"/>
        <v>0</v>
      </c>
      <c r="AP91" s="884">
        <f>+AP89/$E$88</f>
        <v>910.58878448359087</v>
      </c>
      <c r="AQ91" s="884">
        <f t="shared" ref="AQ91:AR91" si="53">+AQ89/$E$88</f>
        <v>-3836.4225258591277</v>
      </c>
      <c r="AR91" s="884">
        <f t="shared" si="53"/>
        <v>-1209.0081096819783</v>
      </c>
      <c r="AS91" s="885">
        <f>SUM(AP91:AR91)</f>
        <v>-4134.8418510575157</v>
      </c>
      <c r="AT91" s="886"/>
      <c r="AU91" s="887">
        <f t="shared" ref="AU91:AV91" si="54">+AU89/$E$88</f>
        <v>-1143.8743691817128</v>
      </c>
      <c r="AV91" s="887">
        <f t="shared" si="54"/>
        <v>-1716.6147308353268</v>
      </c>
      <c r="AW91" s="887">
        <f t="shared" ref="AW91" si="55">+AW89/$E$88</f>
        <v>-389.68220123643783</v>
      </c>
      <c r="AX91" s="886">
        <f>SUM(AU91:AW91)</f>
        <v>-3250.1713012534774</v>
      </c>
    </row>
    <row r="92" spans="1:50" s="331" customFormat="1">
      <c r="A92" s="155"/>
      <c r="B92" s="156"/>
      <c r="C92" s="156"/>
      <c r="D92" s="852" t="s">
        <v>593</v>
      </c>
      <c r="E92" s="335">
        <f t="shared" ref="E92:AO92" si="56">+E91-E90</f>
        <v>782.27560562867575</v>
      </c>
      <c r="F92" s="335">
        <f t="shared" si="56"/>
        <v>5.7846381242732718</v>
      </c>
      <c r="G92" s="335">
        <f t="shared" si="56"/>
        <v>-0.3717014452619809</v>
      </c>
      <c r="H92" s="335">
        <f t="shared" si="56"/>
        <v>74.434943494494746</v>
      </c>
      <c r="I92" s="335">
        <f t="shared" si="56"/>
        <v>-5.9472231241916944</v>
      </c>
      <c r="J92" s="335">
        <f t="shared" si="56"/>
        <v>-48.135337161426548</v>
      </c>
      <c r="K92" s="335">
        <f t="shared" si="56"/>
        <v>71.738378935562366</v>
      </c>
      <c r="L92" s="335">
        <f t="shared" si="56"/>
        <v>0.5575521678929718</v>
      </c>
      <c r="M92" s="335">
        <f t="shared" si="56"/>
        <v>-14.12465491995529</v>
      </c>
      <c r="N92" s="335">
        <f t="shared" si="56"/>
        <v>0</v>
      </c>
      <c r="O92" s="335">
        <f t="shared" si="56"/>
        <v>1.6726565036789154</v>
      </c>
      <c r="P92" s="335">
        <f t="shared" si="56"/>
        <v>-0.3717014452619809</v>
      </c>
      <c r="Q92" s="335">
        <f t="shared" si="56"/>
        <v>2.416059394202879</v>
      </c>
      <c r="R92" s="335">
        <f t="shared" si="56"/>
        <v>-3.3453130073578308</v>
      </c>
      <c r="S92" s="335">
        <f t="shared" si="56"/>
        <v>-88.464943972351534</v>
      </c>
      <c r="T92" s="335">
        <f t="shared" si="56"/>
        <v>58.54297762876206</v>
      </c>
      <c r="U92" s="335">
        <f t="shared" si="56"/>
        <v>-200.532929718839</v>
      </c>
      <c r="V92" s="335">
        <f t="shared" si="56"/>
        <v>31.037070679375432</v>
      </c>
      <c r="W92" s="335">
        <f t="shared" si="56"/>
        <v>19.156920640425184</v>
      </c>
      <c r="X92" s="335">
        <f t="shared" si="56"/>
        <v>-252.03223335295229</v>
      </c>
      <c r="Y92" s="335">
        <f t="shared" si="56"/>
        <v>434.29076504974569</v>
      </c>
      <c r="Z92" s="335">
        <f t="shared" si="56"/>
        <v>-64.6760514755847</v>
      </c>
      <c r="AA92" s="335">
        <f t="shared" si="56"/>
        <v>-162.4335315794857</v>
      </c>
      <c r="AB92" s="335">
        <f t="shared" si="56"/>
        <v>1.8585072263099054</v>
      </c>
      <c r="AC92" s="335">
        <f t="shared" si="56"/>
        <v>32.709727183054355</v>
      </c>
      <c r="AD92" s="335">
        <f t="shared" si="56"/>
        <v>0</v>
      </c>
      <c r="AE92" s="335">
        <f t="shared" si="56"/>
        <v>-79.729960008694945</v>
      </c>
      <c r="AF92" s="335">
        <f t="shared" si="56"/>
        <v>-37.355995248829089</v>
      </c>
      <c r="AG92" s="335">
        <f t="shared" si="56"/>
        <v>-155.37120411950809</v>
      </c>
      <c r="AH92" s="335">
        <f t="shared" si="56"/>
        <v>200.532929718839</v>
      </c>
      <c r="AI92" s="335">
        <f t="shared" si="56"/>
        <v>-231.17968890235193</v>
      </c>
      <c r="AJ92" s="335">
        <f t="shared" si="56"/>
        <v>0</v>
      </c>
      <c r="AK92" s="335">
        <f t="shared" si="56"/>
        <v>0</v>
      </c>
      <c r="AL92" s="335">
        <f t="shared" si="56"/>
        <v>-134.77238077089476</v>
      </c>
      <c r="AM92" s="335">
        <f t="shared" si="56"/>
        <v>-196.1268829274004</v>
      </c>
      <c r="AN92" s="335">
        <f t="shared" si="56"/>
        <v>0</v>
      </c>
      <c r="AO92" s="335">
        <f t="shared" si="56"/>
        <v>0</v>
      </c>
      <c r="AP92" s="335">
        <f>+AP91-AP90</f>
        <v>-196.1268829274004</v>
      </c>
      <c r="AQ92" s="335"/>
      <c r="AR92" s="335"/>
      <c r="AS92" s="850"/>
      <c r="AT92" s="348"/>
      <c r="AU92" s="172"/>
      <c r="AV92" s="172"/>
      <c r="AW92" s="172"/>
      <c r="AX92" s="333"/>
    </row>
    <row r="93" spans="1:50" s="331" customFormat="1">
      <c r="A93" s="159"/>
      <c r="B93" s="156"/>
      <c r="C93" s="156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369"/>
      <c r="S93" s="369"/>
      <c r="T93" s="369"/>
      <c r="U93" s="369"/>
      <c r="V93" s="369"/>
      <c r="W93" s="369"/>
      <c r="X93" s="369"/>
      <c r="Y93" s="334"/>
      <c r="Z93" s="369"/>
      <c r="AA93" s="369"/>
      <c r="AB93" s="369"/>
      <c r="AC93" s="369"/>
      <c r="AD93" s="369"/>
      <c r="AE93" s="369"/>
      <c r="AF93" s="369"/>
      <c r="AG93" s="369"/>
      <c r="AH93" s="369"/>
      <c r="AI93" s="369"/>
      <c r="AJ93" s="369"/>
      <c r="AL93" s="369"/>
      <c r="AM93" s="335"/>
      <c r="AN93" s="349"/>
      <c r="AO93" s="369"/>
      <c r="AP93" s="335"/>
      <c r="AQ93" s="851"/>
      <c r="AR93" s="851"/>
      <c r="AS93" s="851"/>
      <c r="AT93" s="844"/>
      <c r="AU93" s="843"/>
      <c r="AV93" s="843"/>
      <c r="AW93" s="843"/>
      <c r="AX93" s="843"/>
    </row>
    <row r="94" spans="1:50" s="331" customFormat="1">
      <c r="A94" s="159"/>
      <c r="B94" s="156"/>
      <c r="C94" s="156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369"/>
      <c r="S94" s="369"/>
      <c r="T94" s="369"/>
      <c r="U94" s="369"/>
      <c r="V94" s="369"/>
      <c r="W94" s="369"/>
      <c r="X94" s="369"/>
      <c r="Y94" s="334"/>
      <c r="Z94" s="369"/>
      <c r="AA94" s="369"/>
      <c r="AB94" s="369"/>
      <c r="AC94" s="369"/>
      <c r="AD94" s="369"/>
      <c r="AE94" s="369"/>
      <c r="AF94" s="369"/>
      <c r="AG94" s="369"/>
      <c r="AH94" s="369"/>
      <c r="AI94" s="369"/>
      <c r="AJ94" s="369"/>
      <c r="AL94" s="369"/>
      <c r="AM94" s="335"/>
      <c r="AN94" s="349"/>
      <c r="AO94" s="369"/>
      <c r="AQ94" s="845"/>
      <c r="AR94" s="846"/>
      <c r="AS94" s="860"/>
      <c r="AT94" s="847"/>
      <c r="AU94" s="846"/>
      <c r="AV94" s="846"/>
    </row>
    <row r="95" spans="1:50" s="392" customFormat="1">
      <c r="A95" s="517"/>
      <c r="B95" s="518"/>
      <c r="C95" s="518"/>
      <c r="D95" s="519"/>
      <c r="E95" s="520"/>
      <c r="F95" s="520"/>
      <c r="G95" s="520"/>
      <c r="H95" s="520"/>
      <c r="I95" s="520"/>
      <c r="J95" s="520"/>
      <c r="K95" s="520"/>
      <c r="L95" s="520"/>
      <c r="M95" s="520"/>
      <c r="N95" s="520"/>
      <c r="O95" s="520"/>
      <c r="P95" s="520"/>
      <c r="Q95" s="520"/>
      <c r="R95" s="389"/>
      <c r="S95" s="389"/>
      <c r="T95" s="389"/>
      <c r="U95" s="389"/>
      <c r="V95" s="389"/>
      <c r="W95" s="389"/>
      <c r="X95" s="389"/>
      <c r="Y95" s="350"/>
      <c r="Z95" s="389"/>
      <c r="AA95" s="389"/>
      <c r="AB95" s="389"/>
      <c r="AC95" s="389"/>
      <c r="AD95" s="389"/>
      <c r="AE95" s="389"/>
      <c r="AF95" s="389"/>
      <c r="AG95" s="389"/>
      <c r="AH95" s="389"/>
      <c r="AI95" s="398"/>
      <c r="AJ95" s="389"/>
      <c r="AK95" s="389"/>
      <c r="AL95" s="389"/>
      <c r="AM95" s="349"/>
      <c r="AN95" s="349"/>
      <c r="AO95" s="398"/>
      <c r="AP95" s="349"/>
      <c r="AQ95" s="846"/>
      <c r="AR95" s="331"/>
      <c r="AS95" s="331"/>
      <c r="AU95" s="331"/>
      <c r="AV95" s="331"/>
      <c r="AW95" s="331"/>
      <c r="AX95" s="331"/>
    </row>
    <row r="96" spans="1:50" s="392" customFormat="1">
      <c r="A96" s="517"/>
      <c r="B96" s="518"/>
      <c r="C96" s="518"/>
      <c r="D96" s="852"/>
      <c r="E96" s="172"/>
      <c r="F96" s="520"/>
      <c r="G96" s="520"/>
      <c r="H96" s="520"/>
      <c r="I96" s="520"/>
      <c r="J96" s="520"/>
      <c r="K96" s="520"/>
      <c r="L96" s="520"/>
      <c r="M96" s="520"/>
      <c r="N96" s="520"/>
      <c r="O96" s="520"/>
      <c r="P96" s="520"/>
      <c r="Q96" s="520"/>
      <c r="R96" s="389"/>
      <c r="S96" s="389"/>
      <c r="T96" s="389"/>
      <c r="U96" s="389"/>
      <c r="V96" s="389"/>
      <c r="W96" s="389"/>
      <c r="X96" s="389"/>
      <c r="Y96" s="350"/>
      <c r="Z96" s="389"/>
      <c r="AA96" s="389"/>
      <c r="AB96" s="389"/>
      <c r="AC96" s="389"/>
      <c r="AD96" s="389"/>
      <c r="AE96" s="389"/>
      <c r="AF96" s="389"/>
      <c r="AG96" s="389"/>
      <c r="AH96" s="389"/>
      <c r="AI96" s="389"/>
      <c r="AJ96" s="389"/>
      <c r="AK96" s="389"/>
      <c r="AL96" s="389"/>
      <c r="AM96" s="349"/>
      <c r="AN96" s="349"/>
      <c r="AO96" s="389"/>
      <c r="AP96" s="349"/>
      <c r="AQ96" s="846"/>
    </row>
    <row r="97" spans="1:50" s="392" customFormat="1">
      <c r="A97" s="517"/>
      <c r="B97" s="518"/>
      <c r="C97" s="518"/>
      <c r="D97" s="852"/>
      <c r="E97" s="172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326"/>
      <c r="S97" s="326"/>
      <c r="T97" s="326"/>
      <c r="U97" s="350"/>
      <c r="V97" s="350"/>
      <c r="W97" s="326"/>
      <c r="X97" s="326"/>
      <c r="Y97" s="350"/>
      <c r="Z97" s="326"/>
      <c r="AA97" s="350"/>
      <c r="AB97" s="350"/>
      <c r="AC97" s="350"/>
      <c r="AD97" s="350"/>
      <c r="AE97" s="326"/>
      <c r="AF97" s="326"/>
      <c r="AG97" s="326"/>
      <c r="AH97" s="326"/>
      <c r="AI97" s="326"/>
      <c r="AJ97" s="326"/>
      <c r="AK97" s="326"/>
      <c r="AL97" s="326"/>
      <c r="AM97" s="391"/>
      <c r="AN97" s="391"/>
      <c r="AO97" s="326"/>
      <c r="AP97" s="350"/>
      <c r="AQ97" s="335"/>
      <c r="AR97" s="331"/>
      <c r="AS97" s="297"/>
      <c r="AU97" s="331"/>
      <c r="AV97" s="331"/>
      <c r="AW97" s="331"/>
      <c r="AX97" s="331"/>
    </row>
    <row r="98" spans="1:50" s="392" customFormat="1">
      <c r="A98" s="517"/>
      <c r="B98" s="518"/>
      <c r="C98" s="518"/>
      <c r="E98" s="172"/>
      <c r="F98" s="521"/>
      <c r="G98" s="521"/>
      <c r="H98" s="521"/>
      <c r="I98" s="521"/>
      <c r="J98" s="521"/>
      <c r="K98" s="521"/>
      <c r="L98" s="521"/>
      <c r="M98" s="521"/>
      <c r="N98" s="521"/>
      <c r="O98" s="521"/>
      <c r="P98" s="521"/>
      <c r="Q98" s="521"/>
      <c r="R98" s="326"/>
      <c r="S98" s="326"/>
      <c r="T98" s="326"/>
      <c r="U98" s="350"/>
      <c r="V98" s="350"/>
      <c r="W98" s="326"/>
      <c r="X98" s="326"/>
      <c r="Y98" s="350"/>
      <c r="Z98" s="326"/>
      <c r="AA98" s="350"/>
      <c r="AB98" s="350"/>
      <c r="AC98" s="350"/>
      <c r="AD98" s="350"/>
      <c r="AE98" s="326"/>
      <c r="AF98" s="326"/>
      <c r="AG98" s="326"/>
      <c r="AH98" s="326"/>
      <c r="AI98" s="326"/>
      <c r="AJ98" s="326"/>
      <c r="AK98" s="326"/>
      <c r="AL98" s="326"/>
      <c r="AM98" s="323"/>
      <c r="AN98" s="323"/>
      <c r="AO98" s="326"/>
      <c r="AQ98" s="349"/>
    </row>
    <row r="99" spans="1:50" s="328" customFormat="1">
      <c r="A99" s="152"/>
      <c r="B99" s="154"/>
      <c r="C99" s="154"/>
      <c r="F99" s="522"/>
      <c r="G99" s="522"/>
      <c r="H99" s="522"/>
      <c r="I99" s="522"/>
      <c r="J99" s="522"/>
      <c r="K99" s="522"/>
      <c r="L99" s="522"/>
      <c r="M99" s="522"/>
      <c r="N99" s="522"/>
      <c r="O99" s="522"/>
      <c r="P99" s="522"/>
      <c r="Q99" s="522"/>
      <c r="R99" s="388"/>
      <c r="S99" s="388"/>
      <c r="T99" s="388"/>
      <c r="U99" s="390"/>
      <c r="V99" s="390"/>
      <c r="W99" s="388"/>
      <c r="X99" s="388"/>
      <c r="Y99" s="390"/>
      <c r="Z99" s="326"/>
      <c r="AA99" s="390"/>
      <c r="AB99" s="390"/>
      <c r="AC99" s="390"/>
      <c r="AD99" s="390"/>
      <c r="AE99" s="388"/>
      <c r="AF99" s="388"/>
      <c r="AG99" s="388"/>
      <c r="AH99" s="326"/>
      <c r="AI99" s="326"/>
      <c r="AJ99" s="388"/>
      <c r="AK99" s="388"/>
      <c r="AL99" s="326"/>
      <c r="AM99" s="323"/>
      <c r="AN99" s="323"/>
      <c r="AO99" s="326"/>
      <c r="AQ99" s="349"/>
      <c r="AR99" s="392"/>
      <c r="AS99" s="392"/>
      <c r="AT99" s="392"/>
      <c r="AU99" s="392"/>
      <c r="AV99" s="392"/>
      <c r="AW99" s="392"/>
      <c r="AX99" s="392"/>
    </row>
    <row r="100" spans="1:50" s="328" customFormat="1">
      <c r="A100" s="152"/>
      <c r="B100" s="154"/>
      <c r="C100" s="154"/>
      <c r="D100" s="154"/>
      <c r="E100" s="522"/>
      <c r="F100" s="522"/>
      <c r="G100" s="522"/>
      <c r="H100" s="522"/>
      <c r="I100" s="522"/>
      <c r="J100" s="522"/>
      <c r="K100" s="522"/>
      <c r="L100" s="522"/>
      <c r="M100" s="522"/>
      <c r="N100" s="522"/>
      <c r="O100" s="522"/>
      <c r="P100" s="522"/>
      <c r="Q100" s="522"/>
      <c r="R100" s="388"/>
      <c r="S100" s="388"/>
      <c r="T100" s="388"/>
      <c r="U100" s="390"/>
      <c r="V100" s="390"/>
      <c r="W100" s="388"/>
      <c r="X100" s="388"/>
      <c r="Y100" s="390"/>
      <c r="Z100" s="326"/>
      <c r="AA100" s="390"/>
      <c r="AB100" s="390"/>
      <c r="AC100" s="390"/>
      <c r="AD100" s="390"/>
      <c r="AE100" s="388"/>
      <c r="AF100" s="388"/>
      <c r="AG100" s="388"/>
      <c r="AH100" s="326"/>
      <c r="AI100" s="326"/>
      <c r="AJ100" s="388"/>
      <c r="AK100" s="388"/>
      <c r="AL100" s="326"/>
      <c r="AM100" s="325"/>
      <c r="AN100" s="325"/>
      <c r="AO100" s="326"/>
      <c r="AP100" s="390"/>
      <c r="AQ100" s="350"/>
      <c r="AR100" s="392"/>
      <c r="AS100" s="392"/>
      <c r="AT100" s="392"/>
      <c r="AU100" s="392"/>
      <c r="AV100" s="392"/>
      <c r="AW100" s="392"/>
      <c r="AX100" s="392"/>
    </row>
    <row r="101" spans="1:50" s="328" customFormat="1">
      <c r="A101" s="152"/>
      <c r="B101" s="154"/>
      <c r="C101" s="154"/>
      <c r="D101" s="852"/>
      <c r="E101" s="853"/>
      <c r="F101" s="522"/>
      <c r="G101" s="522"/>
      <c r="H101" s="522"/>
      <c r="I101" s="522"/>
      <c r="J101" s="522"/>
      <c r="K101" s="522"/>
      <c r="L101" s="522"/>
      <c r="M101" s="522"/>
      <c r="N101" s="522"/>
      <c r="O101" s="522"/>
      <c r="P101" s="522"/>
      <c r="Q101" s="522"/>
      <c r="R101" s="388"/>
      <c r="S101" s="388"/>
      <c r="T101" s="388"/>
      <c r="U101" s="390"/>
      <c r="V101" s="390"/>
      <c r="W101" s="388"/>
      <c r="X101" s="388"/>
      <c r="Y101" s="390"/>
      <c r="Z101" s="326"/>
      <c r="AA101" s="390"/>
      <c r="AB101" s="390"/>
      <c r="AC101" s="390"/>
      <c r="AD101" s="390"/>
      <c r="AE101" s="388"/>
      <c r="AF101" s="388"/>
      <c r="AG101" s="388"/>
      <c r="AH101" s="326"/>
      <c r="AI101" s="326"/>
      <c r="AJ101" s="388"/>
      <c r="AK101" s="388"/>
      <c r="AL101" s="326"/>
      <c r="AM101" s="323"/>
      <c r="AN101" s="323"/>
      <c r="AO101" s="326"/>
      <c r="AP101" s="390"/>
      <c r="AQ101" s="350"/>
      <c r="AR101" s="392"/>
      <c r="AS101" s="392"/>
      <c r="AT101" s="392"/>
      <c r="AU101" s="392"/>
      <c r="AV101" s="392"/>
      <c r="AW101" s="392"/>
      <c r="AX101" s="392"/>
    </row>
    <row r="102" spans="1:50">
      <c r="A102" s="149"/>
      <c r="B102" s="125"/>
      <c r="C102" s="125"/>
      <c r="D102" s="852"/>
      <c r="E102" s="854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AQ102" s="390"/>
      <c r="AR102" s="328"/>
      <c r="AS102" s="328"/>
      <c r="AU102" s="328"/>
      <c r="AV102" s="328"/>
      <c r="AW102" s="328"/>
      <c r="AX102" s="328"/>
    </row>
    <row r="103" spans="1:50">
      <c r="A103" s="149"/>
      <c r="B103" s="125"/>
      <c r="C103" s="125"/>
      <c r="D103" s="125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AQ103" s="390"/>
      <c r="AR103" s="328"/>
      <c r="AS103" s="328"/>
      <c r="AU103" s="328"/>
      <c r="AV103" s="328"/>
      <c r="AW103" s="328"/>
      <c r="AX103" s="328"/>
    </row>
    <row r="104" spans="1:50">
      <c r="A104" s="149"/>
      <c r="B104" s="125"/>
      <c r="C104" s="125"/>
      <c r="D104" s="125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AQ104" s="390"/>
      <c r="AR104" s="328"/>
      <c r="AS104" s="328"/>
      <c r="AU104" s="328"/>
      <c r="AV104" s="328"/>
      <c r="AW104" s="328"/>
      <c r="AX104" s="328"/>
    </row>
    <row r="105" spans="1:50">
      <c r="A105" s="149"/>
      <c r="B105" s="125"/>
      <c r="C105" s="125"/>
      <c r="D105" s="125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AR105" s="328"/>
      <c r="AS105" s="328"/>
    </row>
    <row r="106" spans="1:50">
      <c r="A106" s="149"/>
      <c r="B106" s="125"/>
      <c r="C106" s="125"/>
      <c r="D106" s="125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AR106" s="328"/>
      <c r="AS106" s="328"/>
    </row>
    <row r="107" spans="1:50">
      <c r="A107" s="149"/>
      <c r="B107" s="125"/>
      <c r="C107" s="125"/>
      <c r="D107" s="125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AR107" s="328"/>
      <c r="AS107" s="328"/>
    </row>
    <row r="108" spans="1:50">
      <c r="A108" s="149"/>
      <c r="B108" s="125"/>
      <c r="C108" s="125"/>
      <c r="D108" s="125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AR108" s="328"/>
      <c r="AS108" s="328"/>
    </row>
    <row r="109" spans="1:50">
      <c r="A109" s="149"/>
      <c r="B109" s="125"/>
      <c r="C109" s="125"/>
      <c r="D109" s="125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</row>
    <row r="110" spans="1:50">
      <c r="A110" s="149"/>
      <c r="B110" s="125"/>
      <c r="C110" s="125"/>
      <c r="D110" s="125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</row>
    <row r="111" spans="1:50">
      <c r="A111" s="149"/>
      <c r="B111" s="125"/>
      <c r="C111" s="125"/>
      <c r="D111" s="125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</row>
    <row r="112" spans="1:50">
      <c r="A112" s="149"/>
      <c r="B112" s="125"/>
      <c r="C112" s="125"/>
      <c r="D112" s="125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</row>
    <row r="113" spans="1:17">
      <c r="A113" s="149"/>
      <c r="B113" s="125"/>
      <c r="C113" s="125"/>
      <c r="D113" s="125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</row>
    <row r="114" spans="1:17">
      <c r="A114" s="149"/>
      <c r="B114" s="125"/>
      <c r="C114" s="125"/>
      <c r="D114" s="125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</row>
    <row r="115" spans="1:17">
      <c r="A115" s="149"/>
      <c r="B115" s="125"/>
      <c r="C115" s="125"/>
      <c r="D115" s="125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</row>
    <row r="116" spans="1:17">
      <c r="A116" s="149"/>
      <c r="B116" s="125"/>
      <c r="C116" s="125"/>
      <c r="D116" s="125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</row>
    <row r="117" spans="1:17">
      <c r="A117" s="149"/>
      <c r="B117" s="125"/>
      <c r="C117" s="125"/>
      <c r="D117" s="125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</row>
    <row r="118" spans="1:17">
      <c r="A118" s="149"/>
      <c r="B118" s="125"/>
      <c r="C118" s="125"/>
      <c r="D118" s="125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</row>
    <row r="119" spans="1:17">
      <c r="A119" s="149"/>
      <c r="B119" s="125"/>
      <c r="C119" s="125"/>
      <c r="D119" s="125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AR85:AS85"/>
    <mergeCell ref="AR86:AS86"/>
  </mergeCells>
  <phoneticPr fontId="0" type="noConversion"/>
  <pageMargins left="0.7" right="0.7" top="0.75" bottom="0.5" header="0.3" footer="0.3"/>
  <pageSetup scale="61" firstPageNumber="4" fitToWidth="0" orientation="portrait" r:id="rId3"/>
  <headerFooter>
    <oddHeader>&amp;RExhibit No. JH-3
Dockets UE-170485/UG-170486
Page &amp;P of &amp;N</oddHeader>
    <oddFooter>&amp;LBench Request No.9 - Attachment B</oddFooter>
  </headerFooter>
  <colBreaks count="3" manualBreakCount="3">
    <brk id="14" max="1048575" man="1"/>
    <brk id="23" max="1048575" man="1"/>
    <brk id="31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workbookViewId="0">
      <selection activeCell="F37" sqref="F37"/>
    </sheetView>
  </sheetViews>
  <sheetFormatPr defaultColWidth="8.77734375" defaultRowHeight="13.2"/>
  <cols>
    <col min="1" max="5" width="8.77734375" style="863"/>
    <col min="6" max="6" width="9.21875" style="863" bestFit="1" customWidth="1"/>
    <col min="7" max="7" width="8.77734375" style="863" bestFit="1" customWidth="1"/>
    <col min="8" max="8" width="4.21875" style="863" customWidth="1"/>
    <col min="9" max="9" width="6.21875" style="863" customWidth="1"/>
    <col min="10" max="10" width="43" style="863" customWidth="1"/>
    <col min="11" max="11" width="15.21875" style="863" customWidth="1"/>
    <col min="12" max="12" width="15" style="863" customWidth="1"/>
    <col min="13" max="16384" width="8.77734375" style="863"/>
  </cols>
  <sheetData>
    <row r="1" spans="1:16">
      <c r="A1" s="861" t="str">
        <f>'[3]ADJ DETAIL-INPUT'!A2</f>
        <v xml:space="preserve">AVISTA UTILITIES  </v>
      </c>
      <c r="B1" s="862"/>
      <c r="C1" s="862"/>
      <c r="D1" s="862"/>
    </row>
    <row r="2" spans="1:16">
      <c r="A2" s="861" t="str">
        <f>'[3]ADJ DETAIL-INPUT'!A3</f>
        <v xml:space="preserve">WASHINGTON ELECTRIC RESULTS </v>
      </c>
      <c r="B2" s="862"/>
      <c r="C2" s="862"/>
      <c r="D2" s="862"/>
    </row>
    <row r="3" spans="1:16">
      <c r="A3" s="861" t="str">
        <f>'[3]ADJ DETAIL-INPUT'!A4</f>
        <v>TWELVE MONTHS ENDED DECEMBER 31, 2016</v>
      </c>
      <c r="B3" s="862"/>
      <c r="C3" s="862"/>
      <c r="D3" s="862"/>
    </row>
    <row r="4" spans="1:16">
      <c r="A4" s="861" t="str">
        <f>'[3]ADJ DETAIL-INPUT'!A5</f>
        <v xml:space="preserve">(000'S OF DOLLARS)  </v>
      </c>
      <c r="B4" s="864"/>
      <c r="C4" s="864"/>
      <c r="D4" s="864"/>
    </row>
    <row r="5" spans="1:16">
      <c r="A5" s="865"/>
      <c r="B5" s="862"/>
      <c r="C5" s="862"/>
      <c r="D5" s="862"/>
    </row>
    <row r="6" spans="1:16" ht="17.399999999999999">
      <c r="F6" s="949" t="s">
        <v>595</v>
      </c>
      <c r="G6" s="949"/>
      <c r="H6" s="949"/>
      <c r="I6" s="949"/>
      <c r="J6" s="949"/>
      <c r="K6" s="949"/>
      <c r="L6" s="949"/>
    </row>
    <row r="7" spans="1:16" ht="17.399999999999999">
      <c r="F7" s="949" t="s">
        <v>661</v>
      </c>
      <c r="G7" s="949"/>
      <c r="H7" s="949"/>
      <c r="I7" s="949"/>
      <c r="J7" s="949"/>
      <c r="K7" s="949"/>
      <c r="L7" s="949"/>
    </row>
    <row r="9" spans="1:16" ht="13.8" thickBot="1">
      <c r="F9" s="950" t="s">
        <v>596</v>
      </c>
      <c r="G9" s="950"/>
      <c r="K9" s="950" t="s">
        <v>558</v>
      </c>
      <c r="L9" s="950"/>
    </row>
    <row r="10" spans="1:16">
      <c r="F10" s="866" t="s">
        <v>597</v>
      </c>
      <c r="G10" s="866" t="s">
        <v>597</v>
      </c>
      <c r="K10" s="866" t="s">
        <v>597</v>
      </c>
      <c r="L10" s="866" t="s">
        <v>597</v>
      </c>
    </row>
    <row r="11" spans="1:16">
      <c r="A11" s="863" t="s">
        <v>598</v>
      </c>
      <c r="F11" s="866" t="s">
        <v>599</v>
      </c>
      <c r="G11" s="866" t="s">
        <v>600</v>
      </c>
      <c r="K11" s="866" t="s">
        <v>599</v>
      </c>
      <c r="L11" s="866" t="s">
        <v>600</v>
      </c>
    </row>
    <row r="12" spans="1:16">
      <c r="F12" s="866"/>
      <c r="G12" s="866"/>
      <c r="K12" s="866"/>
      <c r="L12" s="866"/>
    </row>
    <row r="13" spans="1:16">
      <c r="F13" s="866"/>
      <c r="G13" s="866"/>
      <c r="K13" s="866"/>
      <c r="L13" s="866"/>
    </row>
    <row r="14" spans="1:16">
      <c r="C14" s="929"/>
      <c r="F14" s="866"/>
      <c r="G14" s="866"/>
      <c r="K14" s="866"/>
      <c r="L14" s="866"/>
    </row>
    <row r="15" spans="1:16">
      <c r="A15" s="863" t="s">
        <v>601</v>
      </c>
      <c r="C15" s="929"/>
      <c r="F15" s="867">
        <v>54387</v>
      </c>
      <c r="G15" s="867">
        <v>6630</v>
      </c>
      <c r="H15" s="868"/>
      <c r="I15" s="868" t="s">
        <v>602</v>
      </c>
      <c r="J15" s="868"/>
      <c r="K15" s="867">
        <v>10034</v>
      </c>
      <c r="L15" s="867">
        <v>1107</v>
      </c>
      <c r="M15" s="869"/>
      <c r="P15" s="870"/>
    </row>
    <row r="16" spans="1:16">
      <c r="F16" s="868"/>
      <c r="G16" s="868"/>
      <c r="H16" s="868"/>
      <c r="I16" s="868"/>
      <c r="J16" s="868"/>
      <c r="K16" s="868"/>
      <c r="L16" s="868"/>
    </row>
    <row r="17" spans="1:16">
      <c r="C17" s="929"/>
      <c r="F17" s="868"/>
      <c r="G17" s="868"/>
      <c r="H17" s="868"/>
      <c r="I17" s="868" t="s">
        <v>603</v>
      </c>
      <c r="J17" s="868"/>
      <c r="K17" s="868">
        <f>2040-1346</f>
        <v>694</v>
      </c>
      <c r="L17" s="931" t="s">
        <v>604</v>
      </c>
    </row>
    <row r="18" spans="1:16">
      <c r="F18" s="868"/>
      <c r="G18" s="868"/>
      <c r="H18" s="868"/>
      <c r="I18" s="868" t="s">
        <v>605</v>
      </c>
      <c r="J18" s="868"/>
      <c r="L18" s="868"/>
    </row>
    <row r="19" spans="1:16">
      <c r="F19" s="868"/>
      <c r="G19" s="868"/>
      <c r="H19" s="868"/>
      <c r="I19" s="868"/>
      <c r="J19" s="868"/>
      <c r="K19" s="868"/>
      <c r="L19" s="868"/>
    </row>
    <row r="20" spans="1:16">
      <c r="F20" s="868"/>
      <c r="G20" s="868"/>
      <c r="H20" s="868"/>
      <c r="I20" s="868" t="s">
        <v>616</v>
      </c>
      <c r="J20" s="868"/>
      <c r="K20" s="872">
        <f>SUM(K15:K19)</f>
        <v>10728</v>
      </c>
      <c r="L20" s="872">
        <f>SUM(L15:L19)</f>
        <v>1107</v>
      </c>
    </row>
    <row r="21" spans="1:16">
      <c r="F21" s="868"/>
      <c r="G21" s="868"/>
      <c r="H21" s="868"/>
      <c r="I21" s="868"/>
      <c r="J21" s="868"/>
      <c r="K21" s="871"/>
      <c r="L21" s="871"/>
    </row>
    <row r="22" spans="1:16">
      <c r="F22" s="868"/>
      <c r="G22" s="868"/>
      <c r="H22" s="868"/>
      <c r="I22" s="868"/>
      <c r="J22" s="868"/>
      <c r="K22" s="868"/>
      <c r="L22" s="868"/>
      <c r="O22" s="869"/>
    </row>
    <row r="23" spans="1:16">
      <c r="A23" s="873" t="s">
        <v>606</v>
      </c>
      <c r="F23" s="868"/>
      <c r="G23" s="868"/>
      <c r="H23" s="868"/>
      <c r="I23" s="868"/>
      <c r="J23" s="868"/>
      <c r="K23" s="868"/>
      <c r="L23" s="868"/>
    </row>
    <row r="25" spans="1:16">
      <c r="A25" s="863" t="s">
        <v>607</v>
      </c>
      <c r="F25" s="868">
        <v>-22929</v>
      </c>
      <c r="G25" s="868">
        <v>-4655</v>
      </c>
      <c r="H25" s="868"/>
      <c r="I25" s="868"/>
      <c r="J25" s="868"/>
      <c r="K25" s="868">
        <v>-19857</v>
      </c>
      <c r="L25" s="868">
        <f>+'ADJ DETAIL INPUT'!AQ84+'ADJ DETAIL INPUT'!AQ85</f>
        <v>-4032.5494087865281</v>
      </c>
    </row>
    <row r="27" spans="1:16">
      <c r="A27" s="863" t="s">
        <v>608</v>
      </c>
      <c r="F27" s="868">
        <v>-5712</v>
      </c>
      <c r="G27" s="868">
        <v>-1203</v>
      </c>
      <c r="H27" s="868"/>
      <c r="I27" s="868"/>
      <c r="J27" s="868"/>
      <c r="K27" s="868">
        <v>-5742</v>
      </c>
      <c r="L27" s="868">
        <f>+'ADJ DETAIL INPUT'!AR84</f>
        <v>-1209.0081096819783</v>
      </c>
      <c r="M27" s="874"/>
      <c r="N27" s="874"/>
      <c r="O27" s="874"/>
      <c r="P27" s="874"/>
    </row>
    <row r="28" spans="1:16">
      <c r="F28" s="868"/>
      <c r="G28" s="868"/>
      <c r="H28" s="868"/>
      <c r="I28" s="868"/>
      <c r="J28" s="868"/>
      <c r="K28" s="868"/>
      <c r="L28" s="868"/>
    </row>
    <row r="29" spans="1:16" ht="18.600000000000001" customHeight="1" thickBot="1">
      <c r="A29" s="870" t="s">
        <v>609</v>
      </c>
      <c r="F29" s="875">
        <f>SUM(F15:F28)+1</f>
        <v>25747</v>
      </c>
      <c r="G29" s="875">
        <f>SUM(G15:G28)</f>
        <v>772</v>
      </c>
      <c r="H29" s="868"/>
      <c r="I29" s="868"/>
      <c r="J29" s="867" t="s">
        <v>615</v>
      </c>
      <c r="K29" s="875">
        <f>SUM(K20:K28)</f>
        <v>-14871</v>
      </c>
      <c r="L29" s="926">
        <f>SUM(L20:L28)</f>
        <v>-4134.5575184685067</v>
      </c>
    </row>
    <row r="30" spans="1:16" ht="13.8" thickTop="1">
      <c r="F30" s="868"/>
      <c r="G30" s="868"/>
      <c r="H30" s="868"/>
      <c r="I30" s="868"/>
      <c r="J30" s="868"/>
      <c r="K30" s="868"/>
      <c r="L30" s="868"/>
    </row>
    <row r="31" spans="1:16">
      <c r="F31" s="868"/>
      <c r="G31" s="868"/>
      <c r="H31" s="868"/>
      <c r="I31" s="868"/>
      <c r="J31" s="868"/>
      <c r="K31" s="868"/>
      <c r="L31" s="868"/>
    </row>
    <row r="32" spans="1:16" ht="13.8" thickBot="1">
      <c r="A32" s="922"/>
      <c r="B32" s="922"/>
      <c r="C32" s="922"/>
      <c r="D32" s="922"/>
      <c r="E32" s="922"/>
      <c r="F32" s="923"/>
      <c r="G32" s="923"/>
      <c r="H32" s="923"/>
      <c r="I32" s="923"/>
      <c r="J32" s="923"/>
      <c r="K32" s="923"/>
      <c r="L32" s="923"/>
    </row>
    <row r="33" spans="1:12">
      <c r="A33" s="873" t="s">
        <v>610</v>
      </c>
      <c r="F33" s="868"/>
      <c r="G33" s="868"/>
      <c r="H33" s="868"/>
      <c r="I33" s="868"/>
      <c r="J33" s="868"/>
      <c r="K33" s="868"/>
      <c r="L33" s="868"/>
    </row>
    <row r="34" spans="1:12">
      <c r="F34" s="868"/>
      <c r="G34" s="868"/>
      <c r="H34" s="868"/>
      <c r="I34" s="868"/>
      <c r="J34" s="868"/>
      <c r="K34" s="868"/>
      <c r="L34" s="868"/>
    </row>
    <row r="35" spans="1:12">
      <c r="A35" s="863" t="s">
        <v>656</v>
      </c>
    </row>
    <row r="36" spans="1:12">
      <c r="A36" s="863" t="s">
        <v>655</v>
      </c>
    </row>
    <row r="38" spans="1:12">
      <c r="A38" s="863" t="s">
        <v>611</v>
      </c>
      <c r="F38" s="868">
        <v>-10402</v>
      </c>
      <c r="G38" s="868">
        <v>-1136</v>
      </c>
      <c r="H38" s="868"/>
      <c r="I38" s="868"/>
      <c r="J38" s="868"/>
      <c r="K38" s="868">
        <v>-10423</v>
      </c>
      <c r="L38" s="868">
        <v>-1144</v>
      </c>
    </row>
    <row r="39" spans="1:12">
      <c r="F39" s="868"/>
      <c r="G39" s="868"/>
      <c r="H39" s="868"/>
      <c r="I39" s="868"/>
      <c r="J39" s="868"/>
      <c r="K39" s="868"/>
      <c r="L39" s="868"/>
    </row>
    <row r="40" spans="1:12">
      <c r="A40" s="863" t="s">
        <v>612</v>
      </c>
      <c r="F40" s="868">
        <v>-6315</v>
      </c>
      <c r="G40" s="868">
        <v>-1549</v>
      </c>
      <c r="H40" s="868"/>
      <c r="I40" s="868"/>
      <c r="J40" s="868"/>
      <c r="K40" s="868"/>
      <c r="L40" s="868"/>
    </row>
    <row r="41" spans="1:12">
      <c r="F41" s="868"/>
      <c r="G41" s="868"/>
      <c r="H41" s="868"/>
      <c r="I41" s="868"/>
      <c r="J41" s="868"/>
      <c r="K41" s="868"/>
      <c r="L41" s="868"/>
    </row>
    <row r="42" spans="1:12" customFormat="1" ht="13.8">
      <c r="A42" s="918"/>
      <c r="B42" s="918" t="s">
        <v>651</v>
      </c>
      <c r="C42" s="918"/>
      <c r="D42" s="918"/>
      <c r="E42" s="918"/>
      <c r="F42" s="920" t="s">
        <v>653</v>
      </c>
      <c r="G42" s="919"/>
      <c r="H42" s="919"/>
      <c r="I42" s="919"/>
      <c r="J42" s="919"/>
      <c r="K42" s="920">
        <v>-5982</v>
      </c>
      <c r="L42" s="920">
        <f>'ADJ DETAIL INPUT'!AV84</f>
        <v>-1716.6147308353268</v>
      </c>
    </row>
    <row r="43" spans="1:12" customFormat="1" ht="13.8">
      <c r="A43" s="918"/>
      <c r="B43" s="918"/>
      <c r="C43" s="918"/>
      <c r="D43" s="918"/>
      <c r="E43" s="918"/>
      <c r="F43" s="920"/>
      <c r="G43" s="919"/>
      <c r="H43" s="919"/>
      <c r="I43" s="919"/>
      <c r="J43" s="919"/>
      <c r="K43" s="920"/>
      <c r="L43" s="920"/>
    </row>
    <row r="44" spans="1:12" customFormat="1" ht="13.8">
      <c r="A44" s="918"/>
      <c r="B44" s="918" t="s">
        <v>652</v>
      </c>
      <c r="C44" s="918"/>
      <c r="D44" s="918"/>
      <c r="E44" s="918"/>
      <c r="F44" s="920" t="s">
        <v>653</v>
      </c>
      <c r="G44" s="919"/>
      <c r="H44" s="919"/>
      <c r="I44" s="919"/>
      <c r="J44" s="919"/>
      <c r="K44" s="920">
        <v>-1889</v>
      </c>
      <c r="L44" s="920">
        <f>'ADJ DETAIL INPUT'!AW84</f>
        <v>-389.68220123643783</v>
      </c>
    </row>
    <row r="46" spans="1:12" ht="13.8" thickBot="1">
      <c r="A46" s="921" t="s">
        <v>654</v>
      </c>
      <c r="F46" s="875">
        <f>SUM(F38:F40)</f>
        <v>-16717</v>
      </c>
      <c r="G46" s="875">
        <f>SUM(G38:G40)</f>
        <v>-2685</v>
      </c>
      <c r="H46" s="868"/>
      <c r="I46" s="868"/>
      <c r="J46" s="921" t="s">
        <v>654</v>
      </c>
      <c r="K46" s="875">
        <f>SUM(K38:K44)-1</f>
        <v>-18295</v>
      </c>
      <c r="L46" s="926">
        <f>SUM(L38:L44)</f>
        <v>-3250.2969320717643</v>
      </c>
    </row>
    <row r="47" spans="1:12" ht="13.8" thickTop="1"/>
  </sheetData>
  <mergeCells count="4">
    <mergeCell ref="F6:L6"/>
    <mergeCell ref="F7:L7"/>
    <mergeCell ref="F9:G9"/>
    <mergeCell ref="K9:L9"/>
  </mergeCells>
  <pageMargins left="0.7" right="0.7" top="0.75" bottom="0.75" header="0.3" footer="0.3"/>
  <pageSetup scale="10" orientation="portrait" r:id="rId1"/>
  <headerFooter>
    <oddHeader>&amp;RExhibit No. JH-3
Dockets UE-170485/UG-170486
Page &amp;P of &amp;N</oddHeader>
    <oddFooter>&amp;LBench Request No.9 - Attachment B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F37" sqref="F37"/>
    </sheetView>
  </sheetViews>
  <sheetFormatPr defaultRowHeight="13.2"/>
  <cols>
    <col min="1" max="1" width="23.21875" customWidth="1"/>
    <col min="2" max="2" width="18.44140625" customWidth="1"/>
    <col min="3" max="3" width="13.77734375" customWidth="1"/>
    <col min="4" max="5" width="5" customWidth="1"/>
    <col min="7" max="7" width="23" customWidth="1"/>
    <col min="8" max="8" width="3" customWidth="1"/>
    <col min="9" max="9" width="23.77734375" customWidth="1"/>
  </cols>
  <sheetData>
    <row r="1" spans="1:9">
      <c r="A1" s="925" t="str">
        <f>'ADJ DETAIL INPUT'!A2</f>
        <v>AVISTA UTILITIES</v>
      </c>
      <c r="B1" s="612"/>
      <c r="C1" s="612"/>
      <c r="D1" s="611"/>
      <c r="E1" s="613"/>
    </row>
    <row r="2" spans="1:9">
      <c r="A2" s="925" t="str">
        <f>'ROO INPUT'!A4:C4</f>
        <v xml:space="preserve">WASHINGTON NATURAL GAS RESULTS </v>
      </c>
      <c r="B2" s="612"/>
      <c r="C2" s="612"/>
      <c r="D2" s="611"/>
      <c r="E2" s="613"/>
    </row>
    <row r="3" spans="1:9">
      <c r="A3" s="925" t="str">
        <f>'ROO INPUT'!A5:C5</f>
        <v>TWELVE MONTHS ENDED DECEMBER 31, 2016</v>
      </c>
      <c r="B3" s="612"/>
      <c r="C3" s="612"/>
      <c r="D3" s="611"/>
      <c r="E3" s="613"/>
    </row>
    <row r="4" spans="1:9">
      <c r="B4" s="612"/>
      <c r="C4" s="612"/>
      <c r="D4" s="611"/>
      <c r="E4" s="613"/>
      <c r="I4" s="951"/>
    </row>
    <row r="5" spans="1:9">
      <c r="A5" s="921" t="s">
        <v>617</v>
      </c>
      <c r="I5" s="952"/>
    </row>
    <row r="6" spans="1:9">
      <c r="A6" s="921" t="s">
        <v>657</v>
      </c>
      <c r="I6" s="924"/>
    </row>
    <row r="7" spans="1:9">
      <c r="A7" s="921" t="s">
        <v>658</v>
      </c>
      <c r="I7" s="924"/>
    </row>
    <row r="8" spans="1:9">
      <c r="A8" s="921"/>
      <c r="I8" s="924"/>
    </row>
    <row r="10" spans="1:9">
      <c r="C10" s="894" t="s">
        <v>618</v>
      </c>
      <c r="G10" s="951" t="s">
        <v>650</v>
      </c>
    </row>
    <row r="11" spans="1:9">
      <c r="A11" t="s">
        <v>619</v>
      </c>
      <c r="C11" s="894" t="s">
        <v>620</v>
      </c>
      <c r="G11" s="952"/>
    </row>
    <row r="12" spans="1:9">
      <c r="C12" s="894" t="s">
        <v>622</v>
      </c>
    </row>
    <row r="13" spans="1:9">
      <c r="C13" s="894"/>
      <c r="G13" s="917" t="s">
        <v>621</v>
      </c>
    </row>
    <row r="14" spans="1:9" ht="14.4">
      <c r="A14" t="s">
        <v>19</v>
      </c>
      <c r="B14" t="s">
        <v>624</v>
      </c>
      <c r="C14" s="927">
        <v>263655</v>
      </c>
      <c r="G14" s="895" t="s">
        <v>649</v>
      </c>
    </row>
    <row r="15" spans="1:9" ht="14.4">
      <c r="A15" t="s">
        <v>626</v>
      </c>
      <c r="B15" t="s">
        <v>627</v>
      </c>
      <c r="C15" s="928">
        <f>ROUND(0.485*0.095,4)</f>
        <v>4.6100000000000002E-2</v>
      </c>
      <c r="F15" t="s">
        <v>623</v>
      </c>
      <c r="G15" s="896">
        <v>30851913.829553626</v>
      </c>
    </row>
    <row r="16" spans="1:9">
      <c r="A16" t="s">
        <v>629</v>
      </c>
      <c r="B16" t="s">
        <v>627</v>
      </c>
      <c r="C16" s="898">
        <f>C17-C15</f>
        <v>2.6800000000000004E-2</v>
      </c>
      <c r="F16" t="s">
        <v>625</v>
      </c>
      <c r="G16" s="897">
        <v>24597131.33327429</v>
      </c>
    </row>
    <row r="17" spans="1:7" ht="14.4">
      <c r="A17" t="s">
        <v>631</v>
      </c>
      <c r="B17" t="s">
        <v>627</v>
      </c>
      <c r="C17" s="928">
        <f>7.29%</f>
        <v>7.2900000000000006E-2</v>
      </c>
      <c r="F17" t="s">
        <v>628</v>
      </c>
      <c r="G17" s="897">
        <v>20997853.983418308</v>
      </c>
    </row>
    <row r="18" spans="1:7">
      <c r="F18" t="s">
        <v>630</v>
      </c>
      <c r="G18" s="899">
        <v>12961292.475496808</v>
      </c>
    </row>
    <row r="19" spans="1:7">
      <c r="A19" t="s">
        <v>634</v>
      </c>
      <c r="C19" s="902">
        <f>C14*C15</f>
        <v>12154.495500000001</v>
      </c>
      <c r="F19" t="s">
        <v>632</v>
      </c>
      <c r="G19" s="901">
        <v>7241220.1058081556</v>
      </c>
    </row>
    <row r="20" spans="1:7">
      <c r="A20" t="s">
        <v>24</v>
      </c>
      <c r="C20" s="902">
        <f>C14*C16</f>
        <v>7065.9540000000015</v>
      </c>
      <c r="F20" t="s">
        <v>633</v>
      </c>
      <c r="G20" s="901">
        <v>4706553.6207728311</v>
      </c>
    </row>
    <row r="21" spans="1:7">
      <c r="A21" s="903"/>
      <c r="B21" s="904" t="s">
        <v>637</v>
      </c>
      <c r="C21" s="905">
        <f>SUM(C19:C20)</f>
        <v>19220.449500000002</v>
      </c>
      <c r="F21" t="s">
        <v>635</v>
      </c>
      <c r="G21" s="901">
        <v>4136344.5123418896</v>
      </c>
    </row>
    <row r="22" spans="1:7">
      <c r="F22" t="s">
        <v>636</v>
      </c>
      <c r="G22" s="901">
        <v>4113714.0665525412</v>
      </c>
    </row>
    <row r="23" spans="1:7">
      <c r="A23" t="s">
        <v>640</v>
      </c>
      <c r="B23" s="906">
        <v>0.35</v>
      </c>
      <c r="C23" s="902">
        <f>C19/(1-$B23)</f>
        <v>18699.223846153847</v>
      </c>
      <c r="F23" t="s">
        <v>638</v>
      </c>
      <c r="G23" s="901">
        <v>4888933.1004169006</v>
      </c>
    </row>
    <row r="24" spans="1:7">
      <c r="A24" t="s">
        <v>642</v>
      </c>
      <c r="C24" s="902">
        <f>C23-C19</f>
        <v>6544.7283461538464</v>
      </c>
      <c r="F24" t="s">
        <v>639</v>
      </c>
      <c r="G24" s="901">
        <v>11713062.096173175</v>
      </c>
    </row>
    <row r="25" spans="1:7">
      <c r="F25" t="s">
        <v>641</v>
      </c>
      <c r="G25" s="901">
        <v>23111115.343282789</v>
      </c>
    </row>
    <row r="26" spans="1:7">
      <c r="A26" t="s">
        <v>640</v>
      </c>
      <c r="B26" s="906">
        <v>0.21</v>
      </c>
      <c r="C26" s="902">
        <f>C19/(1-$B26)</f>
        <v>15385.437341772153</v>
      </c>
      <c r="F26" s="907" t="s">
        <v>643</v>
      </c>
      <c r="G26" s="908">
        <v>31686611.698450606</v>
      </c>
    </row>
    <row r="27" spans="1:7">
      <c r="A27" t="s">
        <v>642</v>
      </c>
      <c r="C27" s="902">
        <f>C26-C19</f>
        <v>3230.9418417721517</v>
      </c>
      <c r="F27" t="s">
        <v>26</v>
      </c>
      <c r="G27" s="900">
        <f>SUM(G15:G26)</f>
        <v>181005746.16554192</v>
      </c>
    </row>
    <row r="28" spans="1:7">
      <c r="C28" s="902"/>
    </row>
    <row r="29" spans="1:7">
      <c r="A29" t="s">
        <v>644</v>
      </c>
      <c r="C29" s="902">
        <f>C27-C24</f>
        <v>-3313.7865043816946</v>
      </c>
      <c r="G29" s="930" t="s">
        <v>659</v>
      </c>
    </row>
    <row r="30" spans="1:7">
      <c r="B30" s="904" t="s">
        <v>645</v>
      </c>
      <c r="C30">
        <v>0.95353500000000002</v>
      </c>
      <c r="G30" s="917" t="s">
        <v>660</v>
      </c>
    </row>
    <row r="31" spans="1:7">
      <c r="A31" t="s">
        <v>646</v>
      </c>
      <c r="C31" s="902">
        <f>C29/C30</f>
        <v>-3475.2646776276638</v>
      </c>
      <c r="G31" s="894" t="s">
        <v>600</v>
      </c>
    </row>
    <row r="32" spans="1:7" ht="13.8" thickBot="1">
      <c r="C32" s="909"/>
      <c r="G32" s="894">
        <f>SUM(G15:G18)/G27</f>
        <v>0.49395222812414608</v>
      </c>
    </row>
    <row r="33" spans="1:3" ht="13.8" thickBot="1">
      <c r="A33" t="s">
        <v>647</v>
      </c>
      <c r="B33" s="894"/>
      <c r="C33" s="910">
        <f>C31*G32</f>
        <v>-1716.6147308353268</v>
      </c>
    </row>
    <row r="37" spans="1:3">
      <c r="A37" s="911" t="s">
        <v>591</v>
      </c>
      <c r="B37" s="912"/>
      <c r="C37" s="913">
        <f>'ADJ DETAIL INPUT'!E88</f>
        <v>0.75329299999999999</v>
      </c>
    </row>
    <row r="38" spans="1:3">
      <c r="A38" s="914" t="s">
        <v>648</v>
      </c>
      <c r="B38" s="915"/>
      <c r="C38" s="916">
        <f>C33*C37</f>
        <v>-1293.1138604351358</v>
      </c>
    </row>
  </sheetData>
  <mergeCells count="2">
    <mergeCell ref="I4:I5"/>
    <mergeCell ref="G10:G11"/>
  </mergeCells>
  <pageMargins left="0.7" right="0.7" top="0.75" bottom="0.75" header="0.3" footer="0.3"/>
  <pageSetup scale="24" orientation="portrait" r:id="rId1"/>
  <headerFooter>
    <oddHeader>&amp;RExhibit No. JH-3
Dockets UE-170485/UG-170486
Page &amp;P of &amp;N</oddHeader>
    <oddFooter>&amp;LBench Request No.9 - Attachment B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tabSelected="1" topLeftCell="A32" zoomScaleNormal="100" zoomScaleSheetLayoutView="85" workbookViewId="0">
      <selection activeCell="R46" sqref="R46"/>
    </sheetView>
  </sheetViews>
  <sheetFormatPr defaultColWidth="11.44140625" defaultRowHeight="13.2"/>
  <cols>
    <col min="1" max="1" width="6.44140625" style="35" customWidth="1"/>
    <col min="2" max="2" width="34.77734375" style="35" customWidth="1"/>
    <col min="3" max="3" width="4.44140625" style="35" customWidth="1"/>
    <col min="4" max="4" width="3.21875" style="35" customWidth="1"/>
    <col min="5" max="5" width="12.21875" style="35" customWidth="1"/>
    <col min="6" max="6" width="11.44140625" style="35" customWidth="1"/>
    <col min="7" max="7" width="9.77734375" style="35" customWidth="1"/>
    <col min="8" max="9" width="11.44140625" style="35" customWidth="1"/>
    <col min="10" max="10" width="13.77734375" style="379" customWidth="1"/>
    <col min="11" max="11" width="12.77734375" style="35" customWidth="1"/>
    <col min="12" max="13" width="0" style="35" hidden="1" customWidth="1"/>
    <col min="14" max="14" width="4.21875" style="35" hidden="1" customWidth="1"/>
    <col min="15" max="15" width="0" style="35" hidden="1" customWidth="1"/>
    <col min="16" max="16" width="11.21875" style="95" customWidth="1"/>
    <col min="17" max="17" width="18.5546875" style="95" customWidth="1"/>
    <col min="18" max="20" width="11.44140625" style="42"/>
    <col min="21" max="16384" width="11.44140625" style="35"/>
  </cols>
  <sheetData>
    <row r="1" spans="1:20" ht="17.399999999999999">
      <c r="A1" s="954"/>
      <c r="B1" s="954"/>
      <c r="C1" s="954"/>
      <c r="D1" s="954"/>
      <c r="E1" s="954"/>
      <c r="F1" s="954"/>
      <c r="G1" s="954"/>
      <c r="H1" s="954"/>
      <c r="I1" s="954"/>
      <c r="J1" s="954"/>
      <c r="K1" s="954"/>
      <c r="L1" s="954"/>
      <c r="M1" s="954"/>
      <c r="N1" s="954"/>
      <c r="O1" s="954"/>
      <c r="P1" s="449"/>
      <c r="Q1" s="449"/>
    </row>
    <row r="2" spans="1:20" ht="17.399999999999999">
      <c r="A2" s="954" t="s">
        <v>115</v>
      </c>
      <c r="B2" s="954"/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954"/>
      <c r="N2" s="954"/>
      <c r="O2" s="954"/>
      <c r="P2" s="449"/>
      <c r="Q2" s="449"/>
    </row>
    <row r="3" spans="1:20" ht="17.399999999999999">
      <c r="A3" s="954" t="s">
        <v>181</v>
      </c>
      <c r="B3" s="954"/>
      <c r="C3" s="954"/>
      <c r="D3" s="954"/>
      <c r="E3" s="954"/>
      <c r="F3" s="954"/>
      <c r="G3" s="954"/>
      <c r="H3" s="954"/>
      <c r="I3" s="954"/>
      <c r="J3" s="954"/>
      <c r="K3" s="954"/>
      <c r="L3" s="954"/>
      <c r="M3" s="954"/>
      <c r="N3" s="954"/>
      <c r="O3" s="954"/>
      <c r="P3" s="449"/>
      <c r="Q3" s="449"/>
    </row>
    <row r="4" spans="1:20" s="42" customFormat="1" ht="17.399999999999999">
      <c r="A4" s="450"/>
      <c r="B4" s="450"/>
      <c r="C4" s="450"/>
      <c r="D4" s="450"/>
      <c r="E4" s="450"/>
      <c r="F4" s="450"/>
      <c r="G4" s="451"/>
      <c r="H4" s="452"/>
      <c r="I4" s="450"/>
      <c r="J4" s="451"/>
      <c r="K4" s="450"/>
      <c r="L4" s="450"/>
      <c r="M4" s="450"/>
      <c r="N4" s="450"/>
      <c r="O4" s="452"/>
      <c r="P4" s="453"/>
      <c r="Q4" s="453"/>
    </row>
    <row r="5" spans="1:20" ht="13.8">
      <c r="A5" s="439"/>
      <c r="B5" s="439"/>
      <c r="C5" s="439"/>
      <c r="D5" s="439"/>
      <c r="E5" s="439"/>
      <c r="F5" s="439"/>
      <c r="G5" s="439"/>
      <c r="H5" s="454" t="s">
        <v>155</v>
      </c>
      <c r="I5" s="439"/>
      <c r="J5" s="439"/>
      <c r="K5" s="439"/>
      <c r="L5" s="439"/>
      <c r="M5" s="439"/>
      <c r="N5" s="439"/>
      <c r="O5" s="439"/>
      <c r="P5" s="449"/>
      <c r="Q5" s="449"/>
    </row>
    <row r="6" spans="1:20">
      <c r="A6" s="439"/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49"/>
      <c r="Q6" s="449"/>
    </row>
    <row r="7" spans="1:20" s="42" customFormat="1">
      <c r="A7" s="439"/>
      <c r="B7" s="439"/>
      <c r="C7" s="439"/>
      <c r="D7" s="439"/>
      <c r="E7" s="439"/>
      <c r="F7" s="439"/>
      <c r="G7" s="439"/>
      <c r="H7" s="451"/>
      <c r="I7" s="439"/>
      <c r="J7" s="455" t="s">
        <v>558</v>
      </c>
      <c r="K7" s="456" t="s">
        <v>558</v>
      </c>
      <c r="L7" s="457"/>
      <c r="M7" s="944" t="s">
        <v>172</v>
      </c>
      <c r="N7" s="944"/>
      <c r="O7" s="944"/>
      <c r="P7" s="453"/>
      <c r="Q7" s="453"/>
    </row>
    <row r="8" spans="1:20" s="42" customFormat="1">
      <c r="A8" s="439"/>
      <c r="B8" s="439"/>
      <c r="C8" s="439"/>
      <c r="D8" s="439"/>
      <c r="E8" s="944" t="s">
        <v>547</v>
      </c>
      <c r="F8" s="944"/>
      <c r="G8" s="436" t="s">
        <v>548</v>
      </c>
      <c r="H8" s="955" t="s">
        <v>558</v>
      </c>
      <c r="I8" s="955"/>
      <c r="J8" s="436" t="s">
        <v>548</v>
      </c>
      <c r="K8" s="442" t="s">
        <v>548</v>
      </c>
      <c r="L8" s="944" t="s">
        <v>173</v>
      </c>
      <c r="M8" s="944"/>
      <c r="N8" s="451"/>
      <c r="O8" s="456" t="s">
        <v>174</v>
      </c>
      <c r="P8" s="453"/>
      <c r="Q8" s="453"/>
    </row>
    <row r="9" spans="1:20" s="42" customFormat="1">
      <c r="A9" s="439"/>
      <c r="B9" s="439"/>
      <c r="C9" s="439"/>
      <c r="D9" s="439"/>
      <c r="E9" s="953" t="s">
        <v>71</v>
      </c>
      <c r="F9" s="953"/>
      <c r="G9" s="437" t="s">
        <v>549</v>
      </c>
      <c r="H9" s="953" t="s">
        <v>71</v>
      </c>
      <c r="I9" s="953"/>
      <c r="J9" s="437" t="s">
        <v>556</v>
      </c>
      <c r="K9" s="443" t="s">
        <v>556</v>
      </c>
      <c r="L9" s="953" t="s">
        <v>71</v>
      </c>
      <c r="M9" s="953"/>
      <c r="N9" s="451"/>
      <c r="O9" s="455" t="s">
        <v>175</v>
      </c>
      <c r="P9" s="458" t="s">
        <v>553</v>
      </c>
      <c r="Q9" s="453"/>
    </row>
    <row r="10" spans="1:20">
      <c r="A10" s="459" t="s">
        <v>176</v>
      </c>
      <c r="B10" s="459" t="s">
        <v>73</v>
      </c>
      <c r="C10" s="455"/>
      <c r="D10" s="455"/>
      <c r="E10" s="459" t="s">
        <v>74</v>
      </c>
      <c r="F10" s="459" t="s">
        <v>19</v>
      </c>
      <c r="G10" s="438" t="s">
        <v>550</v>
      </c>
      <c r="H10" s="459" t="s">
        <v>74</v>
      </c>
      <c r="I10" s="459" t="s">
        <v>19</v>
      </c>
      <c r="J10" s="444">
        <v>7.6899999999999996E-2</v>
      </c>
      <c r="K10" s="444">
        <f>+'RR SUMMARY'!N26</f>
        <v>7.2004799999999994E-2</v>
      </c>
      <c r="L10" s="459" t="s">
        <v>74</v>
      </c>
      <c r="M10" s="459" t="s">
        <v>19</v>
      </c>
      <c r="N10" s="439"/>
      <c r="O10" s="460">
        <f>'RR SUMMARY'!H29</f>
        <v>0.75329299999999999</v>
      </c>
      <c r="P10" s="461"/>
      <c r="Q10" s="449"/>
    </row>
    <row r="11" spans="1:20">
      <c r="A11" s="462">
        <f>'ADJ DETAIL INPUT'!E$11</f>
        <v>1</v>
      </c>
      <c r="B11" s="445" t="str">
        <f>TRIM(CONCATENATE('ADJ DETAIL INPUT'!E$8," ",'ADJ DETAIL INPUT'!E$9," ",'ADJ DETAIL INPUT'!E$10))</f>
        <v>Per Results Report</v>
      </c>
      <c r="C11" s="439"/>
      <c r="D11" s="439"/>
      <c r="E11" s="446">
        <v>23458</v>
      </c>
      <c r="F11" s="446">
        <v>287787</v>
      </c>
      <c r="G11" s="446">
        <f>ROUND((-+E11+(F11*7.69%))/0.620645,0)</f>
        <v>-2138</v>
      </c>
      <c r="H11" s="446">
        <f>'ADJ DETAIL INPUT'!E$59</f>
        <v>23458</v>
      </c>
      <c r="I11" s="446">
        <f>'ADJ DETAIL INPUT'!E$82</f>
        <v>287787</v>
      </c>
      <c r="J11" s="446">
        <f>ROUND((-+H11+(I11*7.69%))/0.620645,0)</f>
        <v>-2138</v>
      </c>
      <c r="K11" s="446">
        <f>ROUND((-+H11+(I11*$K$10))/0.619798,0)</f>
        <v>-4414</v>
      </c>
      <c r="L11" s="446">
        <f>H11-E11</f>
        <v>0</v>
      </c>
      <c r="M11" s="446">
        <f>I11-F11</f>
        <v>0</v>
      </c>
      <c r="N11" s="446"/>
      <c r="O11" s="446">
        <f>L11/$O$10*-1</f>
        <v>0</v>
      </c>
      <c r="P11" s="463">
        <f>+J11-G11</f>
        <v>0</v>
      </c>
      <c r="Q11" s="449"/>
      <c r="R11" s="93"/>
    </row>
    <row r="12" spans="1:20" s="54" customFormat="1">
      <c r="A12" s="462">
        <f>'ADJ DETAIL INPUT'!F$11</f>
        <v>1.01</v>
      </c>
      <c r="B12" s="445" t="str">
        <f>TRIM(CONCATENATE('ADJ DETAIL INPUT'!F$8," ",'ADJ DETAIL INPUT'!F$9," ",'ADJ DETAIL INPUT'!F$10))</f>
        <v>Deferred FIT Rate Base</v>
      </c>
      <c r="C12" s="439"/>
      <c r="D12" s="439"/>
      <c r="E12" s="446">
        <v>-3.2873749999999999</v>
      </c>
      <c r="F12" s="446">
        <v>-325</v>
      </c>
      <c r="G12" s="446">
        <f t="shared" ref="G12:G14" si="0">ROUND((-+E12+(F12*7.69%))/0.620645,0)</f>
        <v>-35</v>
      </c>
      <c r="H12" s="446">
        <f>'ADJ DETAIL INPUT'!F$59</f>
        <v>-3.1701897499999996</v>
      </c>
      <c r="I12" s="446">
        <f>'ADJ DETAIL INPUT'!F$82</f>
        <v>-325</v>
      </c>
      <c r="J12" s="446">
        <f t="shared" ref="J12:J14" si="1">ROUND((-+H12+(I12*7.69%))/0.620645,0)</f>
        <v>-35</v>
      </c>
      <c r="K12" s="446">
        <f t="shared" ref="K12:K14" si="2">ROUND((-+H12+(I12*$K$10))/0.619798,0)</f>
        <v>-33</v>
      </c>
      <c r="L12" s="446">
        <f t="shared" ref="L12:L14" si="3">H12-E12</f>
        <v>0.11718525000000035</v>
      </c>
      <c r="M12" s="446">
        <f t="shared" ref="M12:M14" si="4">I12-F12</f>
        <v>0</v>
      </c>
      <c r="N12" s="446"/>
      <c r="O12" s="446">
        <f t="shared" ref="O12:O14" si="5">L12/$O$10*-1</f>
        <v>-0.15556397046036582</v>
      </c>
      <c r="P12" s="463">
        <f>+J12-G12</f>
        <v>0</v>
      </c>
      <c r="Q12" s="449"/>
      <c r="R12" s="97"/>
      <c r="S12" s="55"/>
      <c r="T12" s="55"/>
    </row>
    <row r="13" spans="1:20" s="54" customFormat="1">
      <c r="A13" s="462">
        <f>'ADJ DETAIL INPUT'!G$11</f>
        <v>1.02</v>
      </c>
      <c r="B13" s="445" t="str">
        <f>TRIM(CONCATENATE('ADJ DETAIL INPUT'!G$8," ",'ADJ DETAIL INPUT'!G$9," ",'ADJ DETAIL INPUT'!G$10))</f>
        <v>Deferred Debits and Credits</v>
      </c>
      <c r="C13" s="439"/>
      <c r="D13" s="439"/>
      <c r="E13" s="446">
        <v>-1.3</v>
      </c>
      <c r="F13" s="446">
        <v>0</v>
      </c>
      <c r="G13" s="446">
        <f t="shared" si="0"/>
        <v>2</v>
      </c>
      <c r="H13" s="446">
        <f>'ADJ DETAIL INPUT'!G$59</f>
        <v>-1.3</v>
      </c>
      <c r="I13" s="446">
        <f>'ADJ DETAIL INPUT'!G$82</f>
        <v>0</v>
      </c>
      <c r="J13" s="446">
        <f t="shared" si="1"/>
        <v>2</v>
      </c>
      <c r="K13" s="446">
        <f t="shared" si="2"/>
        <v>2</v>
      </c>
      <c r="L13" s="446">
        <f t="shared" si="3"/>
        <v>0</v>
      </c>
      <c r="M13" s="446">
        <f t="shared" si="4"/>
        <v>0</v>
      </c>
      <c r="N13" s="446"/>
      <c r="O13" s="446">
        <f t="shared" si="5"/>
        <v>0</v>
      </c>
      <c r="P13" s="463">
        <f>+J13-G13</f>
        <v>0</v>
      </c>
      <c r="Q13" s="449"/>
      <c r="R13" s="97"/>
      <c r="S13" s="55"/>
      <c r="T13" s="55"/>
    </row>
    <row r="14" spans="1:20" s="54" customFormat="1">
      <c r="A14" s="462">
        <f>'ADJ DETAIL INPUT'!H$11</f>
        <v>1.03</v>
      </c>
      <c r="B14" s="445" t="str">
        <f>TRIM(CONCATENATE('ADJ DETAIL INPUT'!H$8," ",'ADJ DETAIL INPUT'!H$9," ",'ADJ DETAIL INPUT'!H$10))</f>
        <v>Working Capital</v>
      </c>
      <c r="C14" s="439"/>
      <c r="D14" s="439"/>
      <c r="E14" s="446">
        <v>-8.7393599999999996</v>
      </c>
      <c r="F14" s="446">
        <v>-864</v>
      </c>
      <c r="G14" s="446">
        <f t="shared" si="0"/>
        <v>-93</v>
      </c>
      <c r="H14" s="446">
        <f>'ADJ DETAIL INPUT'!H$59</f>
        <v>-40.793026259999991</v>
      </c>
      <c r="I14" s="446">
        <f>'ADJ DETAIL INPUT'!H$82</f>
        <v>-4182</v>
      </c>
      <c r="J14" s="446">
        <f t="shared" si="1"/>
        <v>-452</v>
      </c>
      <c r="K14" s="446">
        <f t="shared" si="2"/>
        <v>-420</v>
      </c>
      <c r="L14" s="446">
        <f t="shared" si="3"/>
        <v>-32.053666259999993</v>
      </c>
      <c r="M14" s="446">
        <f t="shared" si="4"/>
        <v>-3318</v>
      </c>
      <c r="N14" s="446"/>
      <c r="O14" s="446">
        <f t="shared" si="5"/>
        <v>42.551392698458628</v>
      </c>
      <c r="P14" s="463">
        <f>+J14-G14</f>
        <v>-359</v>
      </c>
      <c r="Q14" s="449"/>
      <c r="R14" s="97"/>
      <c r="S14" s="55"/>
      <c r="T14" s="55"/>
    </row>
    <row r="15" spans="1:20" ht="15.75" customHeight="1">
      <c r="A15" s="462"/>
      <c r="B15" s="464"/>
      <c r="C15" s="449"/>
      <c r="D15" s="449"/>
      <c r="E15" s="446"/>
      <c r="F15" s="446"/>
      <c r="G15" s="463"/>
      <c r="H15" s="463"/>
      <c r="I15" s="463"/>
      <c r="J15" s="463"/>
      <c r="K15" s="465"/>
      <c r="L15" s="446"/>
      <c r="M15" s="446"/>
      <c r="N15" s="446"/>
      <c r="O15" s="446"/>
      <c r="P15" s="463"/>
      <c r="Q15" s="449"/>
      <c r="R15" s="93"/>
    </row>
    <row r="16" spans="1:20" ht="8.25" customHeight="1">
      <c r="A16" s="462"/>
      <c r="B16" s="445"/>
      <c r="C16" s="439"/>
      <c r="D16" s="439"/>
      <c r="E16" s="446"/>
      <c r="F16" s="446"/>
      <c r="G16" s="446"/>
      <c r="H16" s="446"/>
      <c r="I16" s="446"/>
      <c r="J16" s="446"/>
      <c r="K16" s="457"/>
      <c r="L16" s="446"/>
      <c r="M16" s="446"/>
      <c r="N16" s="446"/>
      <c r="O16" s="446"/>
      <c r="P16" s="463"/>
      <c r="Q16" s="449"/>
      <c r="R16" s="93"/>
    </row>
    <row r="17" spans="1:20">
      <c r="A17" s="462"/>
      <c r="B17" s="439" t="s">
        <v>76</v>
      </c>
      <c r="C17" s="439"/>
      <c r="D17" s="439"/>
      <c r="E17" s="466">
        <f t="shared" ref="E17:K17" si="6">SUM(E11:E16)</f>
        <v>23444.673265000001</v>
      </c>
      <c r="F17" s="466">
        <f t="shared" si="6"/>
        <v>286598</v>
      </c>
      <c r="G17" s="466">
        <f t="shared" si="6"/>
        <v>-2264</v>
      </c>
      <c r="H17" s="466">
        <f t="shared" si="6"/>
        <v>23412.736783990003</v>
      </c>
      <c r="I17" s="466">
        <f t="shared" si="6"/>
        <v>283280</v>
      </c>
      <c r="J17" s="466">
        <f t="shared" si="6"/>
        <v>-2623</v>
      </c>
      <c r="K17" s="466">
        <f t="shared" si="6"/>
        <v>-4865</v>
      </c>
      <c r="L17" s="466">
        <f t="shared" ref="L17:P17" si="7">SUM(L11:L16)</f>
        <v>-31.936481009999994</v>
      </c>
      <c r="M17" s="466">
        <f t="shared" si="7"/>
        <v>-3318</v>
      </c>
      <c r="N17" s="466">
        <f t="shared" si="7"/>
        <v>0</v>
      </c>
      <c r="O17" s="466">
        <f t="shared" si="7"/>
        <v>42.395828727998264</v>
      </c>
      <c r="P17" s="466">
        <f t="shared" si="7"/>
        <v>-359</v>
      </c>
      <c r="Q17" s="449"/>
      <c r="R17" s="93"/>
    </row>
    <row r="18" spans="1:20" ht="5.25" customHeight="1">
      <c r="A18" s="462"/>
      <c r="B18" s="445"/>
      <c r="C18" s="439"/>
      <c r="D18" s="439"/>
      <c r="E18" s="446"/>
      <c r="F18" s="446"/>
      <c r="G18" s="446"/>
      <c r="H18" s="446"/>
      <c r="I18" s="446"/>
      <c r="J18" s="446"/>
      <c r="K18" s="457"/>
      <c r="L18" s="446"/>
      <c r="M18" s="446"/>
      <c r="N18" s="446"/>
      <c r="O18" s="446"/>
      <c r="P18" s="463"/>
      <c r="Q18" s="449"/>
    </row>
    <row r="19" spans="1:20" s="54" customFormat="1">
      <c r="A19" s="467">
        <f>'ADJ DETAIL INPUT'!I$11</f>
        <v>2.0099999999999998</v>
      </c>
      <c r="B19" s="445" t="str">
        <f>TRIM(CONCATENATE('ADJ DETAIL INPUT'!I$8," ",'ADJ DETAIL INPUT'!I$9," ",'ADJ DETAIL INPUT'!I$10))</f>
        <v>Eliminate B &amp; O Taxes</v>
      </c>
      <c r="C19" s="439"/>
      <c r="D19" s="439"/>
      <c r="E19" s="446">
        <v>-20.8</v>
      </c>
      <c r="F19" s="446">
        <v>0</v>
      </c>
      <c r="G19" s="446">
        <f>ROUND((-+E19+(F19*7.69%))/0.620645,0)</f>
        <v>34</v>
      </c>
      <c r="H19" s="446">
        <f>'ADJ DETAIL INPUT'!I$59</f>
        <v>-20.8</v>
      </c>
      <c r="I19" s="446">
        <f>'ADJ DETAIL INPUT'!I$82</f>
        <v>0</v>
      </c>
      <c r="J19" s="446">
        <f>ROUND((-+H19+(I19*7.69%))/0.620645,0)</f>
        <v>34</v>
      </c>
      <c r="K19" s="446">
        <f>ROUND((-+H19+(I19*$K$10))/0.619798,0)</f>
        <v>34</v>
      </c>
      <c r="L19" s="446">
        <f t="shared" ref="L19:L26" si="8">H19-E19</f>
        <v>0</v>
      </c>
      <c r="M19" s="446">
        <f t="shared" ref="M19:M30" si="9">I19-F19</f>
        <v>0</v>
      </c>
      <c r="N19" s="446"/>
      <c r="O19" s="446">
        <f t="shared" ref="O19:O30" si="10">L19/$O$10*-1</f>
        <v>0</v>
      </c>
      <c r="P19" s="463">
        <f t="shared" ref="P19:P34" si="11">+J19-G19</f>
        <v>0</v>
      </c>
      <c r="Q19" s="449"/>
      <c r="R19" s="42"/>
      <c r="S19" s="55"/>
      <c r="T19" s="55"/>
    </row>
    <row r="20" spans="1:20" s="54" customFormat="1">
      <c r="A20" s="467">
        <f>'ADJ DETAIL INPUT'!J$11</f>
        <v>2.0199999999999996</v>
      </c>
      <c r="B20" s="445" t="str">
        <f>TRIM(CONCATENATE('ADJ DETAIL INPUT'!J$8," ",'ADJ DETAIL INPUT'!J$9," ",'ADJ DETAIL INPUT'!J$10))</f>
        <v>Restate Property Tax</v>
      </c>
      <c r="C20" s="439"/>
      <c r="D20" s="439"/>
      <c r="E20" s="446">
        <v>-243.75</v>
      </c>
      <c r="F20" s="446">
        <v>0</v>
      </c>
      <c r="G20" s="446">
        <f t="shared" ref="G20:G31" si="12">ROUND((-+E20+(F20*7.69%))/0.620645,0)</f>
        <v>393</v>
      </c>
      <c r="H20" s="446">
        <f>'ADJ DETAIL INPUT'!J$59</f>
        <v>-168.35000000000002</v>
      </c>
      <c r="I20" s="446">
        <f>'ADJ DETAIL INPUT'!J$82</f>
        <v>0</v>
      </c>
      <c r="J20" s="446">
        <f t="shared" ref="J20:J31" si="13">ROUND((-+H20+(I20*7.69%))/0.620645,0)</f>
        <v>271</v>
      </c>
      <c r="K20" s="446">
        <f t="shared" ref="K20:K34" si="14">ROUND((-+H20+(I20*$K$10))/0.619798,0)</f>
        <v>272</v>
      </c>
      <c r="L20" s="446">
        <f t="shared" si="8"/>
        <v>75.399999999999977</v>
      </c>
      <c r="M20" s="446">
        <f t="shared" si="9"/>
        <v>0</v>
      </c>
      <c r="N20" s="446"/>
      <c r="O20" s="446">
        <f t="shared" si="10"/>
        <v>-100.09385458247984</v>
      </c>
      <c r="P20" s="463">
        <f t="shared" si="11"/>
        <v>-122</v>
      </c>
      <c r="Q20" s="449"/>
      <c r="R20" s="120"/>
      <c r="S20" s="55"/>
      <c r="T20" s="55"/>
    </row>
    <row r="21" spans="1:20" s="54" customFormat="1">
      <c r="A21" s="467">
        <f>'ADJ DETAIL INPUT'!K$11</f>
        <v>2.0299999999999994</v>
      </c>
      <c r="B21" s="445" t="str">
        <f>TRIM(CONCATENATE('ADJ DETAIL INPUT'!K$8," ",'ADJ DETAIL INPUT'!K$9," ",'ADJ DETAIL INPUT'!K$10))</f>
        <v>Uncollectible Expense</v>
      </c>
      <c r="C21" s="439"/>
      <c r="D21" s="439"/>
      <c r="E21" s="446">
        <v>383.5</v>
      </c>
      <c r="F21" s="446">
        <v>0</v>
      </c>
      <c r="G21" s="446">
        <f t="shared" si="12"/>
        <v>-618</v>
      </c>
      <c r="H21" s="446">
        <f>'ADJ DETAIL INPUT'!K$59</f>
        <v>250.9</v>
      </c>
      <c r="I21" s="446">
        <f>'ADJ DETAIL INPUT'!K$82</f>
        <v>0</v>
      </c>
      <c r="J21" s="446">
        <f t="shared" si="13"/>
        <v>-404</v>
      </c>
      <c r="K21" s="446">
        <f t="shared" si="14"/>
        <v>-405</v>
      </c>
      <c r="L21" s="446">
        <f t="shared" ref="L21" si="15">H21-E21</f>
        <v>-132.6</v>
      </c>
      <c r="M21" s="446">
        <f t="shared" ref="M21" si="16">I21-F21</f>
        <v>0</v>
      </c>
      <c r="N21" s="446"/>
      <c r="O21" s="446">
        <f t="shared" ref="O21" si="17">L21/$O$10*-1</f>
        <v>176.02712357608527</v>
      </c>
      <c r="P21" s="463">
        <f t="shared" si="11"/>
        <v>214</v>
      </c>
      <c r="Q21" s="449"/>
      <c r="R21" s="120"/>
      <c r="S21" s="55"/>
      <c r="T21" s="55"/>
    </row>
    <row r="22" spans="1:20" s="54" customFormat="1">
      <c r="A22" s="467">
        <f>'ADJ DETAIL INPUT'!L$11</f>
        <v>2.0399999999999991</v>
      </c>
      <c r="B22" s="445" t="str">
        <f>TRIM(CONCATENATE('ADJ DETAIL INPUT'!L$8," ",'ADJ DETAIL INPUT'!L$9," ",'ADJ DETAIL INPUT'!L$10))</f>
        <v>Regulatory Expense</v>
      </c>
      <c r="C22" s="439"/>
      <c r="D22" s="439"/>
      <c r="E22" s="446">
        <v>1.9500000000000002</v>
      </c>
      <c r="F22" s="446">
        <v>0</v>
      </c>
      <c r="G22" s="446">
        <f t="shared" si="12"/>
        <v>-3</v>
      </c>
      <c r="H22" s="446">
        <f>'ADJ DETAIL INPUT'!L$59</f>
        <v>1.9500000000000002</v>
      </c>
      <c r="I22" s="446">
        <f>'ADJ DETAIL INPUT'!L$82</f>
        <v>0</v>
      </c>
      <c r="J22" s="446">
        <f t="shared" si="13"/>
        <v>-3</v>
      </c>
      <c r="K22" s="446">
        <f t="shared" si="14"/>
        <v>-3</v>
      </c>
      <c r="L22" s="446">
        <f t="shared" si="8"/>
        <v>0</v>
      </c>
      <c r="M22" s="446">
        <f t="shared" si="9"/>
        <v>0</v>
      </c>
      <c r="N22" s="446"/>
      <c r="O22" s="446">
        <f t="shared" si="10"/>
        <v>0</v>
      </c>
      <c r="P22" s="463">
        <f t="shared" si="11"/>
        <v>0</v>
      </c>
      <c r="Q22" s="449"/>
      <c r="R22" s="120"/>
      <c r="S22" s="55"/>
      <c r="T22" s="55"/>
    </row>
    <row r="23" spans="1:20" s="54" customFormat="1">
      <c r="A23" s="467">
        <f>'ADJ DETAIL INPUT'!M$11</f>
        <v>2.0499999999999989</v>
      </c>
      <c r="B23" s="445" t="str">
        <f>TRIM(CONCATENATE('ADJ DETAIL INPUT'!M$8," ",'ADJ DETAIL INPUT'!M$9," ",'ADJ DETAIL INPUT'!M$10))</f>
        <v>Injuries &amp; Damages</v>
      </c>
      <c r="C23" s="439"/>
      <c r="D23" s="439"/>
      <c r="E23" s="446">
        <v>-49.400000000000006</v>
      </c>
      <c r="F23" s="446">
        <v>0</v>
      </c>
      <c r="G23" s="446">
        <f t="shared" si="12"/>
        <v>80</v>
      </c>
      <c r="H23" s="446">
        <f>'ADJ DETAIL INPUT'!M$59</f>
        <v>-49.400000000000006</v>
      </c>
      <c r="I23" s="446">
        <f>'ADJ DETAIL INPUT'!M$82</f>
        <v>0</v>
      </c>
      <c r="J23" s="446">
        <f t="shared" si="13"/>
        <v>80</v>
      </c>
      <c r="K23" s="446">
        <f t="shared" si="14"/>
        <v>80</v>
      </c>
      <c r="L23" s="446">
        <f t="shared" si="8"/>
        <v>0</v>
      </c>
      <c r="M23" s="446">
        <f t="shared" si="9"/>
        <v>0</v>
      </c>
      <c r="N23" s="446"/>
      <c r="O23" s="446">
        <f t="shared" si="10"/>
        <v>0</v>
      </c>
      <c r="P23" s="463">
        <f t="shared" si="11"/>
        <v>0</v>
      </c>
      <c r="Q23" s="449"/>
      <c r="R23" s="120"/>
      <c r="S23" s="55"/>
      <c r="T23" s="55"/>
    </row>
    <row r="24" spans="1:20" s="54" customFormat="1">
      <c r="A24" s="467">
        <f>'ADJ DETAIL INPUT'!N$11</f>
        <v>2.0599999999999987</v>
      </c>
      <c r="B24" s="445" t="str">
        <f>TRIM(CONCATENATE('ADJ DETAIL INPUT'!N$8," ",'ADJ DETAIL INPUT'!N$9," ",'ADJ DETAIL INPUT'!N$10))</f>
        <v>FIT / DFIT Expense</v>
      </c>
      <c r="C24" s="439"/>
      <c r="D24" s="439"/>
      <c r="E24" s="446">
        <v>0</v>
      </c>
      <c r="F24" s="446">
        <v>0</v>
      </c>
      <c r="G24" s="446">
        <f t="shared" si="12"/>
        <v>0</v>
      </c>
      <c r="H24" s="446">
        <f>'ADJ DETAIL INPUT'!N$59</f>
        <v>0</v>
      </c>
      <c r="I24" s="446">
        <f>'ADJ DETAIL INPUT'!N$82</f>
        <v>0</v>
      </c>
      <c r="J24" s="446">
        <f t="shared" si="13"/>
        <v>0</v>
      </c>
      <c r="K24" s="446">
        <f t="shared" si="14"/>
        <v>0</v>
      </c>
      <c r="L24" s="446">
        <f t="shared" si="8"/>
        <v>0</v>
      </c>
      <c r="M24" s="446">
        <f t="shared" si="9"/>
        <v>0</v>
      </c>
      <c r="N24" s="446"/>
      <c r="O24" s="446">
        <f t="shared" si="10"/>
        <v>0</v>
      </c>
      <c r="P24" s="463">
        <f t="shared" si="11"/>
        <v>0</v>
      </c>
      <c r="Q24" s="449"/>
      <c r="R24" s="97"/>
      <c r="S24" s="55"/>
      <c r="T24" s="55"/>
    </row>
    <row r="25" spans="1:20" s="54" customFormat="1">
      <c r="A25" s="467">
        <f>'ADJ DETAIL INPUT'!O$11</f>
        <v>2.0699999999999985</v>
      </c>
      <c r="B25" s="445" t="str">
        <f>TRIM(CONCATENATE('ADJ DETAIL INPUT'!O$8," ",'ADJ DETAIL INPUT'!O$9," ",'ADJ DETAIL INPUT'!O$10))</f>
        <v>Office Space Charges to Subs</v>
      </c>
      <c r="C25" s="439"/>
      <c r="D25" s="439"/>
      <c r="E25" s="446">
        <v>5.85</v>
      </c>
      <c r="F25" s="446">
        <v>0</v>
      </c>
      <c r="G25" s="446">
        <f t="shared" si="12"/>
        <v>-9</v>
      </c>
      <c r="H25" s="446">
        <f>'ADJ DETAIL INPUT'!O$59</f>
        <v>5.85</v>
      </c>
      <c r="I25" s="446">
        <f>'ADJ DETAIL INPUT'!O$82</f>
        <v>0</v>
      </c>
      <c r="J25" s="446">
        <f t="shared" si="13"/>
        <v>-9</v>
      </c>
      <c r="K25" s="446">
        <f t="shared" si="14"/>
        <v>-9</v>
      </c>
      <c r="L25" s="446">
        <f t="shared" si="8"/>
        <v>0</v>
      </c>
      <c r="M25" s="446">
        <f t="shared" si="9"/>
        <v>0</v>
      </c>
      <c r="N25" s="446"/>
      <c r="O25" s="446">
        <f t="shared" si="10"/>
        <v>0</v>
      </c>
      <c r="P25" s="463">
        <f t="shared" si="11"/>
        <v>0</v>
      </c>
      <c r="Q25" s="449"/>
      <c r="R25" s="120"/>
      <c r="S25" s="55"/>
      <c r="T25" s="55"/>
    </row>
    <row r="26" spans="1:20" s="54" customFormat="1">
      <c r="A26" s="467">
        <f>'ADJ DETAIL INPUT'!P$11</f>
        <v>2.0799999999999983</v>
      </c>
      <c r="B26" s="445" t="str">
        <f>TRIM(CONCATENATE('ADJ DETAIL INPUT'!P$8," ",'ADJ DETAIL INPUT'!P$9," ",'ADJ DETAIL INPUT'!P$10))</f>
        <v>Restate Excise Taxes</v>
      </c>
      <c r="C26" s="439"/>
      <c r="D26" s="439"/>
      <c r="E26" s="446">
        <v>-1.3</v>
      </c>
      <c r="F26" s="446">
        <v>0</v>
      </c>
      <c r="G26" s="446">
        <f t="shared" si="12"/>
        <v>2</v>
      </c>
      <c r="H26" s="446">
        <f>'ADJ DETAIL INPUT'!P$59</f>
        <v>-1.3</v>
      </c>
      <c r="I26" s="446">
        <f>'ADJ DETAIL INPUT'!P$82</f>
        <v>0</v>
      </c>
      <c r="J26" s="446">
        <f t="shared" si="13"/>
        <v>2</v>
      </c>
      <c r="K26" s="446">
        <f t="shared" si="14"/>
        <v>2</v>
      </c>
      <c r="L26" s="446">
        <f t="shared" si="8"/>
        <v>0</v>
      </c>
      <c r="M26" s="446">
        <f t="shared" si="9"/>
        <v>0</v>
      </c>
      <c r="N26" s="446"/>
      <c r="O26" s="446">
        <f t="shared" si="10"/>
        <v>0</v>
      </c>
      <c r="P26" s="463">
        <f t="shared" si="11"/>
        <v>0</v>
      </c>
      <c r="Q26" s="449"/>
      <c r="R26" s="55"/>
      <c r="S26" s="55"/>
      <c r="T26" s="55"/>
    </row>
    <row r="27" spans="1:20" s="54" customFormat="1">
      <c r="A27" s="467">
        <f>'ADJ DETAIL INPUT'!Q$11</f>
        <v>2.0899999999999981</v>
      </c>
      <c r="B27" s="445" t="str">
        <f>TRIM(CONCATENATE('ADJ DETAIL INPUT'!Q$8," ",'ADJ DETAIL INPUT'!Q$9," ",'ADJ DETAIL INPUT'!Q$10))</f>
        <v>Net Gains &amp; Losses</v>
      </c>
      <c r="C27" s="439"/>
      <c r="D27" s="439"/>
      <c r="E27" s="446">
        <v>8.4499999999999993</v>
      </c>
      <c r="F27" s="446">
        <v>0</v>
      </c>
      <c r="G27" s="446">
        <f t="shared" si="12"/>
        <v>-14</v>
      </c>
      <c r="H27" s="446">
        <f>'ADJ DETAIL INPUT'!Q$59</f>
        <v>8.4499999999999993</v>
      </c>
      <c r="I27" s="446">
        <f>'ADJ DETAIL INPUT'!Q$82</f>
        <v>0</v>
      </c>
      <c r="J27" s="446">
        <f>ROUND((-+H27+(I27*7.69%))/0.620645,0)</f>
        <v>-14</v>
      </c>
      <c r="K27" s="446">
        <f t="shared" si="14"/>
        <v>-14</v>
      </c>
      <c r="L27" s="446">
        <f>H27-E27</f>
        <v>0</v>
      </c>
      <c r="M27" s="446">
        <f>I27-F27</f>
        <v>0</v>
      </c>
      <c r="N27" s="446"/>
      <c r="O27" s="446">
        <f>L27/$O$10*-1</f>
        <v>0</v>
      </c>
      <c r="P27" s="463">
        <f t="shared" si="11"/>
        <v>0</v>
      </c>
      <c r="Q27" s="449"/>
      <c r="R27" s="120"/>
      <c r="S27" s="55"/>
      <c r="T27" s="55"/>
    </row>
    <row r="28" spans="1:20" s="47" customFormat="1">
      <c r="A28" s="467">
        <f>'ADJ DETAIL INPUT'!R$11</f>
        <v>2.0999999999999979</v>
      </c>
      <c r="B28" s="445" t="str">
        <f>TRIM(CONCATENATE('ADJ DETAIL INPUT'!R$8," ",'ADJ DETAIL INPUT'!R$9," ",'ADJ DETAIL INPUT'!R$10))</f>
        <v>Weather Normalization / Gas Cost Adjust</v>
      </c>
      <c r="C28" s="439"/>
      <c r="D28" s="439"/>
      <c r="E28" s="446">
        <v>-2.6</v>
      </c>
      <c r="F28" s="446">
        <v>0</v>
      </c>
      <c r="G28" s="446">
        <f t="shared" si="12"/>
        <v>4</v>
      </c>
      <c r="H28" s="446">
        <f>'ADJ DETAIL INPUT'!R$59</f>
        <v>-11.7</v>
      </c>
      <c r="I28" s="446">
        <f>'ADJ DETAIL INPUT'!R$82</f>
        <v>0</v>
      </c>
      <c r="J28" s="446">
        <f>ROUND((-+H28+(I28*7.69%))/0.620645,0)</f>
        <v>19</v>
      </c>
      <c r="K28" s="446">
        <f t="shared" si="14"/>
        <v>19</v>
      </c>
      <c r="L28" s="446">
        <f>H28-E28</f>
        <v>-9.1</v>
      </c>
      <c r="M28" s="446">
        <f>I28-F28</f>
        <v>0</v>
      </c>
      <c r="N28" s="446"/>
      <c r="O28" s="446">
        <f>L28/$O$10*-1</f>
        <v>12.080292794437224</v>
      </c>
      <c r="P28" s="463">
        <f t="shared" si="11"/>
        <v>15</v>
      </c>
      <c r="Q28" s="449"/>
      <c r="R28" s="42"/>
      <c r="S28" s="53"/>
      <c r="T28" s="53"/>
    </row>
    <row r="29" spans="1:20" s="358" customFormat="1">
      <c r="A29" s="467">
        <f>'ADJ DETAIL INPUT'!S$11</f>
        <v>2.1099999999999977</v>
      </c>
      <c r="B29" s="445" t="str">
        <f>TRIM(CONCATENATE('ADJ DETAIL INPUT'!S$8," ",'ADJ DETAIL INPUT'!S$9," ",'ADJ DETAIL INPUT'!S$10))</f>
        <v>Eliminate Adder Schedules</v>
      </c>
      <c r="C29" s="439"/>
      <c r="D29" s="439"/>
      <c r="E29" s="446">
        <v>-310.05</v>
      </c>
      <c r="F29" s="446">
        <v>0</v>
      </c>
      <c r="G29" s="446">
        <f t="shared" si="12"/>
        <v>500</v>
      </c>
      <c r="H29" s="446">
        <f>'ADJ DETAIL INPUT'!S$59</f>
        <v>-309.39999999999998</v>
      </c>
      <c r="I29" s="446">
        <f>'ADJ DETAIL INPUT'!S$82</f>
        <v>0</v>
      </c>
      <c r="J29" s="446">
        <f>ROUND((-+H29+(I29*7.69%))/0.620645,0)</f>
        <v>499</v>
      </c>
      <c r="K29" s="446">
        <f t="shared" si="14"/>
        <v>499</v>
      </c>
      <c r="L29" s="446">
        <f>H29-E29</f>
        <v>0.65000000000003411</v>
      </c>
      <c r="M29" s="446">
        <f t="shared" ref="M29" si="18">I29-F29</f>
        <v>0</v>
      </c>
      <c r="N29" s="446"/>
      <c r="O29" s="446">
        <f>L29/$O$10*-1</f>
        <v>-0.86287805674556128</v>
      </c>
      <c r="P29" s="463">
        <f t="shared" si="11"/>
        <v>-1</v>
      </c>
      <c r="Q29" s="449"/>
      <c r="R29" s="356"/>
      <c r="S29" s="53"/>
      <c r="T29" s="53"/>
    </row>
    <row r="30" spans="1:20" s="96" customFormat="1">
      <c r="A30" s="467">
        <f>'ADJ DETAIL INPUT'!T$11</f>
        <v>2.1199999999999974</v>
      </c>
      <c r="B30" s="464" t="str">
        <f>TRIM(CONCATENATE('ADJ DETAIL INPUT'!T$8," ",'ADJ DETAIL INPUT'!T$9," ",'ADJ DETAIL INPUT'!T$10))</f>
        <v>Misc. Restating Non-Util / Non- Recurring Expenses</v>
      </c>
      <c r="C30" s="449"/>
      <c r="D30" s="449"/>
      <c r="E30" s="446">
        <v>204.75</v>
      </c>
      <c r="F30" s="446">
        <v>0</v>
      </c>
      <c r="G30" s="446">
        <f t="shared" si="12"/>
        <v>-330</v>
      </c>
      <c r="H30" s="463">
        <f>'ADJ DETAIL INPUT'!T$59</f>
        <v>204.75</v>
      </c>
      <c r="I30" s="463">
        <f>'ADJ DETAIL INPUT'!T$82</f>
        <v>0</v>
      </c>
      <c r="J30" s="446">
        <f>ROUND((-+H30+(I30*7.69%))/0.620645,0)</f>
        <v>-330</v>
      </c>
      <c r="K30" s="446">
        <f t="shared" si="14"/>
        <v>-330</v>
      </c>
      <c r="L30" s="446">
        <f>H30-E30</f>
        <v>0</v>
      </c>
      <c r="M30" s="446">
        <f t="shared" si="9"/>
        <v>0</v>
      </c>
      <c r="N30" s="446"/>
      <c r="O30" s="446">
        <f t="shared" si="10"/>
        <v>0</v>
      </c>
      <c r="P30" s="463">
        <f t="shared" si="11"/>
        <v>0</v>
      </c>
      <c r="Q30" s="449"/>
      <c r="R30" s="120"/>
      <c r="S30" s="97"/>
      <c r="T30" s="97"/>
    </row>
    <row r="31" spans="1:20" s="96" customFormat="1">
      <c r="A31" s="467">
        <f>'ADJ DETAIL INPUT'!U$11</f>
        <v>2.1299999999999972</v>
      </c>
      <c r="B31" s="464" t="str">
        <f>TRIM(CONCATENATE('ADJ DETAIL INPUT'!U$8," ",'ADJ DETAIL INPUT'!U$9," ",'ADJ DETAIL INPUT'!U$10))</f>
        <v>Project Compass Deferral</v>
      </c>
      <c r="C31" s="449"/>
      <c r="D31" s="449"/>
      <c r="E31" s="446">
        <v>-701.35</v>
      </c>
      <c r="F31" s="446">
        <v>0</v>
      </c>
      <c r="G31" s="446">
        <f t="shared" si="12"/>
        <v>1130</v>
      </c>
      <c r="H31" s="463">
        <f>'ADJ DETAIL INPUT'!U$59</f>
        <v>-701.35</v>
      </c>
      <c r="I31" s="463">
        <f>'ADJ DETAIL INPUT'!U$82</f>
        <v>0</v>
      </c>
      <c r="J31" s="446">
        <f t="shared" si="13"/>
        <v>1130</v>
      </c>
      <c r="K31" s="446">
        <f t="shared" si="14"/>
        <v>1132</v>
      </c>
      <c r="L31" s="446">
        <f>H31-E31</f>
        <v>0</v>
      </c>
      <c r="M31" s="446">
        <f>I31-F31</f>
        <v>0</v>
      </c>
      <c r="N31" s="446"/>
      <c r="O31" s="446">
        <f>L31/$O$10*-1</f>
        <v>0</v>
      </c>
      <c r="P31" s="463">
        <f t="shared" si="11"/>
        <v>0</v>
      </c>
      <c r="Q31" s="449"/>
      <c r="R31" s="97"/>
      <c r="S31" s="97"/>
      <c r="T31" s="97"/>
    </row>
    <row r="32" spans="1:20" s="96" customFormat="1">
      <c r="A32" s="467">
        <v>2.14</v>
      </c>
      <c r="B32" s="464" t="s">
        <v>551</v>
      </c>
      <c r="C32" s="449"/>
      <c r="D32" s="449"/>
      <c r="E32" s="446">
        <v>118</v>
      </c>
      <c r="F32" s="446">
        <v>0</v>
      </c>
      <c r="G32" s="446">
        <f t="shared" ref="G32" si="19">ROUND((-+E32+(F32*7.69%))/0.620645,0)</f>
        <v>-190</v>
      </c>
      <c r="H32" s="463">
        <f>+'ADJ DETAIL INPUT'!V59</f>
        <v>108.55000000000001</v>
      </c>
      <c r="I32" s="463">
        <f>'ADJ DETAIL INPUT'!U$82</f>
        <v>0</v>
      </c>
      <c r="J32" s="446">
        <f t="shared" ref="J32" si="20">ROUND((-+H32+(I32*7.69%))/0.620645,0)</f>
        <v>-175</v>
      </c>
      <c r="K32" s="446">
        <f t="shared" si="14"/>
        <v>-175</v>
      </c>
      <c r="L32" s="446"/>
      <c r="M32" s="446"/>
      <c r="N32" s="446"/>
      <c r="O32" s="446"/>
      <c r="P32" s="463">
        <f t="shared" si="11"/>
        <v>15</v>
      </c>
      <c r="Q32" s="449"/>
      <c r="R32" s="97"/>
      <c r="S32" s="97"/>
      <c r="T32" s="97"/>
    </row>
    <row r="33" spans="1:20" s="96" customFormat="1">
      <c r="A33" s="467">
        <f>'ADJ DETAIL INPUT'!W$11</f>
        <v>2.1499999999999968</v>
      </c>
      <c r="B33" s="464" t="str">
        <f>TRIM(CONCATENATE('ADJ DETAIL INPUT'!W$8," ",'ADJ DETAIL INPUT'!W$9," ",'ADJ DETAIL INPUT'!W$10))</f>
        <v>Restate Debt Interest</v>
      </c>
      <c r="C33" s="449"/>
      <c r="D33" s="449"/>
      <c r="E33" s="446">
        <v>171</v>
      </c>
      <c r="F33" s="446">
        <v>0</v>
      </c>
      <c r="G33" s="446">
        <f>ROUND((-+E33+(F33*7.69%))/0.620645,0)</f>
        <v>-276</v>
      </c>
      <c r="H33" s="463">
        <f>'ADJ DETAIL INPUT'!W$59</f>
        <v>67</v>
      </c>
      <c r="I33" s="463">
        <f>'ADJ DETAIL INPUT'!W$82</f>
        <v>0</v>
      </c>
      <c r="J33" s="446">
        <f>ROUND((-+H33+(I33*7.69%))/0.620645,0)</f>
        <v>-108</v>
      </c>
      <c r="K33" s="446">
        <f t="shared" si="14"/>
        <v>-108</v>
      </c>
      <c r="L33" s="446"/>
      <c r="M33" s="446"/>
      <c r="N33" s="446"/>
      <c r="O33" s="446"/>
      <c r="P33" s="463">
        <f t="shared" si="11"/>
        <v>168</v>
      </c>
      <c r="Q33" s="449"/>
      <c r="R33" s="97"/>
      <c r="S33" s="97"/>
      <c r="T33" s="97"/>
    </row>
    <row r="34" spans="1:20" s="96" customFormat="1">
      <c r="A34" s="467">
        <v>2.16</v>
      </c>
      <c r="B34" s="464" t="s">
        <v>552</v>
      </c>
      <c r="C34" s="449"/>
      <c r="D34" s="449"/>
      <c r="E34" s="446"/>
      <c r="F34" s="446"/>
      <c r="G34" s="446"/>
      <c r="H34" s="463">
        <f>+'ADJ DETAIL INPUT'!X59</f>
        <v>138.12272879999998</v>
      </c>
      <c r="I34" s="463">
        <f>+'ADJ DETAIL INPUT'!X82</f>
        <v>14160</v>
      </c>
      <c r="J34" s="446">
        <f>ROUND((-+H34+(I34*7.69%))/0.620645,0)</f>
        <v>1532</v>
      </c>
      <c r="K34" s="446">
        <f t="shared" si="14"/>
        <v>1422</v>
      </c>
      <c r="L34" s="446"/>
      <c r="M34" s="446"/>
      <c r="N34" s="446"/>
      <c r="O34" s="446"/>
      <c r="P34" s="463">
        <f t="shared" si="11"/>
        <v>1532</v>
      </c>
      <c r="Q34" s="449"/>
      <c r="R34" s="97"/>
      <c r="S34" s="97"/>
      <c r="T34" s="97"/>
    </row>
    <row r="35" spans="1:20" ht="18" customHeight="1" thickBot="1">
      <c r="A35" s="467"/>
      <c r="B35" s="439" t="s">
        <v>77</v>
      </c>
      <c r="C35" s="439"/>
      <c r="D35" s="439"/>
      <c r="E35" s="468">
        <f>SUM(E17:E34)</f>
        <v>23008.923265000005</v>
      </c>
      <c r="F35" s="468">
        <f>SUM(F17:F34)</f>
        <v>286598</v>
      </c>
      <c r="G35" s="468">
        <f>SUM(G17:G34)</f>
        <v>-1561</v>
      </c>
      <c r="H35" s="468">
        <f>SUM(H17:H34)</f>
        <v>22936.009512790006</v>
      </c>
      <c r="I35" s="468">
        <f t="shared" ref="I35:P35" si="21">SUM(I17:I34)</f>
        <v>297440</v>
      </c>
      <c r="J35" s="468">
        <f t="shared" si="21"/>
        <v>-99</v>
      </c>
      <c r="K35" s="468">
        <f t="shared" si="21"/>
        <v>-2449</v>
      </c>
      <c r="L35" s="468">
        <f t="shared" si="21"/>
        <v>-97.586481009999972</v>
      </c>
      <c r="M35" s="468">
        <f t="shared" si="21"/>
        <v>-3318</v>
      </c>
      <c r="N35" s="468">
        <f t="shared" si="21"/>
        <v>0</v>
      </c>
      <c r="O35" s="468">
        <f t="shared" si="21"/>
        <v>129.54651245929537</v>
      </c>
      <c r="P35" s="468">
        <f t="shared" si="21"/>
        <v>1462</v>
      </c>
      <c r="Q35" s="449"/>
      <c r="R35" s="93"/>
    </row>
    <row r="36" spans="1:20" ht="15" customHeight="1" thickTop="1">
      <c r="A36" s="467"/>
      <c r="B36" s="439"/>
      <c r="C36" s="439"/>
      <c r="D36" s="445"/>
      <c r="E36" s="446"/>
      <c r="F36" s="446"/>
      <c r="G36" s="446"/>
      <c r="H36" s="446"/>
      <c r="I36" s="446"/>
      <c r="J36" s="446"/>
      <c r="K36" s="457"/>
      <c r="L36" s="446"/>
      <c r="M36" s="446"/>
      <c r="N36" s="446"/>
      <c r="O36" s="446"/>
      <c r="P36" s="463"/>
      <c r="Q36" s="449"/>
      <c r="R36" s="93"/>
    </row>
    <row r="37" spans="1:20" s="363" customFormat="1">
      <c r="A37" s="462">
        <f>'ADJ DETAIL INPUT'!Z$11</f>
        <v>3.01</v>
      </c>
      <c r="B37" s="464" t="str">
        <f>TRIM(CONCATENATE('ADJ DETAIL INPUT'!Z$8," ",'ADJ DETAIL INPUT'!Z$9," ",'ADJ DETAIL INPUT'!Z$10))</f>
        <v>Pro Forma Atmospheric Testing &amp; Leak Survey</v>
      </c>
      <c r="C37" s="449"/>
      <c r="D37" s="469"/>
      <c r="E37" s="446">
        <v>-226.2</v>
      </c>
      <c r="F37" s="446">
        <v>0</v>
      </c>
      <c r="G37" s="446">
        <f t="shared" ref="G37:G49" si="22">ROUND((-+E37+(F37*7.69%))/0.620645,0)</f>
        <v>364</v>
      </c>
      <c r="H37" s="463">
        <f>+'ADJ DETAIL INPUT'!Z59</f>
        <v>-226.2</v>
      </c>
      <c r="I37" s="446">
        <f>+'ADJ DETAIL INPUT'!Z82</f>
        <v>0</v>
      </c>
      <c r="J37" s="446">
        <f t="shared" ref="J37:J49" si="23">ROUND((-+H37+(I37*7.69%))/0.620645,0)</f>
        <v>364</v>
      </c>
      <c r="K37" s="446">
        <f>ROUND((-+H37+(I37*$K$10))/0.619798,0)</f>
        <v>365</v>
      </c>
      <c r="L37" s="446">
        <f t="shared" ref="L37" si="24">H37-E37</f>
        <v>0</v>
      </c>
      <c r="M37" s="446"/>
      <c r="N37" s="446">
        <f t="shared" ref="N37" si="25">K37/$O$10*-1</f>
        <v>-484.53921648017439</v>
      </c>
      <c r="O37" s="446" t="e">
        <f>L37*#REF!/$O$10</f>
        <v>#REF!</v>
      </c>
      <c r="P37" s="463">
        <f t="shared" ref="P37:P49" si="26">+J37-G37</f>
        <v>0</v>
      </c>
      <c r="Q37" s="453"/>
      <c r="R37" s="362"/>
      <c r="S37" s="362"/>
    </row>
    <row r="38" spans="1:20">
      <c r="A38" s="462">
        <f>'ADJ DETAIL INPUT'!AA$11</f>
        <v>3.0199999999999996</v>
      </c>
      <c r="B38" s="445" t="str">
        <f>TRIM(CONCATENATE('ADJ DETAIL INPUT'!AA$8," ",'ADJ DETAIL INPUT'!AA$9," ",'ADJ DETAIL INPUT'!AA$10))</f>
        <v>Pro Forma Labor Non-Exec</v>
      </c>
      <c r="C38" s="439"/>
      <c r="D38" s="469"/>
      <c r="E38" s="446">
        <v>-568</v>
      </c>
      <c r="F38" s="446">
        <v>0</v>
      </c>
      <c r="G38" s="446">
        <f t="shared" si="22"/>
        <v>915</v>
      </c>
      <c r="H38" s="463">
        <f>+'ADJ DETAIL INPUT'!AA59</f>
        <v>-568.1</v>
      </c>
      <c r="I38" s="446">
        <f>+'ADJ DETAIL INPUT'!AA82</f>
        <v>0</v>
      </c>
      <c r="J38" s="446">
        <f t="shared" si="23"/>
        <v>915</v>
      </c>
      <c r="K38" s="446">
        <f t="shared" ref="K38:K49" si="27">ROUND((-+H38+(I38*$K$10))/0.619798,0)</f>
        <v>917</v>
      </c>
      <c r="L38" s="446">
        <f t="shared" ref="L38:L39" si="28">H38-E38</f>
        <v>-0.10000000000002274</v>
      </c>
      <c r="M38" s="446"/>
      <c r="N38" s="446">
        <f t="shared" ref="N38:N39" si="29">K38/$O$10*-1</f>
        <v>-1217.3218123625204</v>
      </c>
      <c r="O38" s="446" t="e">
        <f>L38*#REF!/$O$10</f>
        <v>#REF!</v>
      </c>
      <c r="P38" s="463">
        <f t="shared" si="26"/>
        <v>0</v>
      </c>
      <c r="Q38" s="470"/>
      <c r="T38" s="35"/>
    </row>
    <row r="39" spans="1:20" ht="13.5" customHeight="1">
      <c r="A39" s="462">
        <f>'ADJ DETAIL INPUT'!AB$11</f>
        <v>3.0299999999999994</v>
      </c>
      <c r="B39" s="445" t="str">
        <f>TRIM(CONCATENATE('ADJ DETAIL INPUT'!AB$8," ",'ADJ DETAIL INPUT'!AB$9," ",'ADJ DETAIL INPUT'!AB$10))</f>
        <v>Pro Forma Labor Exec</v>
      </c>
      <c r="C39" s="439"/>
      <c r="D39" s="469"/>
      <c r="E39" s="446">
        <v>6.5</v>
      </c>
      <c r="F39" s="446">
        <v>0</v>
      </c>
      <c r="G39" s="446">
        <f t="shared" si="22"/>
        <v>-10</v>
      </c>
      <c r="H39" s="463">
        <f>+'ADJ DETAIL INPUT'!AB59</f>
        <v>6.5</v>
      </c>
      <c r="I39" s="446">
        <f>+'ADJ DETAIL INPUT'!AB82</f>
        <v>0</v>
      </c>
      <c r="J39" s="446">
        <f t="shared" si="23"/>
        <v>-10</v>
      </c>
      <c r="K39" s="446">
        <f t="shared" si="27"/>
        <v>-10</v>
      </c>
      <c r="L39" s="446">
        <f t="shared" si="28"/>
        <v>0</v>
      </c>
      <c r="M39" s="446"/>
      <c r="N39" s="446">
        <f t="shared" si="29"/>
        <v>13.275047026854093</v>
      </c>
      <c r="O39" s="446" t="e">
        <f>L39*#REF!/$O$10</f>
        <v>#REF!</v>
      </c>
      <c r="P39" s="463">
        <f t="shared" si="26"/>
        <v>0</v>
      </c>
      <c r="Q39" s="470"/>
      <c r="T39" s="35"/>
    </row>
    <row r="40" spans="1:20">
      <c r="A40" s="462">
        <f>'ADJ DETAIL INPUT'!AC$11</f>
        <v>3.0399999999999991</v>
      </c>
      <c r="B40" s="445" t="str">
        <f>TRIM(CONCATENATE('ADJ DETAIL INPUT'!AC$8," ",'ADJ DETAIL INPUT'!AC$9," ",'ADJ DETAIL INPUT'!AC$10))</f>
        <v>Pro Forma Employee Benefits</v>
      </c>
      <c r="C40" s="439"/>
      <c r="D40" s="469"/>
      <c r="E40" s="446">
        <v>114.4</v>
      </c>
      <c r="F40" s="446">
        <v>0</v>
      </c>
      <c r="G40" s="446">
        <f t="shared" si="22"/>
        <v>-184</v>
      </c>
      <c r="H40" s="463">
        <f>+'ADJ DETAIL INPUT'!AC59</f>
        <v>114.4</v>
      </c>
      <c r="I40" s="446">
        <f>+'ADJ DETAIL INPUT'!AC82</f>
        <v>0</v>
      </c>
      <c r="J40" s="446">
        <f t="shared" si="23"/>
        <v>-184</v>
      </c>
      <c r="K40" s="446">
        <f t="shared" si="27"/>
        <v>-185</v>
      </c>
      <c r="L40" s="446">
        <f>H40-E40</f>
        <v>0</v>
      </c>
      <c r="M40" s="446"/>
      <c r="N40" s="446">
        <f>K40/$O$10*-1</f>
        <v>245.58836999680071</v>
      </c>
      <c r="O40" s="446" t="e">
        <f>L40*#REF!/$O$10</f>
        <v>#REF!</v>
      </c>
      <c r="P40" s="463">
        <f t="shared" si="26"/>
        <v>0</v>
      </c>
      <c r="Q40" s="470"/>
      <c r="T40" s="35"/>
    </row>
    <row r="41" spans="1:20" s="96" customFormat="1">
      <c r="A41" s="462">
        <f>'ADJ DETAIL INPUT'!AD$11</f>
        <v>3.0499999999999989</v>
      </c>
      <c r="B41" s="464" t="str">
        <f>TRIM(CONCATENATE('ADJ DETAIL INPUT'!AD$8," ",'ADJ DETAIL INPUT'!AD$9," ",'ADJ DETAIL INPUT'!AD$10))</f>
        <v>Pro Forma Incentive Adjustment</v>
      </c>
      <c r="C41" s="449"/>
      <c r="D41" s="469"/>
      <c r="E41" s="463">
        <v>-22</v>
      </c>
      <c r="F41" s="446">
        <v>0</v>
      </c>
      <c r="G41" s="446">
        <f t="shared" si="22"/>
        <v>35</v>
      </c>
      <c r="H41" s="463">
        <f>+'ADJ DETAIL INPUT'!AD59</f>
        <v>0</v>
      </c>
      <c r="I41" s="446">
        <f>+'ADJ DETAIL INPUT'!AD82</f>
        <v>0</v>
      </c>
      <c r="J41" s="446">
        <f t="shared" si="23"/>
        <v>0</v>
      </c>
      <c r="K41" s="446">
        <f t="shared" si="27"/>
        <v>0</v>
      </c>
      <c r="L41" s="446">
        <f t="shared" ref="L41" si="30">H41-E41</f>
        <v>22</v>
      </c>
      <c r="M41" s="446"/>
      <c r="N41" s="446">
        <f>K41/$O$10*-1</f>
        <v>0</v>
      </c>
      <c r="O41" s="446" t="e">
        <f>L41*#REF!/$O$10</f>
        <v>#REF!</v>
      </c>
      <c r="P41" s="463">
        <f t="shared" si="26"/>
        <v>-35</v>
      </c>
      <c r="Q41" s="470"/>
      <c r="R41" s="97"/>
      <c r="S41" s="97"/>
    </row>
    <row r="42" spans="1:20">
      <c r="A42" s="462">
        <f>'ADJ DETAIL INPUT'!AE$11</f>
        <v>3.0599999999999987</v>
      </c>
      <c r="B42" s="445" t="str">
        <f>TRIM(CONCATENATE('ADJ DETAIL INPUT'!AE$8," ",'ADJ DETAIL INPUT'!AE$9," ",'ADJ DETAIL INPUT'!AE$10))</f>
        <v>Pro Forma Property Tax</v>
      </c>
      <c r="C42" s="439"/>
      <c r="D42" s="469"/>
      <c r="E42" s="446">
        <v>-309</v>
      </c>
      <c r="F42" s="446">
        <v>0</v>
      </c>
      <c r="G42" s="446">
        <f t="shared" si="22"/>
        <v>498</v>
      </c>
      <c r="H42" s="463">
        <f>+'ADJ DETAIL INPUT'!AE59</f>
        <v>-278.85000000000002</v>
      </c>
      <c r="I42" s="446">
        <f>+'ADJ DETAIL INPUT'!AE82</f>
        <v>0</v>
      </c>
      <c r="J42" s="446">
        <f t="shared" si="23"/>
        <v>449</v>
      </c>
      <c r="K42" s="446">
        <f t="shared" si="27"/>
        <v>450</v>
      </c>
      <c r="L42" s="446">
        <f t="shared" ref="L42" si="31">H42-E42</f>
        <v>30.149999999999977</v>
      </c>
      <c r="M42" s="446"/>
      <c r="N42" s="446">
        <f>K42/$O$10*-1</f>
        <v>-597.37711620843413</v>
      </c>
      <c r="O42" s="446" t="e">
        <f>L42*#REF!/$O$10</f>
        <v>#REF!</v>
      </c>
      <c r="P42" s="463">
        <f t="shared" si="26"/>
        <v>-49</v>
      </c>
      <c r="Q42" s="470"/>
      <c r="T42" s="35"/>
    </row>
    <row r="43" spans="1:20" s="383" customFormat="1">
      <c r="A43" s="462">
        <f>'ADJ DETAIL INPUT'!AF$11</f>
        <v>3.0699999999999985</v>
      </c>
      <c r="B43" s="464" t="str">
        <f>TRIM(CONCATENATE('ADJ DETAIL INPUT'!AF$8," ",'ADJ DETAIL INPUT'!AF$9," ",'ADJ DETAIL INPUT'!AF$10))</f>
        <v>Pro Forma IS/IT Expense</v>
      </c>
      <c r="C43" s="453"/>
      <c r="D43" s="471"/>
      <c r="E43" s="446">
        <v>-130.65</v>
      </c>
      <c r="F43" s="446">
        <v>0</v>
      </c>
      <c r="G43" s="446">
        <f t="shared" si="22"/>
        <v>211</v>
      </c>
      <c r="H43" s="463">
        <f>+'ADJ DETAIL INPUT'!AF59</f>
        <v>-130.65</v>
      </c>
      <c r="I43" s="446">
        <f>+'ADJ DETAIL INPUT'!AF82</f>
        <v>0</v>
      </c>
      <c r="J43" s="446">
        <f t="shared" si="23"/>
        <v>211</v>
      </c>
      <c r="K43" s="446">
        <f t="shared" si="27"/>
        <v>211</v>
      </c>
      <c r="L43" s="457">
        <f t="shared" ref="L43" si="32">H43-E43</f>
        <v>0</v>
      </c>
      <c r="M43" s="457"/>
      <c r="N43" s="457">
        <f t="shared" ref="N43" si="33">K43/$O$10*-1</f>
        <v>-280.10349226662134</v>
      </c>
      <c r="O43" s="457" t="e">
        <f>L43*#REF!/$O$10</f>
        <v>#REF!</v>
      </c>
      <c r="P43" s="463">
        <f t="shared" si="26"/>
        <v>0</v>
      </c>
      <c r="Q43" s="453"/>
      <c r="R43" s="362"/>
      <c r="S43" s="362"/>
    </row>
    <row r="44" spans="1:20" s="95" customFormat="1">
      <c r="A44" s="462">
        <f>'ADJ DETAIL INPUT'!AG$11</f>
        <v>3.0799999999999983</v>
      </c>
      <c r="B44" s="464" t="str">
        <f>TRIM(CONCATENATE('ADJ DETAIL INPUT'!AG$8," ",'ADJ DETAIL INPUT'!AG$9," ",'ADJ DETAIL INPUT'!AG$10))</f>
        <v>Pro Forma Revenue Normalization</v>
      </c>
      <c r="C44" s="449"/>
      <c r="D44" s="469"/>
      <c r="E44" s="446">
        <v>-599</v>
      </c>
      <c r="F44" s="446">
        <v>0</v>
      </c>
      <c r="G44" s="446">
        <f t="shared" si="22"/>
        <v>965</v>
      </c>
      <c r="H44" s="463">
        <f>+'ADJ DETAIL INPUT'!AG59</f>
        <v>-543.40000000000009</v>
      </c>
      <c r="I44" s="446">
        <f>+'ADJ DETAIL INPUT'!AG82+'ADJ DETAIL INPUT'!AG82</f>
        <v>0</v>
      </c>
      <c r="J44" s="446">
        <f t="shared" si="23"/>
        <v>876</v>
      </c>
      <c r="K44" s="446">
        <f t="shared" si="27"/>
        <v>877</v>
      </c>
      <c r="L44" s="446">
        <f>H44-E44</f>
        <v>55.599999999999909</v>
      </c>
      <c r="M44" s="446"/>
      <c r="N44" s="446">
        <f>K44/$O$10*-1</f>
        <v>-1164.221624255104</v>
      </c>
      <c r="O44" s="446" t="e">
        <f>L44*#REF!/$O$10</f>
        <v>#REF!</v>
      </c>
      <c r="P44" s="463">
        <f t="shared" si="26"/>
        <v>-89</v>
      </c>
      <c r="Q44" s="453"/>
      <c r="R44" s="93"/>
      <c r="S44" s="93"/>
    </row>
    <row r="45" spans="1:20" s="363" customFormat="1">
      <c r="A45" s="462">
        <f>'ADJ DETAIL INPUT'!AH$11</f>
        <v>3.0899999999999981</v>
      </c>
      <c r="B45" s="464" t="str">
        <f>TRIM(CONCATENATE('ADJ DETAIL INPUT'!AH$8," ",'ADJ DETAIL INPUT'!AH$9," ",'ADJ DETAIL INPUT'!AH$10))</f>
        <v>Pro Forma Regulatory Amortization</v>
      </c>
      <c r="C45" s="449"/>
      <c r="D45" s="469"/>
      <c r="E45" s="446">
        <v>701.35</v>
      </c>
      <c r="F45" s="446">
        <v>0</v>
      </c>
      <c r="G45" s="446">
        <f t="shared" si="22"/>
        <v>-1130</v>
      </c>
      <c r="H45" s="463">
        <f>+'ADJ DETAIL INPUT'!AH59</f>
        <v>701.35</v>
      </c>
      <c r="I45" s="446">
        <f>+'ADJ DETAIL INPUT'!AH82</f>
        <v>0</v>
      </c>
      <c r="J45" s="446">
        <f t="shared" si="23"/>
        <v>-1130</v>
      </c>
      <c r="K45" s="446">
        <f t="shared" si="27"/>
        <v>-1132</v>
      </c>
      <c r="L45" s="446">
        <f t="shared" ref="L45" si="34">H45-E45</f>
        <v>0</v>
      </c>
      <c r="M45" s="446"/>
      <c r="N45" s="446">
        <f t="shared" ref="N45" si="35">K45/$O$10*-1</f>
        <v>1502.7353234398834</v>
      </c>
      <c r="O45" s="446" t="e">
        <f>L45*#REF!/$O$10</f>
        <v>#REF!</v>
      </c>
      <c r="P45" s="463">
        <f t="shared" si="26"/>
        <v>0</v>
      </c>
      <c r="Q45" s="453"/>
      <c r="R45" s="362"/>
      <c r="S45" s="362"/>
    </row>
    <row r="46" spans="1:20" s="95" customFormat="1">
      <c r="A46" s="462">
        <f>'ADJ DETAIL INPUT'!AI$11</f>
        <v>3.0999999999999979</v>
      </c>
      <c r="B46" s="464" t="str">
        <f>TRIM(CONCATENATE('ADJ DETAIL INPUT'!AI$8," ",'ADJ DETAIL INPUT'!AI$9," ",'ADJ DETAIL INPUT'!AI$10))</f>
        <v>Pro Forma 2017 Threshhold Capital Adds</v>
      </c>
      <c r="C46" s="449"/>
      <c r="D46" s="469"/>
      <c r="E46" s="446">
        <v>-848</v>
      </c>
      <c r="F46" s="446">
        <v>17841</v>
      </c>
      <c r="G46" s="446">
        <f t="shared" si="22"/>
        <v>3577</v>
      </c>
      <c r="H46" s="463">
        <f>+'ADJ DETAIL INPUT'!AI59</f>
        <v>-241.71312704000002</v>
      </c>
      <c r="I46" s="446">
        <f>+'ADJ DETAIL INPUT'!AI82</f>
        <v>7872</v>
      </c>
      <c r="J46" s="446">
        <f t="shared" si="23"/>
        <v>1365</v>
      </c>
      <c r="K46" s="446">
        <f t="shared" si="27"/>
        <v>1305</v>
      </c>
      <c r="L46" s="446">
        <f t="shared" ref="L46" si="36">H46-E46</f>
        <v>606.28687295999998</v>
      </c>
      <c r="M46" s="446"/>
      <c r="N46" s="446">
        <f t="shared" ref="N46" si="37">K46/$O$10*-1</f>
        <v>-1732.3936370044592</v>
      </c>
      <c r="O46" s="446" t="e">
        <f>L46*#REF!/$O$10</f>
        <v>#REF!</v>
      </c>
      <c r="P46" s="463">
        <f t="shared" si="26"/>
        <v>-2212</v>
      </c>
      <c r="Q46" s="453"/>
      <c r="R46" s="93"/>
      <c r="S46" s="93"/>
    </row>
    <row r="47" spans="1:20" s="95" customFormat="1">
      <c r="A47" s="462">
        <f>'ADJ DETAIL INPUT'!AJ$11</f>
        <v>3.1099999999999977</v>
      </c>
      <c r="B47" s="464" t="str">
        <f>TRIM(CONCATENATE('ADJ DETAIL INPUT'!AJ$8," ",'ADJ DETAIL INPUT'!AJ$9," ",'ADJ DETAIL INPUT'!AJ$10))</f>
        <v>Pro Forma O&amp;M Offsets</v>
      </c>
      <c r="C47" s="449"/>
      <c r="D47" s="472"/>
      <c r="E47" s="446">
        <v>21</v>
      </c>
      <c r="F47" s="446">
        <v>0</v>
      </c>
      <c r="G47" s="446">
        <f t="shared" si="22"/>
        <v>-34</v>
      </c>
      <c r="H47" s="463">
        <f>+'ADJ DETAIL INPUT'!AJ59</f>
        <v>0</v>
      </c>
      <c r="I47" s="446">
        <f>+'ADJ DETAIL INPUT'!AJ82</f>
        <v>0</v>
      </c>
      <c r="J47" s="446">
        <f t="shared" si="23"/>
        <v>0</v>
      </c>
      <c r="K47" s="446">
        <f t="shared" si="27"/>
        <v>0</v>
      </c>
      <c r="L47" s="446">
        <f t="shared" ref="L47" si="38">H47-E47</f>
        <v>-21</v>
      </c>
      <c r="M47" s="446"/>
      <c r="N47" s="446">
        <f t="shared" ref="N47" si="39">K47/$O$10*-1</f>
        <v>0</v>
      </c>
      <c r="O47" s="446" t="e">
        <f>L47*#REF!/$O$10</f>
        <v>#REF!</v>
      </c>
      <c r="P47" s="463">
        <f t="shared" si="26"/>
        <v>34</v>
      </c>
      <c r="Q47" s="453"/>
      <c r="R47" s="93"/>
      <c r="S47" s="93"/>
    </row>
    <row r="48" spans="1:20" s="383" customFormat="1">
      <c r="A48" s="462">
        <f>'ADJ DETAIL INPUT'!AK$11</f>
        <v>3.1199999999999974</v>
      </c>
      <c r="B48" s="464" t="str">
        <f>TRIM(CONCATENATE('ADJ DETAIL INPUT'!AK$8," ",'ADJ DETAIL INPUT'!AK$9," ",'ADJ DETAIL INPUT'!AK$10))</f>
        <v>Pro Forma Director Fees Expense</v>
      </c>
      <c r="C48" s="449"/>
      <c r="D48" s="472"/>
      <c r="E48" s="446">
        <v>-70</v>
      </c>
      <c r="F48" s="446">
        <v>0</v>
      </c>
      <c r="G48" s="446">
        <f t="shared" si="22"/>
        <v>113</v>
      </c>
      <c r="H48" s="463">
        <f>+'ADJ DETAIL INPUT'!AA69</f>
        <v>0</v>
      </c>
      <c r="I48" s="446">
        <f>+'ADJ DETAIL INPUT'!AK82</f>
        <v>0</v>
      </c>
      <c r="J48" s="446">
        <f t="shared" si="23"/>
        <v>0</v>
      </c>
      <c r="K48" s="446">
        <f t="shared" si="27"/>
        <v>0</v>
      </c>
      <c r="L48" s="446">
        <f t="shared" ref="L48:L49" si="40">H48-E48</f>
        <v>70</v>
      </c>
      <c r="M48" s="446"/>
      <c r="N48" s="446">
        <f t="shared" ref="N48:N49" si="41">K48/$O$10*-1</f>
        <v>0</v>
      </c>
      <c r="O48" s="446" t="e">
        <f>L48*#REF!/$O$10</f>
        <v>#REF!</v>
      </c>
      <c r="P48" s="463">
        <f t="shared" si="26"/>
        <v>-113</v>
      </c>
      <c r="Q48" s="453"/>
      <c r="R48" s="362"/>
      <c r="S48" s="362"/>
    </row>
    <row r="49" spans="1:21" s="383" customFormat="1">
      <c r="A49" s="462">
        <f>'ADJ DETAIL INPUT'!AL$11</f>
        <v>3.1299999999999972</v>
      </c>
      <c r="B49" s="464" t="str">
        <f>TRIM(CONCATENATE('ADJ DETAIL INPUT'!AL$8," ",'ADJ DETAIL INPUT'!AL$9," ",'ADJ DETAIL INPUT'!AL$10))</f>
        <v>Pro Forma LEAP Deferral Gas Line Ext.</v>
      </c>
      <c r="C49" s="449"/>
      <c r="D49" s="472"/>
      <c r="E49" s="446">
        <v>-365</v>
      </c>
      <c r="F49" s="446">
        <v>1474</v>
      </c>
      <c r="G49" s="446">
        <f t="shared" si="22"/>
        <v>771</v>
      </c>
      <c r="H49" s="463">
        <f>+'ADJ DETAIL INPUT'!AL59</f>
        <v>-365.22197018000003</v>
      </c>
      <c r="I49" s="446">
        <f>+'ADJ DETAIL INPUT'!AL82</f>
        <v>1474</v>
      </c>
      <c r="J49" s="446">
        <f t="shared" si="23"/>
        <v>771</v>
      </c>
      <c r="K49" s="446">
        <f t="shared" si="27"/>
        <v>761</v>
      </c>
      <c r="L49" s="446">
        <f t="shared" si="40"/>
        <v>-0.22197018000002799</v>
      </c>
      <c r="M49" s="446"/>
      <c r="N49" s="446">
        <f t="shared" si="41"/>
        <v>-1010.2310787435964</v>
      </c>
      <c r="O49" s="446" t="e">
        <f>L49*#REF!/$O$10</f>
        <v>#REF!</v>
      </c>
      <c r="P49" s="463">
        <f t="shared" si="26"/>
        <v>0</v>
      </c>
      <c r="Q49" s="453"/>
      <c r="R49" s="362"/>
      <c r="S49" s="362"/>
    </row>
    <row r="50" spans="1:21" s="95" customFormat="1">
      <c r="A50" s="462">
        <v>3.14</v>
      </c>
      <c r="B50" s="448" t="s">
        <v>557</v>
      </c>
      <c r="C50" s="439"/>
      <c r="D50" s="449"/>
      <c r="E50" s="446"/>
      <c r="F50" s="446"/>
      <c r="G50" s="463"/>
      <c r="H50" s="463">
        <v>0</v>
      </c>
      <c r="I50" s="463">
        <v>0</v>
      </c>
      <c r="J50" s="446">
        <f t="shared" ref="J50" si="42">ROUND((-+H50+(I50*7.69%))/0.620645,0)</f>
        <v>0</v>
      </c>
      <c r="K50" s="446">
        <f t="shared" ref="K50" si="43">ROUND((-+H50+(I50*$K$10))/0.619798,0)</f>
        <v>0</v>
      </c>
      <c r="L50" s="446">
        <f t="shared" ref="L50" si="44">H50-E50</f>
        <v>0</v>
      </c>
      <c r="M50" s="446"/>
      <c r="N50" s="446">
        <f t="shared" ref="N50" si="45">K50/$O$10*-1</f>
        <v>0</v>
      </c>
      <c r="O50" s="446" t="e">
        <f>L50*#REF!/$O$10</f>
        <v>#REF!</v>
      </c>
      <c r="P50" s="463">
        <f t="shared" ref="P50" si="46">+J50-G50</f>
        <v>0</v>
      </c>
      <c r="Q50" s="449"/>
      <c r="R50" s="93"/>
      <c r="S50" s="93"/>
      <c r="T50" s="93"/>
    </row>
    <row r="51" spans="1:21" ht="16.5" customHeight="1" thickBot="1">
      <c r="A51" s="467"/>
      <c r="B51" s="439" t="s">
        <v>129</v>
      </c>
      <c r="C51" s="439"/>
      <c r="D51" s="439"/>
      <c r="E51" s="447">
        <f>SUM(E35:E50)-2</f>
        <v>20712.323265000003</v>
      </c>
      <c r="F51" s="447">
        <f>SUM(F35:F50)</f>
        <v>305913</v>
      </c>
      <c r="G51" s="447">
        <f>SUM(G35:G50)+1</f>
        <v>4531</v>
      </c>
      <c r="H51" s="447">
        <f>SUM(H35:H50)</f>
        <v>21404.124415570008</v>
      </c>
      <c r="I51" s="447">
        <f>SUM(I35:I50)</f>
        <v>306786</v>
      </c>
      <c r="J51" s="447">
        <f>SUM(J35:J50)</f>
        <v>3528</v>
      </c>
      <c r="K51" s="447">
        <f>SUM(K35:K50)-3</f>
        <v>1107</v>
      </c>
      <c r="L51" s="447">
        <f t="shared" ref="L51:P51" si="47">SUM(L35:L50)</f>
        <v>665.12842176999993</v>
      </c>
      <c r="M51" s="447">
        <f t="shared" si="47"/>
        <v>-3318</v>
      </c>
      <c r="N51" s="447">
        <f t="shared" si="47"/>
        <v>-4724.5892368573714</v>
      </c>
      <c r="O51" s="447" t="e">
        <f t="shared" si="47"/>
        <v>#REF!</v>
      </c>
      <c r="P51" s="447">
        <f t="shared" si="47"/>
        <v>-1002</v>
      </c>
      <c r="Q51" s="453"/>
      <c r="R51" s="121"/>
      <c r="S51" s="405"/>
      <c r="U51" s="42"/>
    </row>
    <row r="52" spans="1:21" ht="13.8" thickTop="1">
      <c r="A52" s="458"/>
      <c r="B52" s="439"/>
      <c r="C52" s="439"/>
      <c r="D52" s="445"/>
      <c r="E52" s="445"/>
      <c r="F52" s="439"/>
      <c r="G52" s="439"/>
      <c r="H52" s="473"/>
      <c r="I52" s="473"/>
      <c r="J52" s="439"/>
      <c r="K52" s="451"/>
      <c r="L52" s="469"/>
      <c r="M52" s="469"/>
      <c r="N52" s="439"/>
      <c r="O52" s="439"/>
      <c r="P52" s="453"/>
      <c r="Q52" s="453"/>
      <c r="R52" s="93"/>
      <c r="U52" s="42"/>
    </row>
    <row r="53" spans="1:21" hidden="1">
      <c r="A53" s="458"/>
      <c r="B53" s="439"/>
      <c r="C53" s="439"/>
      <c r="D53" s="445"/>
      <c r="E53" s="445"/>
      <c r="F53" s="439"/>
      <c r="G53" s="439"/>
      <c r="H53" s="445"/>
      <c r="I53" s="439"/>
      <c r="J53" s="439"/>
      <c r="K53" s="451"/>
      <c r="L53" s="469">
        <f t="shared" ref="L53:M55" si="48">E53-H53</f>
        <v>0</v>
      </c>
      <c r="M53" s="469">
        <f t="shared" si="48"/>
        <v>0</v>
      </c>
      <c r="N53" s="439"/>
      <c r="O53" s="474" t="s">
        <v>177</v>
      </c>
      <c r="P53" s="453"/>
      <c r="Q53" s="453"/>
      <c r="R53" s="93"/>
      <c r="U53" s="42"/>
    </row>
    <row r="54" spans="1:21" hidden="1">
      <c r="A54" s="475"/>
      <c r="B54" s="445"/>
      <c r="C54" s="439"/>
      <c r="D54" s="445"/>
      <c r="E54" s="445"/>
      <c r="F54" s="439"/>
      <c r="G54" s="439"/>
      <c r="H54" s="445"/>
      <c r="I54" s="439"/>
      <c r="J54" s="439"/>
      <c r="K54" s="451"/>
      <c r="L54" s="469">
        <f t="shared" si="48"/>
        <v>0</v>
      </c>
      <c r="M54" s="469">
        <f t="shared" si="48"/>
        <v>0</v>
      </c>
      <c r="N54" s="439"/>
      <c r="O54" s="474" t="s">
        <v>178</v>
      </c>
      <c r="P54" s="453"/>
      <c r="Q54" s="453"/>
      <c r="R54" s="93"/>
      <c r="U54" s="42"/>
    </row>
    <row r="55" spans="1:21" hidden="1">
      <c r="A55" s="475"/>
      <c r="B55" s="445"/>
      <c r="C55" s="439"/>
      <c r="D55" s="445"/>
      <c r="E55" s="445"/>
      <c r="F55" s="439"/>
      <c r="G55" s="439"/>
      <c r="H55" s="445"/>
      <c r="I55" s="439"/>
      <c r="J55" s="439"/>
      <c r="K55" s="451"/>
      <c r="L55" s="476">
        <f t="shared" si="48"/>
        <v>0</v>
      </c>
      <c r="M55" s="476">
        <f t="shared" si="48"/>
        <v>0</v>
      </c>
      <c r="N55" s="439"/>
      <c r="O55" s="469" t="e">
        <f>L55/#REF!*-1</f>
        <v>#REF!</v>
      </c>
      <c r="P55" s="453"/>
      <c r="Q55" s="453"/>
      <c r="R55" s="93"/>
      <c r="U55" s="42"/>
    </row>
    <row r="56" spans="1:21" hidden="1">
      <c r="A56" s="475"/>
      <c r="B56" s="445"/>
      <c r="C56" s="439"/>
      <c r="D56" s="445"/>
      <c r="E56" s="445"/>
      <c r="F56" s="439"/>
      <c r="G56" s="439"/>
      <c r="H56" s="445"/>
      <c r="I56" s="439"/>
      <c r="J56" s="439"/>
      <c r="K56" s="451"/>
      <c r="L56" s="477">
        <f>E56-H56</f>
        <v>0</v>
      </c>
      <c r="M56" s="477">
        <f>F56-I56</f>
        <v>0</v>
      </c>
      <c r="N56" s="439"/>
      <c r="O56" s="477" t="e">
        <f>L56/#REF!*-1</f>
        <v>#REF!</v>
      </c>
      <c r="P56" s="453"/>
      <c r="Q56" s="453"/>
      <c r="R56" s="93"/>
      <c r="U56" s="42"/>
    </row>
    <row r="57" spans="1:21" ht="13.8" hidden="1" thickBot="1">
      <c r="A57" s="475"/>
      <c r="B57" s="445"/>
      <c r="C57" s="439"/>
      <c r="D57" s="445"/>
      <c r="E57" s="445"/>
      <c r="F57" s="439"/>
      <c r="G57" s="439"/>
      <c r="H57" s="445"/>
      <c r="I57" s="439"/>
      <c r="J57" s="439"/>
      <c r="K57" s="451"/>
      <c r="L57" s="447">
        <f>SUM(L51:L56)</f>
        <v>665.12842176999993</v>
      </c>
      <c r="M57" s="447">
        <f>SUM(M51:M56)</f>
        <v>-3318</v>
      </c>
      <c r="N57" s="439"/>
      <c r="O57" s="478" t="e">
        <f>SUM(O51:O56)+1</f>
        <v>#REF!</v>
      </c>
      <c r="P57" s="453"/>
      <c r="Q57" s="453"/>
      <c r="R57" s="93"/>
      <c r="U57" s="42"/>
    </row>
    <row r="58" spans="1:21" hidden="1">
      <c r="A58" s="475"/>
      <c r="B58" s="445"/>
      <c r="C58" s="439"/>
      <c r="D58" s="445"/>
      <c r="E58" s="445"/>
      <c r="F58" s="439"/>
      <c r="G58" s="439"/>
      <c r="H58" s="445"/>
      <c r="I58" s="439"/>
      <c r="J58" s="439"/>
      <c r="K58" s="451"/>
      <c r="L58" s="456"/>
      <c r="M58" s="479"/>
      <c r="N58" s="480"/>
      <c r="O58" s="439"/>
      <c r="P58" s="453"/>
      <c r="Q58" s="453"/>
      <c r="R58" s="93"/>
      <c r="U58" s="42"/>
    </row>
    <row r="59" spans="1:21" hidden="1">
      <c r="A59" s="475"/>
      <c r="B59" s="445"/>
      <c r="C59" s="439"/>
      <c r="D59" s="445"/>
      <c r="E59" s="445"/>
      <c r="F59" s="439"/>
      <c r="G59" s="439"/>
      <c r="H59" s="445"/>
      <c r="I59" s="439"/>
      <c r="J59" s="439"/>
      <c r="K59" s="451"/>
      <c r="L59" s="439"/>
      <c r="M59" s="481"/>
      <c r="N59" s="482"/>
      <c r="O59" s="474" t="s">
        <v>177</v>
      </c>
      <c r="P59" s="453"/>
      <c r="Q59" s="453"/>
      <c r="R59" s="93"/>
      <c r="U59" s="42"/>
    </row>
    <row r="60" spans="1:21" hidden="1">
      <c r="A60" s="475"/>
      <c r="B60" s="445"/>
      <c r="C60" s="439"/>
      <c r="D60" s="445"/>
      <c r="E60" s="445"/>
      <c r="F60" s="439"/>
      <c r="G60" s="439"/>
      <c r="H60" s="445"/>
      <c r="I60" s="439"/>
      <c r="J60" s="439"/>
      <c r="K60" s="451"/>
      <c r="L60" s="439"/>
      <c r="M60" s="451"/>
      <c r="N60" s="483"/>
      <c r="O60" s="474" t="s">
        <v>178</v>
      </c>
      <c r="P60" s="453"/>
      <c r="Q60" s="453"/>
      <c r="R60" s="93"/>
      <c r="U60" s="42"/>
    </row>
    <row r="61" spans="1:21" hidden="1">
      <c r="A61" s="475"/>
      <c r="B61" s="439"/>
      <c r="C61" s="439"/>
      <c r="D61" s="445"/>
      <c r="E61" s="439"/>
      <c r="F61" s="439"/>
      <c r="G61" s="439"/>
      <c r="H61" s="439"/>
      <c r="I61" s="439"/>
      <c r="J61" s="439"/>
      <c r="K61" s="451"/>
      <c r="L61" s="439"/>
      <c r="M61" s="439"/>
      <c r="N61" s="439"/>
      <c r="O61" s="439"/>
      <c r="P61" s="453"/>
      <c r="Q61" s="453"/>
      <c r="R61" s="93"/>
      <c r="U61" s="42"/>
    </row>
    <row r="62" spans="1:21" hidden="1">
      <c r="A62" s="449"/>
      <c r="B62" s="451"/>
      <c r="C62" s="451"/>
      <c r="D62" s="484"/>
      <c r="E62" s="439"/>
      <c r="F62" s="439"/>
      <c r="G62" s="439"/>
      <c r="H62" s="439"/>
      <c r="I62" s="439"/>
      <c r="J62" s="439"/>
      <c r="K62" s="451"/>
      <c r="L62" s="439"/>
      <c r="M62" s="439"/>
      <c r="N62" s="439"/>
      <c r="O62" s="439"/>
      <c r="P62" s="453"/>
      <c r="Q62" s="453"/>
      <c r="R62" s="93"/>
      <c r="U62" s="42"/>
    </row>
    <row r="63" spans="1:21" hidden="1">
      <c r="A63" s="449"/>
      <c r="B63" s="439"/>
      <c r="C63" s="439"/>
      <c r="D63" s="439"/>
      <c r="E63" s="439"/>
      <c r="F63" s="439"/>
      <c r="G63" s="439"/>
      <c r="H63" s="439"/>
      <c r="I63" s="439"/>
      <c r="J63" s="439"/>
      <c r="K63" s="451"/>
      <c r="L63" s="439"/>
      <c r="M63" s="439"/>
      <c r="N63" s="439"/>
      <c r="O63" s="439"/>
      <c r="P63" s="453"/>
      <c r="Q63" s="453"/>
      <c r="R63" s="93"/>
      <c r="U63" s="42"/>
    </row>
    <row r="64" spans="1:21" hidden="1">
      <c r="A64" s="449"/>
      <c r="B64" s="451"/>
      <c r="C64" s="451"/>
      <c r="D64" s="484"/>
      <c r="E64" s="439"/>
      <c r="F64" s="439"/>
      <c r="G64" s="439"/>
      <c r="H64" s="439"/>
      <c r="I64" s="439"/>
      <c r="J64" s="439"/>
      <c r="K64" s="451"/>
      <c r="L64" s="439"/>
      <c r="M64" s="439"/>
      <c r="N64" s="439"/>
      <c r="O64" s="439"/>
      <c r="P64" s="453"/>
      <c r="Q64" s="453"/>
      <c r="R64" s="93"/>
      <c r="U64" s="42"/>
    </row>
    <row r="65" spans="1:21" hidden="1">
      <c r="A65" s="449"/>
      <c r="B65" s="451"/>
      <c r="C65" s="451"/>
      <c r="D65" s="484"/>
      <c r="E65" s="439"/>
      <c r="F65" s="439"/>
      <c r="G65" s="439"/>
      <c r="H65" s="439"/>
      <c r="I65" s="439"/>
      <c r="J65" s="439"/>
      <c r="K65" s="451"/>
      <c r="L65" s="439"/>
      <c r="M65" s="439"/>
      <c r="N65" s="439"/>
      <c r="O65" s="439"/>
      <c r="P65" s="453"/>
      <c r="Q65" s="453"/>
      <c r="R65" s="93"/>
      <c r="U65" s="42"/>
    </row>
    <row r="66" spans="1:21" hidden="1">
      <c r="A66" s="449"/>
      <c r="B66" s="439"/>
      <c r="C66" s="456" t="e">
        <f>#REF!</f>
        <v>#REF!</v>
      </c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  <c r="O66" s="439"/>
      <c r="P66" s="453"/>
      <c r="Q66" s="453"/>
      <c r="R66" s="93"/>
      <c r="U66" s="42"/>
    </row>
    <row r="67" spans="1:21" hidden="1">
      <c r="A67" s="449"/>
      <c r="B67" s="439"/>
      <c r="C67" s="455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  <c r="O67" s="439"/>
      <c r="P67" s="453"/>
      <c r="Q67" s="453"/>
      <c r="R67" s="93"/>
      <c r="U67" s="42"/>
    </row>
    <row r="68" spans="1:21" s="42" customFormat="1" hidden="1">
      <c r="A68" s="449"/>
      <c r="B68" s="439"/>
      <c r="C68" s="455" t="s">
        <v>70</v>
      </c>
      <c r="D68" s="439"/>
      <c r="E68" s="439"/>
      <c r="F68" s="439"/>
      <c r="G68" s="439"/>
      <c r="H68" s="439"/>
      <c r="I68" s="439"/>
      <c r="J68" s="439"/>
      <c r="K68" s="451"/>
      <c r="L68" s="451"/>
      <c r="M68" s="451"/>
      <c r="N68" s="451"/>
      <c r="O68" s="451"/>
      <c r="P68" s="453"/>
      <c r="Q68" s="453"/>
      <c r="R68" s="93"/>
    </row>
    <row r="69" spans="1:21" s="42" customFormat="1" hidden="1">
      <c r="A69" s="449"/>
      <c r="B69" s="439"/>
      <c r="C69" s="455" t="s">
        <v>78</v>
      </c>
      <c r="D69" s="439"/>
      <c r="E69" s="439"/>
      <c r="F69" s="439"/>
      <c r="G69" s="439"/>
      <c r="H69" s="439"/>
      <c r="I69" s="439"/>
      <c r="J69" s="439"/>
      <c r="K69" s="451"/>
      <c r="L69" s="451"/>
      <c r="M69" s="451"/>
      <c r="N69" s="451"/>
      <c r="O69" s="451"/>
      <c r="P69" s="453"/>
      <c r="Q69" s="453"/>
      <c r="R69" s="93"/>
    </row>
    <row r="70" spans="1:21" s="42" customFormat="1" hidden="1">
      <c r="A70" s="449"/>
      <c r="B70" s="439"/>
      <c r="C70" s="480" t="e">
        <f>#REF!</f>
        <v>#REF!</v>
      </c>
      <c r="D70" s="439"/>
      <c r="E70" s="439"/>
      <c r="F70" s="439"/>
      <c r="G70" s="439"/>
      <c r="H70" s="439"/>
      <c r="I70" s="439"/>
      <c r="J70" s="439"/>
      <c r="K70" s="451"/>
      <c r="L70" s="451"/>
      <c r="M70" s="451"/>
      <c r="N70" s="451"/>
      <c r="O70" s="451"/>
      <c r="P70" s="453"/>
      <c r="Q70" s="453"/>
      <c r="R70" s="93"/>
    </row>
    <row r="71" spans="1:21" hidden="1">
      <c r="A71" s="449"/>
      <c r="B71" s="439"/>
      <c r="C71" s="439"/>
      <c r="D71" s="439"/>
      <c r="E71" s="439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453"/>
      <c r="Q71" s="453"/>
      <c r="R71" s="93"/>
      <c r="U71" s="42"/>
    </row>
    <row r="72" spans="1:21" hidden="1">
      <c r="A72" s="449"/>
      <c r="B72" s="439"/>
      <c r="C72" s="439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53"/>
      <c r="Q72" s="453"/>
      <c r="R72" s="93"/>
      <c r="U72" s="42"/>
    </row>
    <row r="73" spans="1:21" hidden="1">
      <c r="A73" s="449"/>
      <c r="B73" s="439"/>
      <c r="C73" s="439"/>
      <c r="D73" s="439"/>
      <c r="E73" s="459"/>
      <c r="F73" s="459"/>
      <c r="G73" s="459"/>
      <c r="H73" s="459"/>
      <c r="I73" s="459"/>
      <c r="J73" s="459"/>
      <c r="K73" s="439"/>
      <c r="L73" s="439"/>
      <c r="M73" s="439"/>
      <c r="N73" s="439"/>
      <c r="O73" s="439"/>
      <c r="P73" s="453"/>
      <c r="Q73" s="453"/>
      <c r="R73" s="93"/>
      <c r="U73" s="42"/>
    </row>
    <row r="74" spans="1:21" hidden="1">
      <c r="A74" s="485" t="s">
        <v>72</v>
      </c>
      <c r="B74" s="459" t="s">
        <v>73</v>
      </c>
      <c r="C74" s="455"/>
      <c r="D74" s="439"/>
      <c r="E74" s="459" t="s">
        <v>74</v>
      </c>
      <c r="F74" s="459"/>
      <c r="G74" s="459"/>
      <c r="H74" s="459"/>
      <c r="I74" s="459"/>
      <c r="J74" s="459"/>
      <c r="K74" s="451"/>
      <c r="L74" s="439"/>
      <c r="M74" s="439"/>
      <c r="N74" s="439"/>
      <c r="O74" s="439"/>
      <c r="P74" s="453"/>
      <c r="Q74" s="453"/>
      <c r="R74" s="93"/>
      <c r="U74" s="42"/>
    </row>
    <row r="75" spans="1:21" hidden="1">
      <c r="A75" s="475" t="e">
        <f>#REF!</f>
        <v>#REF!</v>
      </c>
      <c r="B75" s="445" t="e">
        <f>TRIM(CONCATENATE(#REF!," ",#REF!," ",#REF!))</f>
        <v>#REF!</v>
      </c>
      <c r="C75" s="439"/>
      <c r="D75" s="439"/>
      <c r="E75" s="469" t="e">
        <f>#REF!</f>
        <v>#REF!</v>
      </c>
      <c r="F75" s="469"/>
      <c r="G75" s="469"/>
      <c r="H75" s="469"/>
      <c r="I75" s="469"/>
      <c r="J75" s="469"/>
      <c r="K75" s="451"/>
      <c r="L75" s="439"/>
      <c r="M75" s="439"/>
      <c r="N75" s="439"/>
      <c r="O75" s="439"/>
      <c r="P75" s="453"/>
      <c r="Q75" s="453"/>
      <c r="R75" s="93"/>
      <c r="U75" s="42"/>
    </row>
    <row r="76" spans="1:21" s="54" customFormat="1" hidden="1">
      <c r="A76" s="475" t="e">
        <f>#REF!</f>
        <v>#REF!</v>
      </c>
      <c r="B76" s="445" t="e">
        <f>TRIM(CONCATENATE(#REF!," ",#REF!," ",#REF!))</f>
        <v>#REF!</v>
      </c>
      <c r="C76" s="439"/>
      <c r="D76" s="439"/>
      <c r="E76" s="446" t="e">
        <f>#REF!</f>
        <v>#REF!</v>
      </c>
      <c r="F76" s="446"/>
      <c r="G76" s="446"/>
      <c r="H76" s="446"/>
      <c r="I76" s="446"/>
      <c r="J76" s="446"/>
      <c r="K76" s="451"/>
      <c r="L76" s="439"/>
      <c r="M76" s="439"/>
      <c r="N76" s="439"/>
      <c r="O76" s="439"/>
      <c r="P76" s="453"/>
      <c r="Q76" s="453"/>
      <c r="R76" s="97"/>
      <c r="S76" s="55"/>
      <c r="T76" s="55"/>
      <c r="U76" s="55"/>
    </row>
    <row r="77" spans="1:21" s="54" customFormat="1" hidden="1">
      <c r="A77" s="475" t="e">
        <f>#REF!</f>
        <v>#REF!</v>
      </c>
      <c r="B77" s="464" t="e">
        <f>TRIM(CONCATENATE(#REF!," ",#REF!," ",#REF!))</f>
        <v>#REF!</v>
      </c>
      <c r="C77" s="449"/>
      <c r="D77" s="449"/>
      <c r="E77" s="463" t="e">
        <f>#REF!</f>
        <v>#REF!</v>
      </c>
      <c r="F77" s="463"/>
      <c r="G77" s="463"/>
      <c r="H77" s="463"/>
      <c r="I77" s="463"/>
      <c r="J77" s="463"/>
      <c r="K77" s="451"/>
      <c r="L77" s="439"/>
      <c r="M77" s="439"/>
      <c r="N77" s="439"/>
      <c r="O77" s="439"/>
      <c r="P77" s="453"/>
      <c r="Q77" s="453"/>
      <c r="R77" s="97"/>
      <c r="S77" s="55"/>
      <c r="T77" s="55"/>
      <c r="U77" s="55"/>
    </row>
    <row r="78" spans="1:21" s="54" customFormat="1" hidden="1">
      <c r="A78" s="475" t="e">
        <f>#REF!</f>
        <v>#REF!</v>
      </c>
      <c r="B78" s="445" t="e">
        <f>TRIM(CONCATENATE(#REF!," ",#REF!," ",#REF!))</f>
        <v>#REF!</v>
      </c>
      <c r="C78" s="439"/>
      <c r="D78" s="439"/>
      <c r="E78" s="446" t="e">
        <f>#REF!</f>
        <v>#REF!</v>
      </c>
      <c r="F78" s="446"/>
      <c r="G78" s="446"/>
      <c r="H78" s="446"/>
      <c r="I78" s="446"/>
      <c r="J78" s="446"/>
      <c r="K78" s="436"/>
      <c r="L78" s="439"/>
      <c r="M78" s="439"/>
      <c r="N78" s="439"/>
      <c r="O78" s="439"/>
      <c r="P78" s="453"/>
      <c r="Q78" s="453"/>
      <c r="R78" s="97"/>
      <c r="S78" s="55"/>
      <c r="T78" s="55"/>
      <c r="U78" s="55"/>
    </row>
    <row r="79" spans="1:21" s="54" customFormat="1" hidden="1">
      <c r="A79" s="475" t="e">
        <f>#REF!</f>
        <v>#REF!</v>
      </c>
      <c r="B79" s="445" t="e">
        <f>TRIM(CONCATENATE(#REF!," ",#REF!," ",#REF!))</f>
        <v>#REF!</v>
      </c>
      <c r="C79" s="439"/>
      <c r="D79" s="439"/>
      <c r="E79" s="446" t="e">
        <f>#REF!</f>
        <v>#REF!</v>
      </c>
      <c r="F79" s="446"/>
      <c r="G79" s="446"/>
      <c r="H79" s="446"/>
      <c r="I79" s="446"/>
      <c r="J79" s="446"/>
      <c r="K79" s="436"/>
      <c r="L79" s="439"/>
      <c r="M79" s="439"/>
      <c r="N79" s="439"/>
      <c r="O79" s="439"/>
      <c r="P79" s="453"/>
      <c r="Q79" s="453"/>
      <c r="R79" s="97"/>
      <c r="S79" s="55"/>
      <c r="T79" s="55"/>
      <c r="U79" s="55"/>
    </row>
    <row r="80" spans="1:21" s="54" customFormat="1" hidden="1">
      <c r="A80" s="475" t="e">
        <f>#REF!</f>
        <v>#REF!</v>
      </c>
      <c r="B80" s="445" t="e">
        <f>TRIM(CONCATENATE(#REF!," ",#REF!," ",#REF!))</f>
        <v>#REF!</v>
      </c>
      <c r="C80" s="439"/>
      <c r="D80" s="439"/>
      <c r="E80" s="446" t="e">
        <f>#REF!</f>
        <v>#REF!</v>
      </c>
      <c r="F80" s="446"/>
      <c r="G80" s="446"/>
      <c r="H80" s="446"/>
      <c r="I80" s="446"/>
      <c r="J80" s="446"/>
      <c r="K80" s="436"/>
      <c r="L80" s="439"/>
      <c r="M80" s="439"/>
      <c r="N80" s="439"/>
      <c r="O80" s="439"/>
      <c r="P80" s="453"/>
      <c r="Q80" s="453"/>
      <c r="R80" s="97"/>
      <c r="S80" s="55"/>
      <c r="T80" s="55"/>
      <c r="U80" s="55"/>
    </row>
    <row r="81" spans="1:21" hidden="1">
      <c r="A81" s="475"/>
      <c r="B81" s="445"/>
      <c r="C81" s="439"/>
      <c r="D81" s="439"/>
      <c r="E81" s="469"/>
      <c r="F81" s="469"/>
      <c r="G81" s="469"/>
      <c r="H81" s="469"/>
      <c r="I81" s="469"/>
      <c r="J81" s="469"/>
      <c r="K81" s="451"/>
      <c r="L81" s="439"/>
      <c r="M81" s="439"/>
      <c r="N81" s="439"/>
      <c r="O81" s="439"/>
      <c r="P81" s="453"/>
      <c r="Q81" s="453"/>
      <c r="R81" s="93"/>
      <c r="U81" s="42"/>
    </row>
    <row r="82" spans="1:21" hidden="1">
      <c r="A82" s="449"/>
      <c r="B82" s="439" t="s">
        <v>76</v>
      </c>
      <c r="C82" s="439"/>
      <c r="D82" s="439"/>
      <c r="E82" s="466" t="e">
        <f>SUM(E75:E81)</f>
        <v>#REF!</v>
      </c>
      <c r="F82" s="466"/>
      <c r="G82" s="466"/>
      <c r="H82" s="466"/>
      <c r="I82" s="466"/>
      <c r="J82" s="466"/>
      <c r="K82" s="451"/>
      <c r="L82" s="439"/>
      <c r="M82" s="439"/>
      <c r="N82" s="439"/>
      <c r="O82" s="439"/>
      <c r="P82" s="453"/>
      <c r="Q82" s="453"/>
      <c r="R82" s="93"/>
      <c r="U82" s="42"/>
    </row>
    <row r="83" spans="1:21" hidden="1">
      <c r="A83" s="475"/>
      <c r="B83" s="445"/>
      <c r="C83" s="439"/>
      <c r="D83" s="439"/>
      <c r="E83" s="469"/>
      <c r="F83" s="469"/>
      <c r="G83" s="469"/>
      <c r="H83" s="469"/>
      <c r="I83" s="469"/>
      <c r="J83" s="469"/>
      <c r="K83" s="451"/>
      <c r="L83" s="439"/>
      <c r="M83" s="439"/>
      <c r="N83" s="439"/>
      <c r="O83" s="439"/>
      <c r="P83" s="453"/>
      <c r="Q83" s="453"/>
      <c r="R83" s="93"/>
      <c r="U83" s="42"/>
    </row>
    <row r="84" spans="1:21" s="54" customFormat="1" hidden="1">
      <c r="A84" s="475" t="e">
        <f>#REF!</f>
        <v>#REF!</v>
      </c>
      <c r="B84" s="445" t="e">
        <f>TRIM(CONCATENATE(#REF!," ",#REF!," ",#REF!))</f>
        <v>#REF!</v>
      </c>
      <c r="C84" s="439"/>
      <c r="D84" s="439"/>
      <c r="E84" s="446" t="e">
        <f>#REF!</f>
        <v>#REF!</v>
      </c>
      <c r="F84" s="446"/>
      <c r="G84" s="446"/>
      <c r="H84" s="446"/>
      <c r="I84" s="446"/>
      <c r="J84" s="446"/>
      <c r="K84" s="451"/>
      <c r="L84" s="439"/>
      <c r="M84" s="439"/>
      <c r="N84" s="439"/>
      <c r="O84" s="439"/>
      <c r="P84" s="453"/>
      <c r="Q84" s="453"/>
      <c r="R84" s="97"/>
      <c r="S84" s="55"/>
      <c r="T84" s="55"/>
      <c r="U84" s="55"/>
    </row>
    <row r="85" spans="1:21" s="47" customFormat="1" hidden="1">
      <c r="A85" s="475" t="e">
        <f>#REF!</f>
        <v>#REF!</v>
      </c>
      <c r="B85" s="445" t="e">
        <f>TRIM(CONCATENATE(#REF!," ",#REF!," ",#REF!))</f>
        <v>#REF!</v>
      </c>
      <c r="C85" s="439"/>
      <c r="D85" s="439"/>
      <c r="E85" s="446" t="e">
        <f>#REF!</f>
        <v>#REF!</v>
      </c>
      <c r="F85" s="446"/>
      <c r="G85" s="446"/>
      <c r="H85" s="446"/>
      <c r="I85" s="446"/>
      <c r="J85" s="446"/>
      <c r="K85" s="451"/>
      <c r="L85" s="439"/>
      <c r="M85" s="439"/>
      <c r="N85" s="439"/>
      <c r="O85" s="439"/>
      <c r="P85" s="453"/>
      <c r="Q85" s="453"/>
      <c r="R85" s="118"/>
      <c r="S85" s="53"/>
      <c r="T85" s="53"/>
      <c r="U85" s="53"/>
    </row>
    <row r="86" spans="1:21" s="54" customFormat="1" hidden="1">
      <c r="A86" s="475" t="e">
        <f>#REF!</f>
        <v>#REF!</v>
      </c>
      <c r="B86" s="445" t="e">
        <f>TRIM(CONCATENATE(#REF!," ",#REF!," ",#REF!))</f>
        <v>#REF!</v>
      </c>
      <c r="C86" s="439"/>
      <c r="D86" s="439"/>
      <c r="E86" s="446" t="e">
        <f>#REF!</f>
        <v>#REF!</v>
      </c>
      <c r="F86" s="446"/>
      <c r="G86" s="446"/>
      <c r="H86" s="446"/>
      <c r="I86" s="446"/>
      <c r="J86" s="446"/>
      <c r="K86" s="451"/>
      <c r="L86" s="439"/>
      <c r="M86" s="439"/>
      <c r="N86" s="439"/>
      <c r="O86" s="439"/>
      <c r="P86" s="453"/>
      <c r="Q86" s="453"/>
      <c r="R86" s="97"/>
      <c r="S86" s="55"/>
      <c r="T86" s="55"/>
      <c r="U86" s="55"/>
    </row>
    <row r="87" spans="1:21" s="54" customFormat="1" hidden="1">
      <c r="A87" s="475" t="e">
        <f>#REF!</f>
        <v>#REF!</v>
      </c>
      <c r="B87" s="445" t="e">
        <f>TRIM(CONCATENATE(#REF!," ",#REF!," ",#REF!))</f>
        <v>#REF!</v>
      </c>
      <c r="C87" s="439"/>
      <c r="D87" s="439"/>
      <c r="E87" s="446" t="e">
        <f>#REF!</f>
        <v>#REF!</v>
      </c>
      <c r="F87" s="446"/>
      <c r="G87" s="446"/>
      <c r="H87" s="446"/>
      <c r="I87" s="446"/>
      <c r="J87" s="446"/>
      <c r="K87" s="451"/>
      <c r="L87" s="439"/>
      <c r="M87" s="439"/>
      <c r="N87" s="439"/>
      <c r="O87" s="439"/>
      <c r="P87" s="453"/>
      <c r="Q87" s="453"/>
      <c r="R87" s="97"/>
      <c r="S87" s="55"/>
      <c r="T87" s="55"/>
      <c r="U87" s="55"/>
    </row>
    <row r="88" spans="1:21" s="54" customFormat="1" hidden="1">
      <c r="A88" s="475" t="e">
        <f>#REF!</f>
        <v>#REF!</v>
      </c>
      <c r="B88" s="445" t="e">
        <f>TRIM(CONCATENATE(#REF!," ",#REF!," ",#REF!))</f>
        <v>#REF!</v>
      </c>
      <c r="C88" s="439"/>
      <c r="D88" s="439"/>
      <c r="E88" s="446" t="e">
        <f>#REF!</f>
        <v>#REF!</v>
      </c>
      <c r="F88" s="446"/>
      <c r="G88" s="446"/>
      <c r="H88" s="446"/>
      <c r="I88" s="446"/>
      <c r="J88" s="446"/>
      <c r="K88" s="451"/>
      <c r="L88" s="439"/>
      <c r="M88" s="439"/>
      <c r="N88" s="439"/>
      <c r="O88" s="439"/>
      <c r="P88" s="453"/>
      <c r="Q88" s="453"/>
      <c r="R88" s="97"/>
      <c r="S88" s="55"/>
      <c r="T88" s="55"/>
      <c r="U88" s="55"/>
    </row>
    <row r="89" spans="1:21" s="54" customFormat="1" hidden="1">
      <c r="A89" s="475" t="e">
        <f>#REF!</f>
        <v>#REF!</v>
      </c>
      <c r="B89" s="445" t="e">
        <f>TRIM(CONCATENATE(#REF!," ",#REF!," ",#REF!))</f>
        <v>#REF!</v>
      </c>
      <c r="C89" s="439"/>
      <c r="D89" s="439"/>
      <c r="E89" s="446" t="e">
        <f>#REF!</f>
        <v>#REF!</v>
      </c>
      <c r="F89" s="446"/>
      <c r="G89" s="446"/>
      <c r="H89" s="446"/>
      <c r="I89" s="446"/>
      <c r="J89" s="446"/>
      <c r="K89" s="451"/>
      <c r="L89" s="439"/>
      <c r="M89" s="439"/>
      <c r="N89" s="439"/>
      <c r="O89" s="439"/>
      <c r="P89" s="453"/>
      <c r="Q89" s="453"/>
      <c r="R89" s="97"/>
      <c r="S89" s="55"/>
      <c r="T89" s="55"/>
      <c r="U89" s="55"/>
    </row>
    <row r="90" spans="1:21" s="54" customFormat="1" hidden="1">
      <c r="A90" s="475" t="e">
        <f>#REF!</f>
        <v>#REF!</v>
      </c>
      <c r="B90" s="445" t="e">
        <f>TRIM(CONCATENATE(#REF!," ",#REF!," ",#REF!))</f>
        <v>#REF!</v>
      </c>
      <c r="C90" s="439"/>
      <c r="D90" s="439"/>
      <c r="E90" s="446" t="e">
        <f>#REF!</f>
        <v>#REF!</v>
      </c>
      <c r="F90" s="446"/>
      <c r="G90" s="446"/>
      <c r="H90" s="446"/>
      <c r="I90" s="446"/>
      <c r="J90" s="446"/>
      <c r="K90" s="451"/>
      <c r="L90" s="439"/>
      <c r="M90" s="439"/>
      <c r="N90" s="439"/>
      <c r="O90" s="439"/>
      <c r="P90" s="453"/>
      <c r="Q90" s="453"/>
      <c r="R90" s="97"/>
      <c r="S90" s="55"/>
      <c r="T90" s="55"/>
      <c r="U90" s="55"/>
    </row>
    <row r="91" spans="1:21" s="54" customFormat="1" hidden="1">
      <c r="A91" s="475" t="e">
        <f>#REF!</f>
        <v>#REF!</v>
      </c>
      <c r="B91" s="445" t="e">
        <f>TRIM(CONCATENATE(#REF!," ",#REF!," ",#REF!))</f>
        <v>#REF!</v>
      </c>
      <c r="C91" s="439"/>
      <c r="D91" s="439"/>
      <c r="E91" s="446" t="e">
        <f>#REF!</f>
        <v>#REF!</v>
      </c>
      <c r="F91" s="446"/>
      <c r="G91" s="446"/>
      <c r="H91" s="446"/>
      <c r="I91" s="446"/>
      <c r="J91" s="446"/>
      <c r="K91" s="451"/>
      <c r="L91" s="439"/>
      <c r="M91" s="439"/>
      <c r="N91" s="439"/>
      <c r="O91" s="439"/>
      <c r="P91" s="453"/>
      <c r="Q91" s="453"/>
      <c r="R91" s="97"/>
      <c r="S91" s="55"/>
      <c r="T91" s="55"/>
      <c r="U91" s="55"/>
    </row>
    <row r="92" spans="1:21" s="54" customFormat="1" ht="12" hidden="1" customHeight="1">
      <c r="A92" s="475" t="e">
        <f>#REF!</f>
        <v>#REF!</v>
      </c>
      <c r="B92" s="464" t="e">
        <f>TRIM(CONCATENATE(#REF!," ",#REF!," ",#REF!))</f>
        <v>#REF!</v>
      </c>
      <c r="C92" s="449"/>
      <c r="D92" s="449"/>
      <c r="E92" s="463" t="e">
        <f>#REF!</f>
        <v>#REF!</v>
      </c>
      <c r="F92" s="463"/>
      <c r="G92" s="463"/>
      <c r="H92" s="463"/>
      <c r="I92" s="463"/>
      <c r="J92" s="463"/>
      <c r="K92" s="451"/>
      <c r="L92" s="439"/>
      <c r="M92" s="439"/>
      <c r="N92" s="439"/>
      <c r="O92" s="439"/>
      <c r="P92" s="453"/>
      <c r="Q92" s="453"/>
      <c r="R92" s="97"/>
      <c r="S92" s="55"/>
      <c r="T92" s="55"/>
      <c r="U92" s="55"/>
    </row>
    <row r="93" spans="1:21" s="96" customFormat="1" hidden="1">
      <c r="A93" s="475" t="e">
        <f>#REF!</f>
        <v>#REF!</v>
      </c>
      <c r="B93" s="464" t="e">
        <f>TRIM(CONCATENATE(#REF!," ",#REF!," ",#REF!))</f>
        <v>#REF!</v>
      </c>
      <c r="C93" s="449"/>
      <c r="D93" s="449"/>
      <c r="E93" s="463" t="e">
        <f>#REF!</f>
        <v>#REF!</v>
      </c>
      <c r="F93" s="463"/>
      <c r="G93" s="463"/>
      <c r="H93" s="463"/>
      <c r="I93" s="463"/>
      <c r="J93" s="463"/>
      <c r="K93" s="486"/>
      <c r="L93" s="449"/>
      <c r="M93" s="449"/>
      <c r="N93" s="449"/>
      <c r="O93" s="449"/>
      <c r="P93" s="453"/>
      <c r="Q93" s="453"/>
      <c r="R93" s="97"/>
      <c r="S93" s="97"/>
      <c r="T93" s="97"/>
      <c r="U93" s="97"/>
    </row>
    <row r="94" spans="1:21" ht="4.5" hidden="1" customHeight="1">
      <c r="A94" s="449"/>
      <c r="B94" s="445"/>
      <c r="C94" s="439"/>
      <c r="D94" s="439"/>
      <c r="E94" s="469"/>
      <c r="F94" s="469"/>
      <c r="G94" s="469"/>
      <c r="H94" s="469"/>
      <c r="I94" s="469"/>
      <c r="J94" s="469"/>
      <c r="K94" s="451"/>
      <c r="L94" s="439"/>
      <c r="M94" s="439"/>
      <c r="N94" s="439"/>
      <c r="O94" s="439"/>
      <c r="P94" s="453"/>
      <c r="Q94" s="453"/>
      <c r="R94" s="93"/>
      <c r="U94" s="42"/>
    </row>
    <row r="95" spans="1:21" ht="12" hidden="1" customHeight="1">
      <c r="A95" s="475"/>
      <c r="B95" s="445"/>
      <c r="C95" s="439"/>
      <c r="D95" s="439"/>
      <c r="E95" s="469"/>
      <c r="F95" s="469"/>
      <c r="G95" s="469"/>
      <c r="H95" s="469"/>
      <c r="I95" s="469"/>
      <c r="J95" s="469"/>
      <c r="K95" s="451"/>
      <c r="L95" s="439"/>
      <c r="M95" s="439"/>
      <c r="N95" s="439"/>
      <c r="O95" s="439"/>
      <c r="P95" s="453"/>
      <c r="Q95" s="453"/>
      <c r="R95" s="93"/>
      <c r="U95" s="42"/>
    </row>
    <row r="96" spans="1:21" ht="12" hidden="1" customHeight="1">
      <c r="A96" s="475"/>
      <c r="B96" s="445"/>
      <c r="C96" s="439"/>
      <c r="D96" s="439"/>
      <c r="E96" s="469"/>
      <c r="F96" s="469"/>
      <c r="G96" s="469"/>
      <c r="H96" s="469"/>
      <c r="I96" s="469"/>
      <c r="J96" s="469"/>
      <c r="K96" s="451"/>
      <c r="L96" s="439"/>
      <c r="M96" s="439"/>
      <c r="N96" s="439"/>
      <c r="O96" s="439"/>
      <c r="P96" s="453"/>
      <c r="Q96" s="453"/>
      <c r="R96" s="93"/>
      <c r="U96" s="42"/>
    </row>
    <row r="97" spans="1:21" ht="12" hidden="1" customHeight="1" thickBot="1">
      <c r="A97" s="458"/>
      <c r="B97" s="439" t="s">
        <v>77</v>
      </c>
      <c r="C97" s="439"/>
      <c r="D97" s="439"/>
      <c r="E97" s="447" t="e">
        <f>SUM(E82:E95)</f>
        <v>#REF!</v>
      </c>
      <c r="F97" s="447"/>
      <c r="G97" s="447"/>
      <c r="H97" s="447"/>
      <c r="I97" s="447"/>
      <c r="J97" s="447"/>
      <c r="K97" s="451"/>
      <c r="L97" s="439"/>
      <c r="M97" s="439"/>
      <c r="N97" s="439"/>
      <c r="O97" s="439"/>
      <c r="P97" s="453"/>
      <c r="Q97" s="453"/>
      <c r="R97" s="93"/>
      <c r="U97" s="42"/>
    </row>
    <row r="98" spans="1:21" ht="12" hidden="1" customHeight="1" thickTop="1">
      <c r="A98" s="458"/>
      <c r="B98" s="439"/>
      <c r="C98" s="439"/>
      <c r="D98" s="445"/>
      <c r="E98" s="445"/>
      <c r="F98" s="439"/>
      <c r="G98" s="439"/>
      <c r="H98" s="445"/>
      <c r="I98" s="439"/>
      <c r="J98" s="439"/>
      <c r="K98" s="451"/>
      <c r="L98" s="439"/>
      <c r="M98" s="439"/>
      <c r="N98" s="439"/>
      <c r="O98" s="439"/>
      <c r="P98" s="453"/>
      <c r="Q98" s="453"/>
      <c r="R98" s="93"/>
      <c r="U98" s="42"/>
    </row>
    <row r="99" spans="1:21" hidden="1">
      <c r="A99" s="475" t="e">
        <f>#REF!</f>
        <v>#REF!</v>
      </c>
      <c r="B99" s="445" t="e">
        <f>TRIM(CONCATENATE(#REF!," ",#REF!," ",#REF!))</f>
        <v>#REF!</v>
      </c>
      <c r="C99" s="439"/>
      <c r="D99" s="439"/>
      <c r="E99" s="446" t="e">
        <f>#REF!</f>
        <v>#REF!</v>
      </c>
      <c r="F99" s="446"/>
      <c r="G99" s="446"/>
      <c r="H99" s="446"/>
      <c r="I99" s="446"/>
      <c r="J99" s="446"/>
      <c r="K99" s="451"/>
      <c r="L99" s="439"/>
      <c r="M99" s="439"/>
      <c r="N99" s="439"/>
      <c r="O99" s="439"/>
      <c r="P99" s="453"/>
      <c r="Q99" s="453"/>
      <c r="R99" s="93"/>
      <c r="U99" s="42"/>
    </row>
    <row r="100" spans="1:21" ht="14.25" hidden="1" customHeight="1">
      <c r="A100" s="475" t="e">
        <f>#REF!</f>
        <v>#REF!</v>
      </c>
      <c r="B100" s="445" t="e">
        <f>TRIM(CONCATENATE(#REF!," ",#REF!," ",#REF!))</f>
        <v>#REF!</v>
      </c>
      <c r="C100" s="439"/>
      <c r="D100" s="439"/>
      <c r="E100" s="446" t="e">
        <f>#REF!</f>
        <v>#REF!</v>
      </c>
      <c r="F100" s="446"/>
      <c r="G100" s="446"/>
      <c r="H100" s="446"/>
      <c r="I100" s="446"/>
      <c r="J100" s="446"/>
      <c r="K100" s="451"/>
      <c r="L100" s="439"/>
      <c r="M100" s="439"/>
      <c r="N100" s="439"/>
      <c r="O100" s="439"/>
      <c r="P100" s="453"/>
      <c r="Q100" s="453"/>
      <c r="R100" s="93"/>
      <c r="U100" s="42"/>
    </row>
    <row r="101" spans="1:21" s="95" customFormat="1" ht="15" hidden="1" customHeight="1">
      <c r="A101" s="475" t="e">
        <f>#REF!</f>
        <v>#REF!</v>
      </c>
      <c r="B101" s="464" t="e">
        <f>TRIM(CONCATENATE(#REF!," ",#REF!," ",#REF!))</f>
        <v>#REF!</v>
      </c>
      <c r="C101" s="449"/>
      <c r="D101" s="449"/>
      <c r="E101" s="463" t="e">
        <f>#REF!</f>
        <v>#REF!</v>
      </c>
      <c r="F101" s="463"/>
      <c r="G101" s="463"/>
      <c r="H101" s="463"/>
      <c r="I101" s="463"/>
      <c r="J101" s="463"/>
      <c r="K101" s="453"/>
      <c r="L101" s="449"/>
      <c r="M101" s="449"/>
      <c r="N101" s="449"/>
      <c r="O101" s="449"/>
      <c r="P101" s="453"/>
      <c r="Q101" s="453"/>
      <c r="R101" s="93"/>
      <c r="S101" s="93"/>
      <c r="T101" s="93"/>
      <c r="U101" s="93"/>
    </row>
    <row r="102" spans="1:21" ht="15" hidden="1" customHeight="1">
      <c r="A102" s="475" t="e">
        <f>#REF!</f>
        <v>#REF!</v>
      </c>
      <c r="B102" s="445" t="e">
        <f>TRIM(CONCATENATE(#REF!," ",#REF!," ",#REF!))</f>
        <v>#REF!</v>
      </c>
      <c r="C102" s="439"/>
      <c r="D102" s="439"/>
      <c r="E102" s="446" t="e">
        <f>#REF!</f>
        <v>#REF!</v>
      </c>
      <c r="F102" s="446"/>
      <c r="G102" s="446"/>
      <c r="H102" s="446"/>
      <c r="I102" s="446"/>
      <c r="J102" s="446"/>
      <c r="K102" s="451"/>
      <c r="L102" s="439"/>
      <c r="M102" s="439"/>
      <c r="N102" s="439"/>
      <c r="O102" s="439"/>
      <c r="P102" s="453"/>
      <c r="Q102" s="453"/>
      <c r="R102" s="93"/>
      <c r="U102" s="42"/>
    </row>
    <row r="103" spans="1:21" ht="15" hidden="1" customHeight="1">
      <c r="A103" s="475" t="e">
        <f>#REF!</f>
        <v>#REF!</v>
      </c>
      <c r="B103" s="445" t="e">
        <f>TRIM(CONCATENATE(#REF!," ",#REF!," ",#REF!))</f>
        <v>#REF!</v>
      </c>
      <c r="C103" s="439"/>
      <c r="D103" s="439"/>
      <c r="E103" s="446" t="e">
        <f>#REF!</f>
        <v>#REF!</v>
      </c>
      <c r="F103" s="446"/>
      <c r="G103" s="446"/>
      <c r="H103" s="446"/>
      <c r="I103" s="446"/>
      <c r="J103" s="446"/>
      <c r="K103" s="451"/>
      <c r="L103" s="439"/>
      <c r="M103" s="439"/>
      <c r="N103" s="439"/>
      <c r="O103" s="439"/>
      <c r="P103" s="453"/>
      <c r="Q103" s="453"/>
      <c r="R103" s="93"/>
      <c r="U103" s="42"/>
    </row>
    <row r="104" spans="1:21" hidden="1">
      <c r="A104" s="475" t="e">
        <f>#REF!</f>
        <v>#REF!</v>
      </c>
      <c r="B104" s="445" t="e">
        <f>TRIM(CONCATENATE(#REF!," ",#REF!," ",#REF!))</f>
        <v>#REF!</v>
      </c>
      <c r="C104" s="439"/>
      <c r="D104" s="439"/>
      <c r="E104" s="446" t="e">
        <f>#REF!</f>
        <v>#REF!</v>
      </c>
      <c r="F104" s="446"/>
      <c r="G104" s="446"/>
      <c r="H104" s="446"/>
      <c r="I104" s="446"/>
      <c r="J104" s="446"/>
      <c r="K104" s="451"/>
      <c r="L104" s="439"/>
      <c r="M104" s="439"/>
      <c r="N104" s="439"/>
      <c r="O104" s="439"/>
      <c r="P104" s="453"/>
      <c r="Q104" s="453"/>
      <c r="R104" s="93"/>
      <c r="U104" s="42"/>
    </row>
    <row r="105" spans="1:21" s="95" customFormat="1" hidden="1">
      <c r="A105" s="475" t="e">
        <f>#REF!</f>
        <v>#REF!</v>
      </c>
      <c r="B105" s="464" t="e">
        <f>TRIM(CONCATENATE(#REF!," ",#REF!," ",#REF!))</f>
        <v>#REF!</v>
      </c>
      <c r="C105" s="449"/>
      <c r="D105" s="449"/>
      <c r="E105" s="463" t="e">
        <f>#REF!</f>
        <v>#REF!</v>
      </c>
      <c r="F105" s="463"/>
      <c r="G105" s="463"/>
      <c r="H105" s="463"/>
      <c r="I105" s="463"/>
      <c r="J105" s="463"/>
      <c r="K105" s="453"/>
      <c r="L105" s="449"/>
      <c r="M105" s="449"/>
      <c r="N105" s="449"/>
      <c r="O105" s="449"/>
      <c r="P105" s="453"/>
      <c r="Q105" s="453"/>
      <c r="R105" s="93"/>
      <c r="S105" s="93"/>
      <c r="T105" s="93"/>
      <c r="U105" s="93"/>
    </row>
    <row r="106" spans="1:21" hidden="1">
      <c r="A106" s="475" t="e">
        <f>#REF!</f>
        <v>#REF!</v>
      </c>
      <c r="B106" s="445" t="e">
        <f>TRIM(CONCATENATE(#REF!," ",#REF!," ",#REF!))</f>
        <v>#REF!</v>
      </c>
      <c r="C106" s="439"/>
      <c r="D106" s="439"/>
      <c r="E106" s="446" t="e">
        <f>#REF!</f>
        <v>#REF!</v>
      </c>
      <c r="F106" s="446"/>
      <c r="G106" s="446"/>
      <c r="H106" s="446"/>
      <c r="I106" s="446"/>
      <c r="J106" s="446"/>
      <c r="K106" s="451"/>
      <c r="L106" s="487" t="s">
        <v>167</v>
      </c>
      <c r="M106" s="439"/>
      <c r="N106" s="439"/>
      <c r="O106" s="439"/>
      <c r="P106" s="453"/>
      <c r="Q106" s="453"/>
      <c r="R106" s="93"/>
      <c r="U106" s="42"/>
    </row>
    <row r="107" spans="1:21" hidden="1">
      <c r="A107" s="475"/>
      <c r="B107" s="445"/>
      <c r="C107" s="439"/>
      <c r="D107" s="439"/>
      <c r="E107" s="446"/>
      <c r="F107" s="446"/>
      <c r="G107" s="446"/>
      <c r="H107" s="446"/>
      <c r="I107" s="446"/>
      <c r="J107" s="446"/>
      <c r="K107" s="451"/>
      <c r="L107" s="488">
        <v>8.14E-2</v>
      </c>
      <c r="M107" s="439"/>
      <c r="N107" s="439"/>
      <c r="O107" s="439"/>
      <c r="P107" s="453"/>
      <c r="Q107" s="453"/>
      <c r="R107" s="93"/>
      <c r="U107" s="42"/>
    </row>
    <row r="108" spans="1:21" ht="13.8" hidden="1" thickBot="1">
      <c r="A108" s="458"/>
      <c r="B108" s="439" t="s">
        <v>129</v>
      </c>
      <c r="C108" s="439"/>
      <c r="D108" s="439"/>
      <c r="E108" s="447" t="e">
        <f>SUM(E97:E107)</f>
        <v>#REF!</v>
      </c>
      <c r="F108" s="447"/>
      <c r="G108" s="447"/>
      <c r="H108" s="447"/>
      <c r="I108" s="447"/>
      <c r="J108" s="447"/>
      <c r="K108" s="451"/>
      <c r="L108" s="489" t="e">
        <f>#REF!</f>
        <v>#REF!</v>
      </c>
      <c r="M108" s="439"/>
      <c r="N108" s="439"/>
      <c r="O108" s="439"/>
      <c r="P108" s="453"/>
      <c r="Q108" s="453"/>
      <c r="R108" s="93"/>
      <c r="U108" s="42"/>
    </row>
    <row r="109" spans="1:21" hidden="1">
      <c r="A109" s="458"/>
      <c r="B109" s="439"/>
      <c r="C109" s="439"/>
      <c r="D109" s="445"/>
      <c r="E109" s="445"/>
      <c r="F109" s="439"/>
      <c r="G109" s="439"/>
      <c r="H109" s="445"/>
      <c r="I109" s="439"/>
      <c r="J109" s="439"/>
      <c r="K109" s="451"/>
      <c r="L109" s="455"/>
      <c r="M109" s="439"/>
      <c r="N109" s="439"/>
      <c r="O109" s="439"/>
      <c r="P109" s="453"/>
      <c r="Q109" s="453"/>
      <c r="R109" s="93"/>
      <c r="U109" s="42"/>
    </row>
    <row r="110" spans="1:21" hidden="1">
      <c r="A110" s="475"/>
      <c r="B110" s="445"/>
      <c r="C110" s="439"/>
      <c r="D110" s="445"/>
      <c r="E110" s="445"/>
      <c r="F110" s="439"/>
      <c r="G110" s="439"/>
      <c r="H110" s="445"/>
      <c r="I110" s="439"/>
      <c r="J110" s="439"/>
      <c r="K110" s="451"/>
      <c r="L110" s="490" t="e">
        <f>((I97*L107)-H97)/0.64/L108</f>
        <v>#REF!</v>
      </c>
      <c r="M110" s="439"/>
      <c r="N110" s="439"/>
      <c r="O110" s="439"/>
      <c r="P110" s="453"/>
      <c r="Q110" s="453"/>
      <c r="R110" s="93"/>
      <c r="U110" s="42"/>
    </row>
    <row r="111" spans="1:21">
      <c r="A111" s="491"/>
      <c r="B111" s="464"/>
      <c r="C111" s="439"/>
      <c r="D111" s="445"/>
      <c r="E111" s="445"/>
      <c r="F111" s="469"/>
      <c r="G111" s="439"/>
      <c r="H111" s="445"/>
      <c r="I111" s="492"/>
      <c r="J111" s="439"/>
      <c r="K111" s="451"/>
      <c r="L111" s="490"/>
      <c r="M111" s="439"/>
      <c r="N111" s="439"/>
      <c r="O111" s="474" t="s">
        <v>194</v>
      </c>
      <c r="P111" s="453"/>
      <c r="Q111" s="453"/>
      <c r="R111" s="119"/>
      <c r="U111" s="42"/>
    </row>
    <row r="112" spans="1:21">
      <c r="A112" s="475"/>
      <c r="B112" s="445"/>
      <c r="C112" s="439"/>
      <c r="D112" s="445"/>
      <c r="E112" s="445"/>
      <c r="F112" s="469"/>
      <c r="G112" s="439"/>
      <c r="H112" s="445"/>
      <c r="I112" s="439"/>
      <c r="J112" s="493" t="s">
        <v>554</v>
      </c>
      <c r="K112" s="439"/>
      <c r="L112" s="494">
        <f>+G51</f>
        <v>4531</v>
      </c>
      <c r="M112" s="439"/>
      <c r="N112" s="439"/>
      <c r="O112" s="474" t="s">
        <v>178</v>
      </c>
      <c r="P112" s="465">
        <f>+G51</f>
        <v>4531</v>
      </c>
      <c r="Q112" s="495"/>
      <c r="R112" s="93"/>
      <c r="U112" s="42"/>
    </row>
    <row r="113" spans="1:21">
      <c r="A113" s="496"/>
      <c r="B113" s="445"/>
      <c r="C113" s="439"/>
      <c r="D113" s="445"/>
      <c r="E113" s="445"/>
      <c r="F113" s="469"/>
      <c r="G113" s="439"/>
      <c r="H113" s="445"/>
      <c r="I113" s="439"/>
      <c r="J113" s="497" t="s">
        <v>553</v>
      </c>
      <c r="K113" s="439"/>
      <c r="L113" s="498">
        <f>+L51</f>
        <v>665.12842176999993</v>
      </c>
      <c r="M113" s="439"/>
      <c r="N113" s="439"/>
      <c r="O113" s="474" t="s">
        <v>182</v>
      </c>
      <c r="P113" s="465">
        <f>+P51</f>
        <v>-1002</v>
      </c>
      <c r="Q113" s="453"/>
      <c r="R113" s="93"/>
      <c r="U113" s="42"/>
    </row>
    <row r="114" spans="1:21">
      <c r="A114" s="496"/>
      <c r="B114" s="445"/>
      <c r="C114" s="439"/>
      <c r="D114" s="445"/>
      <c r="E114" s="445"/>
      <c r="F114" s="469"/>
      <c r="G114" s="439"/>
      <c r="H114" s="445"/>
      <c r="I114" s="439"/>
      <c r="J114" s="497" t="s">
        <v>555</v>
      </c>
      <c r="K114" s="439"/>
      <c r="L114" s="499">
        <f>-J51+K51</f>
        <v>-2421</v>
      </c>
      <c r="M114" s="439"/>
      <c r="N114" s="439"/>
      <c r="O114" s="474" t="s">
        <v>183</v>
      </c>
      <c r="P114" s="465">
        <f>+K51-J51-1</f>
        <v>-2422</v>
      </c>
      <c r="Q114" s="453"/>
      <c r="R114" s="93"/>
      <c r="U114" s="42"/>
    </row>
    <row r="115" spans="1:21" ht="13.8" thickBot="1">
      <c r="A115" s="496"/>
      <c r="B115" s="445"/>
      <c r="C115" s="439"/>
      <c r="D115" s="445"/>
      <c r="E115" s="439"/>
      <c r="F115" s="439"/>
      <c r="G115" s="439"/>
      <c r="H115" s="445"/>
      <c r="I115" s="439"/>
      <c r="J115" s="451"/>
      <c r="K115" s="500"/>
      <c r="L115" s="501">
        <f>SUM(L112:L114)</f>
        <v>2775.1284217699995</v>
      </c>
      <c r="M115" s="439"/>
      <c r="N115" s="439"/>
      <c r="O115" s="486"/>
      <c r="P115" s="502">
        <f>+SUM(P112:P114)</f>
        <v>1107</v>
      </c>
      <c r="Q115" s="486"/>
      <c r="R115" s="93"/>
      <c r="U115" s="42"/>
    </row>
    <row r="116" spans="1:21" ht="13.8" thickTop="1">
      <c r="A116" s="455"/>
      <c r="B116" s="439"/>
      <c r="C116" s="439"/>
      <c r="D116" s="445"/>
      <c r="E116" s="445"/>
      <c r="F116" s="446"/>
      <c r="G116" s="439"/>
      <c r="H116" s="445"/>
      <c r="I116" s="439"/>
      <c r="J116" s="439"/>
      <c r="K116" s="451"/>
      <c r="L116" s="439"/>
      <c r="M116" s="439"/>
      <c r="N116" s="439"/>
      <c r="O116" s="486"/>
      <c r="P116" s="453"/>
      <c r="Q116" s="486"/>
      <c r="R116" s="93"/>
      <c r="U116" s="42"/>
    </row>
    <row r="117" spans="1:21">
      <c r="A117" s="455"/>
      <c r="B117" s="439"/>
      <c r="C117" s="439"/>
      <c r="D117" s="445"/>
      <c r="E117" s="445"/>
      <c r="F117" s="469"/>
      <c r="G117" s="439"/>
      <c r="H117" s="445"/>
      <c r="I117" s="439"/>
      <c r="J117" s="439"/>
      <c r="K117" s="451"/>
      <c r="L117" s="439"/>
      <c r="M117" s="439"/>
      <c r="N117" s="439"/>
      <c r="O117" s="453"/>
      <c r="P117" s="453"/>
      <c r="Q117" s="453"/>
      <c r="R117" s="93"/>
      <c r="U117" s="42"/>
    </row>
    <row r="118" spans="1:21">
      <c r="A118" s="455"/>
      <c r="B118" s="439"/>
      <c r="C118" s="439"/>
      <c r="D118" s="445"/>
      <c r="E118" s="445"/>
      <c r="F118" s="439"/>
      <c r="G118" s="439"/>
      <c r="H118" s="445"/>
      <c r="I118" s="439"/>
      <c r="J118" s="439"/>
      <c r="K118" s="451"/>
      <c r="L118" s="439"/>
      <c r="M118" s="439"/>
      <c r="N118" s="439"/>
      <c r="O118" s="453"/>
      <c r="P118" s="449"/>
      <c r="Q118" s="449"/>
      <c r="R118" s="93"/>
    </row>
    <row r="119" spans="1:21">
      <c r="A119" s="455"/>
      <c r="B119" s="439"/>
      <c r="C119" s="439"/>
      <c r="D119" s="439"/>
      <c r="E119" s="439"/>
      <c r="F119" s="439"/>
      <c r="G119" s="439"/>
      <c r="H119" s="439"/>
      <c r="I119" s="439"/>
      <c r="J119" s="439"/>
      <c r="K119" s="451"/>
      <c r="L119" s="439"/>
      <c r="M119" s="439"/>
      <c r="N119" s="439"/>
      <c r="O119" s="453"/>
      <c r="P119" s="449"/>
      <c r="Q119" s="449"/>
      <c r="R119" s="93"/>
    </row>
  </sheetData>
  <mergeCells count="10">
    <mergeCell ref="E9:F9"/>
    <mergeCell ref="H9:I9"/>
    <mergeCell ref="L9:M9"/>
    <mergeCell ref="A1:O1"/>
    <mergeCell ref="A2:O2"/>
    <mergeCell ref="A3:O3"/>
    <mergeCell ref="M7:O7"/>
    <mergeCell ref="E8:F8"/>
    <mergeCell ref="H8:I8"/>
    <mergeCell ref="L8:M8"/>
  </mergeCells>
  <phoneticPr fontId="23" type="noConversion"/>
  <pageMargins left="0.75" right="0.25" top="0.5" bottom="0.25" header="0.5" footer="0.5"/>
  <pageSetup scale="77" orientation="landscape" r:id="rId1"/>
  <headerFooter alignWithMargins="0">
    <oddHeader>&amp;LTraditional Pro Forma Study&amp;RExhibit No. JH-3
Dockets UE-170485/UG-170486
Page &amp;P of &amp;N</oddHeader>
  </headerFooter>
  <rowBreaks count="1" manualBreakCount="1"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view="pageBreakPreview" zoomScale="85" zoomScaleNormal="100" zoomScaleSheetLayoutView="85" workbookViewId="0">
      <pane xSplit="5" ySplit="12" topLeftCell="Y13" activePane="bottomRight" state="frozen"/>
      <selection activeCell="H1" sqref="H1"/>
      <selection pane="topRight" activeCell="H1" sqref="H1"/>
      <selection pane="bottomLeft" activeCell="H1" sqref="H1"/>
      <selection pane="bottomRight" activeCell="AJ11" sqref="AJ11"/>
    </sheetView>
  </sheetViews>
  <sheetFormatPr defaultColWidth="10.77734375" defaultRowHeight="12"/>
  <cols>
    <col min="1" max="1" width="5.77734375" style="149" customWidth="1"/>
    <col min="2" max="3" width="1.77734375" style="125" customWidth="1"/>
    <col min="4" max="4" width="28.77734375" style="125" customWidth="1"/>
    <col min="5" max="5" width="17.21875" style="127" customWidth="1"/>
    <col min="6" max="36" width="20.44140625" style="127" customWidth="1"/>
    <col min="37" max="16384" width="10.77734375" style="125"/>
  </cols>
  <sheetData>
    <row r="1" spans="1:36">
      <c r="F1" s="171" t="s">
        <v>220</v>
      </c>
      <c r="G1" s="171" t="s">
        <v>220</v>
      </c>
      <c r="H1" s="171" t="s">
        <v>220</v>
      </c>
      <c r="I1" s="171" t="s">
        <v>220</v>
      </c>
      <c r="J1" s="171" t="s">
        <v>220</v>
      </c>
      <c r="K1" s="171" t="s">
        <v>220</v>
      </c>
      <c r="L1" s="171" t="s">
        <v>220</v>
      </c>
      <c r="M1" s="171" t="s">
        <v>220</v>
      </c>
      <c r="N1" s="171" t="s">
        <v>220</v>
      </c>
      <c r="O1" s="171" t="s">
        <v>220</v>
      </c>
      <c r="P1" s="171" t="s">
        <v>220</v>
      </c>
      <c r="Q1" s="171" t="s">
        <v>220</v>
      </c>
      <c r="R1" s="171" t="s">
        <v>220</v>
      </c>
      <c r="S1" s="171" t="s">
        <v>220</v>
      </c>
      <c r="T1" s="171" t="s">
        <v>220</v>
      </c>
      <c r="U1" s="171" t="s">
        <v>220</v>
      </c>
      <c r="V1" s="171" t="s">
        <v>220</v>
      </c>
      <c r="W1" s="171" t="s">
        <v>220</v>
      </c>
      <c r="X1" s="171" t="s">
        <v>220</v>
      </c>
      <c r="Y1" s="171" t="s">
        <v>220</v>
      </c>
      <c r="Z1" s="171" t="s">
        <v>220</v>
      </c>
      <c r="AA1" s="171" t="s">
        <v>220</v>
      </c>
      <c r="AB1" s="171" t="s">
        <v>220</v>
      </c>
      <c r="AC1" s="171" t="s">
        <v>220</v>
      </c>
      <c r="AD1" s="171" t="s">
        <v>220</v>
      </c>
      <c r="AE1" s="171" t="s">
        <v>220</v>
      </c>
      <c r="AF1" s="171" t="s">
        <v>220</v>
      </c>
      <c r="AG1" s="171" t="s">
        <v>220</v>
      </c>
      <c r="AH1" s="171" t="s">
        <v>220</v>
      </c>
      <c r="AI1" s="171" t="s">
        <v>220</v>
      </c>
      <c r="AJ1" s="171" t="s">
        <v>220</v>
      </c>
    </row>
    <row r="2" spans="1:36" ht="12.75" customHeight="1">
      <c r="A2" s="124" t="str">
        <f>'ADJ DETAIL INPUT'!A2</f>
        <v>AVISTA UTILITIES</v>
      </c>
      <c r="E2" s="126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6" ht="12.75" customHeight="1">
      <c r="A3" s="124" t="str">
        <f>'ADJ DETAIL INPUT'!A3</f>
        <v>WASHINGTON NATURAL GAS RESULTS</v>
      </c>
      <c r="E3" s="126"/>
    </row>
    <row r="4" spans="1:36" ht="12.75" customHeight="1">
      <c r="A4" s="124" t="str">
        <f>'ADJ DETAIL INPUT'!A4</f>
        <v>TWELVE MONTHS ENDED DECEMBER 31, 2016</v>
      </c>
      <c r="E4" s="129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</row>
    <row r="5" spans="1:36">
      <c r="A5" s="124" t="str">
        <f>'ADJ DETAIL INPUT'!A5</f>
        <v xml:space="preserve">(000'S OF DOLLARS)   </v>
      </c>
      <c r="B5" s="124"/>
      <c r="C5" s="124"/>
      <c r="D5" s="124"/>
      <c r="E5" s="124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</row>
    <row r="6" spans="1:36" ht="12.75" customHeight="1">
      <c r="A6" s="124"/>
    </row>
    <row r="7" spans="1:36" s="132" customFormat="1" ht="11.4">
      <c r="A7" s="131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</row>
    <row r="8" spans="1:36" s="132" customFormat="1" ht="12" customHeight="1">
      <c r="A8" s="134"/>
      <c r="B8" s="135"/>
      <c r="C8" s="136"/>
      <c r="D8" s="137"/>
      <c r="E8" s="138" t="str">
        <f>'ADJ DETAIL INPUT'!E8</f>
        <v>Per</v>
      </c>
      <c r="F8" s="138" t="str">
        <f>'ADJ DETAIL INPUT'!F8</f>
        <v xml:space="preserve">Deferred </v>
      </c>
      <c r="G8" s="138" t="str">
        <f>'ADJ DETAIL INPUT'!G8</f>
        <v>Deferred</v>
      </c>
      <c r="H8" s="138" t="str">
        <f>'ADJ DETAIL INPUT'!H8</f>
        <v>Working</v>
      </c>
      <c r="I8" s="138" t="str">
        <f>'ADJ DETAIL INPUT'!I8</f>
        <v xml:space="preserve">Eliminate </v>
      </c>
      <c r="J8" s="138" t="str">
        <f>'ADJ DETAIL INPUT'!J8</f>
        <v>Restate</v>
      </c>
      <c r="K8" s="138" t="str">
        <f>'ADJ DETAIL INPUT'!K8</f>
        <v>Uncollectible</v>
      </c>
      <c r="L8" s="138" t="str">
        <f>'ADJ DETAIL INPUT'!L8</f>
        <v>Regulatory</v>
      </c>
      <c r="M8" s="138" t="str">
        <f>'ADJ DETAIL INPUT'!M8</f>
        <v>Injuries</v>
      </c>
      <c r="N8" s="138" t="str">
        <f>'ADJ DETAIL INPUT'!N8</f>
        <v xml:space="preserve">FIT / </v>
      </c>
      <c r="O8" s="138" t="str">
        <f>'ADJ DETAIL INPUT'!O8</f>
        <v>Office Space</v>
      </c>
      <c r="P8" s="138" t="str">
        <f>'ADJ DETAIL INPUT'!P8</f>
        <v>Restate</v>
      </c>
      <c r="Q8" s="138" t="str">
        <f>'ADJ DETAIL INPUT'!Q8</f>
        <v>Net</v>
      </c>
      <c r="R8" s="138" t="str">
        <f>'ADJ DETAIL INPUT'!R8</f>
        <v xml:space="preserve">Weather </v>
      </c>
      <c r="S8" s="138" t="str">
        <f>'ADJ DETAIL INPUT'!S8</f>
        <v>Eliminate</v>
      </c>
      <c r="T8" s="138" t="str">
        <f>'ADJ DETAIL INPUT'!T8</f>
        <v>Misc. Restating</v>
      </c>
      <c r="U8" s="138" t="str">
        <f>'ADJ DETAIL INPUT'!U8</f>
        <v xml:space="preserve">Project </v>
      </c>
      <c r="V8" s="138" t="str">
        <f>'ADJ DETAIL INPUT'!V8</f>
        <v>Restating</v>
      </c>
      <c r="W8" s="138" t="str">
        <f>'ADJ DETAIL INPUT'!W8</f>
        <v>Restate</v>
      </c>
      <c r="X8" s="138" t="str">
        <f>'ADJ DETAIL INPUT'!Z8</f>
        <v xml:space="preserve">Pro Forma </v>
      </c>
      <c r="Y8" s="138" t="str">
        <f>'ADJ DETAIL INPUT'!AA8</f>
        <v>Pro Forma</v>
      </c>
      <c r="Z8" s="138" t="str">
        <f>'ADJ DETAIL INPUT'!AB8</f>
        <v>Pro Forma</v>
      </c>
      <c r="AA8" s="138" t="str">
        <f>'ADJ DETAIL INPUT'!AC8</f>
        <v>Pro Forma</v>
      </c>
      <c r="AB8" s="138" t="str">
        <f>'ADJ DETAIL INPUT'!AD8</f>
        <v>Pro Forma</v>
      </c>
      <c r="AC8" s="138" t="str">
        <f>'ADJ DETAIL INPUT'!AE8</f>
        <v>Pro Forma</v>
      </c>
      <c r="AD8" s="138" t="str">
        <f>'ADJ DETAIL INPUT'!AF8</f>
        <v>Pro Forma</v>
      </c>
      <c r="AE8" s="138" t="str">
        <f>'ADJ DETAIL INPUT'!AG8</f>
        <v>Pro Forma</v>
      </c>
      <c r="AF8" s="138" t="str">
        <f>'ADJ DETAIL INPUT'!AH8</f>
        <v>Pro Forma</v>
      </c>
      <c r="AG8" s="138" t="str">
        <f>'ADJ DETAIL INPUT'!AI8</f>
        <v xml:space="preserve">Pro Forma </v>
      </c>
      <c r="AH8" s="138" t="str">
        <f>'ADJ DETAIL INPUT'!AJ8</f>
        <v>Pro Forma</v>
      </c>
      <c r="AI8" s="138" t="str">
        <f>'ADJ DETAIL INPUT'!AL8</f>
        <v>Pro Forma</v>
      </c>
      <c r="AJ8" s="138" t="str">
        <f>'ADJ DETAIL INPUT'!AO8</f>
        <v>EOP</v>
      </c>
    </row>
    <row r="9" spans="1:36" s="132" customFormat="1">
      <c r="A9" s="139" t="s">
        <v>7</v>
      </c>
      <c r="B9" s="140"/>
      <c r="C9" s="141"/>
      <c r="D9" s="142"/>
      <c r="E9" s="143" t="str">
        <f>'ADJ DETAIL INPUT'!E9</f>
        <v xml:space="preserve">Results </v>
      </c>
      <c r="F9" s="143" t="str">
        <f>'ADJ DETAIL INPUT'!F9</f>
        <v>FIT</v>
      </c>
      <c r="G9" s="143" t="str">
        <f>'ADJ DETAIL INPUT'!G9</f>
        <v xml:space="preserve">Debits and </v>
      </c>
      <c r="H9" s="143" t="str">
        <f>'ADJ DETAIL INPUT'!H9</f>
        <v>Capital</v>
      </c>
      <c r="I9" s="143" t="str">
        <f>'ADJ DETAIL INPUT'!I9</f>
        <v xml:space="preserve">B &amp; O </v>
      </c>
      <c r="J9" s="143" t="str">
        <f>'ADJ DETAIL INPUT'!J9</f>
        <v>Property</v>
      </c>
      <c r="K9" s="143" t="str">
        <f>'ADJ DETAIL INPUT'!K9</f>
        <v>Expense</v>
      </c>
      <c r="L9" s="143" t="str">
        <f>'ADJ DETAIL INPUT'!L9</f>
        <v>Expense</v>
      </c>
      <c r="M9" s="143" t="str">
        <f>'ADJ DETAIL INPUT'!M9</f>
        <v>&amp;</v>
      </c>
      <c r="N9" s="143" t="str">
        <f>'ADJ DETAIL INPUT'!N9</f>
        <v xml:space="preserve">DFIT </v>
      </c>
      <c r="O9" s="143" t="str">
        <f>'ADJ DETAIL INPUT'!O9</f>
        <v>Charges to</v>
      </c>
      <c r="P9" s="143" t="str">
        <f>'ADJ DETAIL INPUT'!P9</f>
        <v>Excise</v>
      </c>
      <c r="Q9" s="143" t="str">
        <f>'ADJ DETAIL INPUT'!Q9</f>
        <v>Gains</v>
      </c>
      <c r="R9" s="143" t="str">
        <f>'ADJ DETAIL INPUT'!R9</f>
        <v>Normalization /</v>
      </c>
      <c r="S9" s="143" t="str">
        <f>'ADJ DETAIL INPUT'!S9</f>
        <v>Adder</v>
      </c>
      <c r="T9" s="143" t="str">
        <f>'ADJ DETAIL INPUT'!T9</f>
        <v>Non-Util / Non-</v>
      </c>
      <c r="U9" s="143" t="str">
        <f>'ADJ DETAIL INPUT'!U9</f>
        <v>Compass</v>
      </c>
      <c r="V9" s="143" t="str">
        <f>'ADJ DETAIL INPUT'!V9</f>
        <v>Incentives</v>
      </c>
      <c r="W9" s="143" t="str">
        <f>'ADJ DETAIL INPUT'!W9</f>
        <v>Debt</v>
      </c>
      <c r="X9" s="143" t="str">
        <f>'ADJ DETAIL INPUT'!Z9</f>
        <v xml:space="preserve">Atmospheric Testing </v>
      </c>
      <c r="Y9" s="143" t="str">
        <f>'ADJ DETAIL INPUT'!AA9</f>
        <v>Labor</v>
      </c>
      <c r="Z9" s="143" t="str">
        <f>'ADJ DETAIL INPUT'!AB9</f>
        <v>Labor</v>
      </c>
      <c r="AA9" s="143" t="str">
        <f>'ADJ DETAIL INPUT'!AC9</f>
        <v>Employee</v>
      </c>
      <c r="AB9" s="143" t="str">
        <f>'ADJ DETAIL INPUT'!AD9</f>
        <v>Incentive</v>
      </c>
      <c r="AC9" s="143" t="str">
        <f>'ADJ DETAIL INPUT'!AE9</f>
        <v>Property</v>
      </c>
      <c r="AD9" s="143" t="str">
        <f>'ADJ DETAIL INPUT'!AF9</f>
        <v>IS/IT</v>
      </c>
      <c r="AE9" s="143" t="str">
        <f>'ADJ DETAIL INPUT'!AG9</f>
        <v xml:space="preserve"> Revenue</v>
      </c>
      <c r="AF9" s="143" t="str">
        <f>'ADJ DETAIL INPUT'!AH9</f>
        <v>Regulatory</v>
      </c>
      <c r="AG9" s="143" t="str">
        <f>'ADJ DETAIL INPUT'!AI9</f>
        <v>2017 Threshhold</v>
      </c>
      <c r="AH9" s="143" t="str">
        <f>'ADJ DETAIL INPUT'!AJ9</f>
        <v>O&amp;M</v>
      </c>
      <c r="AI9" s="143" t="str">
        <f>'ADJ DETAIL INPUT'!AL9</f>
        <v>LEAP Deferral</v>
      </c>
      <c r="AJ9" s="143" t="str">
        <f>'ADJ DETAIL INPUT'!AO9</f>
        <v>2017 Capital</v>
      </c>
    </row>
    <row r="10" spans="1:36" s="132" customFormat="1" ht="11.4">
      <c r="A10" s="144" t="s">
        <v>16</v>
      </c>
      <c r="B10" s="145"/>
      <c r="C10" s="146"/>
      <c r="D10" s="147" t="s">
        <v>17</v>
      </c>
      <c r="E10" s="148" t="str">
        <f>'ADJ DETAIL INPUT'!E10</f>
        <v>Report</v>
      </c>
      <c r="F10" s="148" t="str">
        <f>'ADJ DETAIL INPUT'!F10</f>
        <v>Rate Base</v>
      </c>
      <c r="G10" s="148" t="str">
        <f>'ADJ DETAIL INPUT'!G10</f>
        <v>Credits</v>
      </c>
      <c r="H10" s="148"/>
      <c r="I10" s="148" t="str">
        <f>'ADJ DETAIL INPUT'!I10</f>
        <v>Taxes</v>
      </c>
      <c r="J10" s="148" t="str">
        <f>'ADJ DETAIL INPUT'!J10</f>
        <v>Tax</v>
      </c>
      <c r="K10" s="148"/>
      <c r="L10" s="148"/>
      <c r="M10" s="148" t="str">
        <f>'ADJ DETAIL INPUT'!M10</f>
        <v>Damages</v>
      </c>
      <c r="N10" s="148" t="str">
        <f>'ADJ DETAIL INPUT'!N10</f>
        <v>Expense</v>
      </c>
      <c r="O10" s="148" t="str">
        <f>'ADJ DETAIL INPUT'!O10</f>
        <v>Subs</v>
      </c>
      <c r="P10" s="148" t="str">
        <f>'ADJ DETAIL INPUT'!P10</f>
        <v>Taxes</v>
      </c>
      <c r="Q10" s="148"/>
      <c r="R10" s="148" t="str">
        <f>'ADJ DETAIL INPUT'!R10</f>
        <v>Gas Cost Adjust</v>
      </c>
      <c r="S10" s="148" t="str">
        <f>'ADJ DETAIL INPUT'!S10</f>
        <v>Schedules</v>
      </c>
      <c r="T10" s="148" t="str">
        <f>'ADJ DETAIL INPUT'!T10</f>
        <v>Recurring Expenses</v>
      </c>
      <c r="U10" s="148" t="str">
        <f>'ADJ DETAIL INPUT'!U10</f>
        <v>Deferral</v>
      </c>
      <c r="V10" s="148"/>
      <c r="W10" s="148" t="str">
        <f>'ADJ DETAIL INPUT'!W10</f>
        <v>Interest</v>
      </c>
      <c r="X10" s="148" t="str">
        <f>'ADJ DETAIL INPUT'!Z10</f>
        <v>&amp; Leak Survey</v>
      </c>
      <c r="Y10" s="148" t="str">
        <f>'ADJ DETAIL INPUT'!AA10</f>
        <v>Non-Exec</v>
      </c>
      <c r="Z10" s="148" t="str">
        <f>'ADJ DETAIL INPUT'!AB10</f>
        <v>Exec</v>
      </c>
      <c r="AA10" s="148" t="str">
        <f>'ADJ DETAIL INPUT'!AC10</f>
        <v>Benefits</v>
      </c>
      <c r="AB10" s="148" t="str">
        <f>'ADJ DETAIL INPUT'!AD10</f>
        <v>Adjustment</v>
      </c>
      <c r="AC10" s="148" t="str">
        <f>'ADJ DETAIL INPUT'!AE10</f>
        <v>Tax</v>
      </c>
      <c r="AD10" s="148" t="str">
        <f>'ADJ DETAIL INPUT'!AF10</f>
        <v>Expense</v>
      </c>
      <c r="AE10" s="148" t="str">
        <f>'ADJ DETAIL INPUT'!AG10</f>
        <v xml:space="preserve">Normalization </v>
      </c>
      <c r="AF10" s="148" t="str">
        <f>'ADJ DETAIL INPUT'!AH10</f>
        <v>Amortization</v>
      </c>
      <c r="AG10" s="148" t="str">
        <f>'ADJ DETAIL INPUT'!AI10</f>
        <v>Capital Adds</v>
      </c>
      <c r="AH10" s="148" t="str">
        <f>'ADJ DETAIL INPUT'!AJ10</f>
        <v>Offsets</v>
      </c>
      <c r="AI10" s="148" t="str">
        <f>'ADJ DETAIL INPUT'!AL10</f>
        <v>Gas Line Ext.</v>
      </c>
      <c r="AJ10" s="148" t="str">
        <f>'ADJ DETAIL INPUT'!AO10</f>
        <v>Net Plant Adj</v>
      </c>
    </row>
    <row r="11" spans="1:36" s="132" customFormat="1">
      <c r="A11" s="131"/>
      <c r="B11" s="161" t="s">
        <v>196</v>
      </c>
      <c r="E11" s="162">
        <f>'ADJ DETAIL INPUT'!E11</f>
        <v>1</v>
      </c>
      <c r="F11" s="162">
        <f>'ADJ DETAIL INPUT'!F11</f>
        <v>1.01</v>
      </c>
      <c r="G11" s="162">
        <f>'ADJ DETAIL INPUT'!G11</f>
        <v>1.02</v>
      </c>
      <c r="H11" s="162">
        <f>'ADJ DETAIL INPUT'!H11</f>
        <v>1.03</v>
      </c>
      <c r="I11" s="162">
        <f>'ADJ DETAIL INPUT'!I11</f>
        <v>2.0099999999999998</v>
      </c>
      <c r="J11" s="162">
        <f>'ADJ DETAIL INPUT'!J11</f>
        <v>2.0199999999999996</v>
      </c>
      <c r="K11" s="162">
        <f>'ADJ DETAIL INPUT'!K11</f>
        <v>2.0299999999999994</v>
      </c>
      <c r="L11" s="162">
        <f>'ADJ DETAIL INPUT'!L11</f>
        <v>2.0399999999999991</v>
      </c>
      <c r="M11" s="162">
        <f>'ADJ DETAIL INPUT'!M11</f>
        <v>2.0499999999999989</v>
      </c>
      <c r="N11" s="162">
        <f>'ADJ DETAIL INPUT'!N11</f>
        <v>2.0599999999999987</v>
      </c>
      <c r="O11" s="162">
        <f>'ADJ DETAIL INPUT'!O11</f>
        <v>2.0699999999999985</v>
      </c>
      <c r="P11" s="162">
        <f>'ADJ DETAIL INPUT'!P11</f>
        <v>2.0799999999999983</v>
      </c>
      <c r="Q11" s="162">
        <f>'ADJ DETAIL INPUT'!Q11</f>
        <v>2.0899999999999981</v>
      </c>
      <c r="R11" s="162">
        <f>'ADJ DETAIL INPUT'!R11</f>
        <v>2.0999999999999979</v>
      </c>
      <c r="S11" s="162">
        <f>'ADJ DETAIL INPUT'!S11</f>
        <v>2.1099999999999977</v>
      </c>
      <c r="T11" s="162">
        <f>'ADJ DETAIL INPUT'!T11</f>
        <v>2.1199999999999974</v>
      </c>
      <c r="U11" s="162">
        <f>'ADJ DETAIL INPUT'!U11</f>
        <v>2.1299999999999972</v>
      </c>
      <c r="V11" s="162">
        <f>'ADJ DETAIL INPUT'!V11</f>
        <v>2.139999999999997</v>
      </c>
      <c r="W11" s="162">
        <f>'ADJ DETAIL INPUT'!W11</f>
        <v>2.1499999999999968</v>
      </c>
      <c r="X11" s="162">
        <f>'ADJ DETAIL INPUT'!Z11</f>
        <v>3.01</v>
      </c>
      <c r="Y11" s="162">
        <f>'ADJ DETAIL INPUT'!AA11</f>
        <v>3.0199999999999996</v>
      </c>
      <c r="Z11" s="162">
        <f>'ADJ DETAIL INPUT'!AB11</f>
        <v>3.0299999999999994</v>
      </c>
      <c r="AA11" s="162">
        <f>'ADJ DETAIL INPUT'!AC11</f>
        <v>3.0399999999999991</v>
      </c>
      <c r="AB11" s="162">
        <f>'ADJ DETAIL INPUT'!AD11</f>
        <v>3.0499999999999989</v>
      </c>
      <c r="AC11" s="162">
        <f>'ADJ DETAIL INPUT'!AE11</f>
        <v>3.0599999999999987</v>
      </c>
      <c r="AD11" s="162">
        <f>'ADJ DETAIL INPUT'!AF11</f>
        <v>3.0699999999999985</v>
      </c>
      <c r="AE11" s="162">
        <f>'ADJ DETAIL INPUT'!AG11</f>
        <v>3.0799999999999983</v>
      </c>
      <c r="AF11" s="162">
        <f>'ADJ DETAIL INPUT'!AH11</f>
        <v>3.0899999999999981</v>
      </c>
      <c r="AG11" s="162">
        <f>'ADJ DETAIL INPUT'!AI11</f>
        <v>3.0999999999999979</v>
      </c>
      <c r="AH11" s="162">
        <f>'ADJ DETAIL INPUT'!AJ11</f>
        <v>3.1099999999999977</v>
      </c>
      <c r="AI11" s="162">
        <f>'ADJ DETAIL INPUT'!AL11</f>
        <v>3.1299999999999972</v>
      </c>
      <c r="AJ11" s="162">
        <f>'ADJ DETAIL INPUT'!AO11</f>
        <v>3.139999999999997</v>
      </c>
    </row>
    <row r="12" spans="1:36" s="132" customFormat="1">
      <c r="A12" s="131"/>
      <c r="B12" s="161" t="s">
        <v>197</v>
      </c>
      <c r="E12" s="133" t="str">
        <f>'ADJ DETAIL INPUT'!E12</f>
        <v>G-ROO</v>
      </c>
      <c r="F12" s="133" t="str">
        <f>'ADJ DETAIL INPUT'!F12</f>
        <v>G-DFIT</v>
      </c>
      <c r="G12" s="133" t="str">
        <f>'ADJ DETAIL INPUT'!G12</f>
        <v>G-DDC</v>
      </c>
      <c r="H12" s="133" t="str">
        <f>'ADJ DETAIL INPUT'!H12</f>
        <v>G-WC</v>
      </c>
      <c r="I12" s="133" t="str">
        <f>'ADJ DETAIL INPUT'!I12</f>
        <v>G-EBO</v>
      </c>
      <c r="J12" s="133" t="str">
        <f>'ADJ DETAIL INPUT'!J12</f>
        <v>G-RPT</v>
      </c>
      <c r="K12" s="133" t="str">
        <f>'ADJ DETAIL INPUT'!K12</f>
        <v>G-UE</v>
      </c>
      <c r="L12" s="133" t="str">
        <f>'ADJ DETAIL INPUT'!L12</f>
        <v>G-RE</v>
      </c>
      <c r="M12" s="133" t="str">
        <f>'ADJ DETAIL INPUT'!M12</f>
        <v>G-ID</v>
      </c>
      <c r="N12" s="133" t="str">
        <f>'ADJ DETAIL INPUT'!N12</f>
        <v>G-FIT</v>
      </c>
      <c r="O12" s="133" t="str">
        <f>'ADJ DETAIL INPUT'!O12</f>
        <v>G-OSC</v>
      </c>
      <c r="P12" s="133" t="str">
        <f>'ADJ DETAIL INPUT'!P12</f>
        <v>G-RET</v>
      </c>
      <c r="Q12" s="133" t="str">
        <f>'ADJ DETAIL INPUT'!Q12</f>
        <v>G-NGL</v>
      </c>
      <c r="R12" s="133" t="str">
        <f>'ADJ DETAIL INPUT'!R12</f>
        <v>G-WNGC</v>
      </c>
      <c r="S12" s="133" t="str">
        <f>'ADJ DETAIL INPUT'!S12</f>
        <v>G-EAS</v>
      </c>
      <c r="T12" s="133" t="str">
        <f>'ADJ DETAIL INPUT'!T12</f>
        <v>G-MR</v>
      </c>
      <c r="U12" s="133" t="str">
        <f>'ADJ DETAIL INPUT'!U12</f>
        <v>G-CD</v>
      </c>
      <c r="V12" s="133" t="str">
        <f>'ADJ DETAIL INPUT'!V12</f>
        <v>G-RI</v>
      </c>
      <c r="W12" s="133" t="str">
        <f>'ADJ DETAIL INPUT'!W12</f>
        <v>G-DI</v>
      </c>
      <c r="X12" s="133" t="str">
        <f>'ADJ DETAIL INPUT'!Z12</f>
        <v>G-PAT</v>
      </c>
      <c r="Y12" s="133" t="str">
        <f>'ADJ DETAIL INPUT'!AA12</f>
        <v>G-PLN</v>
      </c>
      <c r="Z12" s="133" t="str">
        <f>'ADJ DETAIL INPUT'!AB12</f>
        <v>G-PLE</v>
      </c>
      <c r="AA12" s="133" t="str">
        <f>'ADJ DETAIL INPUT'!AC12</f>
        <v>G-PEB</v>
      </c>
      <c r="AB12" s="133" t="str">
        <f>'ADJ DETAIL INPUT'!AD12</f>
        <v>G-PI</v>
      </c>
      <c r="AC12" s="133" t="str">
        <f>'ADJ DETAIL INPUT'!AE12</f>
        <v>G-PPT</v>
      </c>
      <c r="AD12" s="133" t="str">
        <f>'ADJ DETAIL INPUT'!AF12</f>
        <v>G-PIS</v>
      </c>
      <c r="AE12" s="133" t="str">
        <f>'ADJ DETAIL INPUT'!AG12</f>
        <v>G-PREV</v>
      </c>
      <c r="AF12" s="133" t="str">
        <f>'ADJ DETAIL INPUT'!AH12</f>
        <v>G-PRA</v>
      </c>
      <c r="AG12" s="133" t="str">
        <f>'ADJ DETAIL INPUT'!AI12</f>
        <v>G-PCAP16</v>
      </c>
      <c r="AH12" s="133" t="str">
        <f>'ADJ DETAIL INPUT'!AJ12</f>
        <v>G-POFF</v>
      </c>
      <c r="AI12" s="133" t="str">
        <f>'ADJ DETAIL INPUT'!AL12</f>
        <v>G-PLEAP</v>
      </c>
      <c r="AJ12" s="133" t="str">
        <f>'ADJ DETAIL INPUT'!AO12</f>
        <v>G-EOPCAP17</v>
      </c>
    </row>
    <row r="14" spans="1:36">
      <c r="B14" s="125" t="s">
        <v>33</v>
      </c>
    </row>
    <row r="15" spans="1:36" s="150" customFormat="1">
      <c r="A15" s="149">
        <v>1</v>
      </c>
      <c r="B15" s="150" t="s">
        <v>34</v>
      </c>
      <c r="E15" s="245">
        <f>'ADJ DETAIL INPUT'!E15</f>
        <v>146098</v>
      </c>
      <c r="F15" s="245">
        <f>'ADJ DETAIL INPUT'!F15</f>
        <v>0</v>
      </c>
      <c r="G15" s="245">
        <f>'ADJ DETAIL INPUT'!G15</f>
        <v>0</v>
      </c>
      <c r="H15" s="245">
        <f>'ADJ DETAIL INPUT'!H15</f>
        <v>0</v>
      </c>
      <c r="I15" s="245">
        <f>'ADJ DETAIL INPUT'!I15</f>
        <v>-5097</v>
      </c>
      <c r="J15" s="245">
        <f>'ADJ DETAIL INPUT'!J15</f>
        <v>0</v>
      </c>
      <c r="K15" s="245">
        <f>'ADJ DETAIL INPUT'!K15</f>
        <v>0</v>
      </c>
      <c r="L15" s="245">
        <f>'ADJ DETAIL INPUT'!L15</f>
        <v>0</v>
      </c>
      <c r="M15" s="245">
        <f>'ADJ DETAIL INPUT'!M15</f>
        <v>0</v>
      </c>
      <c r="N15" s="245">
        <f>'ADJ DETAIL INPUT'!N15</f>
        <v>0</v>
      </c>
      <c r="O15" s="245">
        <f>'ADJ DETAIL INPUT'!O15</f>
        <v>0</v>
      </c>
      <c r="P15" s="245">
        <f>'ADJ DETAIL INPUT'!P15</f>
        <v>0</v>
      </c>
      <c r="Q15" s="245">
        <f>'ADJ DETAIL INPUT'!Q15</f>
        <v>0</v>
      </c>
      <c r="R15" s="245">
        <f>'ADJ DETAIL INPUT'!R15</f>
        <v>11209</v>
      </c>
      <c r="S15" s="245">
        <f>'ADJ DETAIL INPUT'!S15</f>
        <v>-1240</v>
      </c>
      <c r="T15" s="245">
        <f>'ADJ DETAIL INPUT'!T15</f>
        <v>0</v>
      </c>
      <c r="U15" s="245">
        <f>'ADJ DETAIL INPUT'!U15</f>
        <v>0</v>
      </c>
      <c r="V15" s="245">
        <f>'ADJ DETAIL INPUT'!V15</f>
        <v>0</v>
      </c>
      <c r="W15" s="245">
        <f>'ADJ DETAIL INPUT'!W15</f>
        <v>0</v>
      </c>
      <c r="X15" s="245">
        <f>'ADJ DETAIL INPUT'!Z15</f>
        <v>0</v>
      </c>
      <c r="Y15" s="245">
        <f>'ADJ DETAIL INPUT'!AA15</f>
        <v>0</v>
      </c>
      <c r="Z15" s="245">
        <f>'ADJ DETAIL INPUT'!AB15</f>
        <v>0</v>
      </c>
      <c r="AA15" s="245">
        <f>'ADJ DETAIL INPUT'!AC15</f>
        <v>0</v>
      </c>
      <c r="AB15" s="245">
        <f>'ADJ DETAIL INPUT'!AD15</f>
        <v>0</v>
      </c>
      <c r="AC15" s="245">
        <f>'ADJ DETAIL INPUT'!AE15</f>
        <v>0</v>
      </c>
      <c r="AD15" s="245">
        <f>'ADJ DETAIL INPUT'!AF15</f>
        <v>0</v>
      </c>
      <c r="AE15" s="245">
        <f>'ADJ DETAIL INPUT'!AG15</f>
        <v>-66671</v>
      </c>
      <c r="AF15" s="245">
        <f>'ADJ DETAIL INPUT'!AH15</f>
        <v>0</v>
      </c>
      <c r="AG15" s="245">
        <f>'ADJ DETAIL INPUT'!AI15</f>
        <v>0</v>
      </c>
      <c r="AH15" s="245">
        <f>'ADJ DETAIL INPUT'!AJ15</f>
        <v>0</v>
      </c>
      <c r="AI15" s="245">
        <f>'ADJ DETAIL INPUT'!AL15</f>
        <v>0</v>
      </c>
      <c r="AJ15" s="245">
        <f>'ADJ DETAIL INPUT'!AO15</f>
        <v>0</v>
      </c>
    </row>
    <row r="16" spans="1:36">
      <c r="A16" s="149">
        <v>2</v>
      </c>
      <c r="B16" s="151" t="s">
        <v>35</v>
      </c>
      <c r="D16" s="151"/>
      <c r="E16" s="165">
        <f>'ADJ DETAIL INPUT'!E16</f>
        <v>4595</v>
      </c>
      <c r="F16" s="165">
        <f>'ADJ DETAIL INPUT'!F16</f>
        <v>0</v>
      </c>
      <c r="G16" s="165">
        <f>'ADJ DETAIL INPUT'!G16</f>
        <v>0</v>
      </c>
      <c r="H16" s="165">
        <f>'ADJ DETAIL INPUT'!H16</f>
        <v>0</v>
      </c>
      <c r="I16" s="165">
        <f>'ADJ DETAIL INPUT'!I16</f>
        <v>-118</v>
      </c>
      <c r="J16" s="165">
        <f>'ADJ DETAIL INPUT'!J16</f>
        <v>0</v>
      </c>
      <c r="K16" s="165">
        <f>'ADJ DETAIL INPUT'!K16</f>
        <v>0</v>
      </c>
      <c r="L16" s="165">
        <f>'ADJ DETAIL INPUT'!L16</f>
        <v>0</v>
      </c>
      <c r="M16" s="165">
        <f>'ADJ DETAIL INPUT'!M16</f>
        <v>0</v>
      </c>
      <c r="N16" s="165">
        <f>'ADJ DETAIL INPUT'!N16</f>
        <v>0</v>
      </c>
      <c r="O16" s="165">
        <f>'ADJ DETAIL INPUT'!O16</f>
        <v>0</v>
      </c>
      <c r="P16" s="165">
        <f>'ADJ DETAIL INPUT'!P16</f>
        <v>0</v>
      </c>
      <c r="Q16" s="165">
        <f>'ADJ DETAIL INPUT'!Q16</f>
        <v>0</v>
      </c>
      <c r="R16" s="165">
        <f>'ADJ DETAIL INPUT'!R16</f>
        <v>0</v>
      </c>
      <c r="S16" s="165">
        <f>'ADJ DETAIL INPUT'!S16</f>
        <v>0</v>
      </c>
      <c r="T16" s="165">
        <f>'ADJ DETAIL INPUT'!T16</f>
        <v>0</v>
      </c>
      <c r="U16" s="165">
        <f>'ADJ DETAIL INPUT'!U16</f>
        <v>0</v>
      </c>
      <c r="V16" s="165">
        <f>'ADJ DETAIL INPUT'!V16</f>
        <v>0</v>
      </c>
      <c r="W16" s="165">
        <f>'ADJ DETAIL INPUT'!W16</f>
        <v>0</v>
      </c>
      <c r="X16" s="165">
        <f>'ADJ DETAIL INPUT'!Z16</f>
        <v>0</v>
      </c>
      <c r="Y16" s="165">
        <f>'ADJ DETAIL INPUT'!AA16</f>
        <v>0</v>
      </c>
      <c r="Z16" s="165">
        <f>'ADJ DETAIL INPUT'!AB16</f>
        <v>0</v>
      </c>
      <c r="AA16" s="165">
        <f>'ADJ DETAIL INPUT'!AC16</f>
        <v>0</v>
      </c>
      <c r="AB16" s="165">
        <f>'ADJ DETAIL INPUT'!AD16</f>
        <v>0</v>
      </c>
      <c r="AC16" s="165">
        <f>'ADJ DETAIL INPUT'!AE16</f>
        <v>0</v>
      </c>
      <c r="AD16" s="165">
        <f>'ADJ DETAIL INPUT'!AF16</f>
        <v>0</v>
      </c>
      <c r="AE16" s="165">
        <f>'ADJ DETAIL INPUT'!AG16</f>
        <v>56</v>
      </c>
      <c r="AF16" s="165">
        <f>'ADJ DETAIL INPUT'!AH16</f>
        <v>0</v>
      </c>
      <c r="AG16" s="165">
        <f>'ADJ DETAIL INPUT'!AI16</f>
        <v>0</v>
      </c>
      <c r="AH16" s="165">
        <f>'ADJ DETAIL INPUT'!AJ16</f>
        <v>0</v>
      </c>
      <c r="AI16" s="165">
        <f>'ADJ DETAIL INPUT'!AL16</f>
        <v>0</v>
      </c>
      <c r="AJ16" s="165">
        <f>'ADJ DETAIL INPUT'!AO16</f>
        <v>0</v>
      </c>
    </row>
    <row r="17" spans="1:36">
      <c r="A17" s="149">
        <v>3</v>
      </c>
      <c r="B17" s="151" t="s">
        <v>36</v>
      </c>
      <c r="D17" s="151"/>
      <c r="E17" s="166">
        <f>'ADJ DETAIL INPUT'!E17</f>
        <v>69723</v>
      </c>
      <c r="F17" s="166">
        <f>'ADJ DETAIL INPUT'!F17</f>
        <v>0</v>
      </c>
      <c r="G17" s="166">
        <f>'ADJ DETAIL INPUT'!G17</f>
        <v>0</v>
      </c>
      <c r="H17" s="166">
        <f>'ADJ DETAIL INPUT'!H17</f>
        <v>0</v>
      </c>
      <c r="I17" s="166">
        <f>'ADJ DETAIL INPUT'!I17</f>
        <v>0</v>
      </c>
      <c r="J17" s="166">
        <f>'ADJ DETAIL INPUT'!J17</f>
        <v>0</v>
      </c>
      <c r="K17" s="166">
        <f>'ADJ DETAIL INPUT'!K17</f>
        <v>0</v>
      </c>
      <c r="L17" s="166">
        <f>'ADJ DETAIL INPUT'!L17</f>
        <v>0</v>
      </c>
      <c r="M17" s="166">
        <f>'ADJ DETAIL INPUT'!M17</f>
        <v>0</v>
      </c>
      <c r="N17" s="166">
        <f>'ADJ DETAIL INPUT'!N17</f>
        <v>0</v>
      </c>
      <c r="O17" s="166">
        <f>'ADJ DETAIL INPUT'!O17</f>
        <v>0</v>
      </c>
      <c r="P17" s="166">
        <f>'ADJ DETAIL INPUT'!P17</f>
        <v>0</v>
      </c>
      <c r="Q17" s="166">
        <f>'ADJ DETAIL INPUT'!Q17</f>
        <v>0</v>
      </c>
      <c r="R17" s="166">
        <f>'ADJ DETAIL INPUT'!R17</f>
        <v>-5427</v>
      </c>
      <c r="S17" s="166">
        <f>'ADJ DETAIL INPUT'!S17</f>
        <v>-63276</v>
      </c>
      <c r="T17" s="166">
        <f>'ADJ DETAIL INPUT'!T17</f>
        <v>0</v>
      </c>
      <c r="U17" s="166">
        <f>'ADJ DETAIL INPUT'!U17</f>
        <v>0</v>
      </c>
      <c r="V17" s="166">
        <f>'ADJ DETAIL INPUT'!V17</f>
        <v>0</v>
      </c>
      <c r="W17" s="166">
        <f>'ADJ DETAIL INPUT'!W17</f>
        <v>0</v>
      </c>
      <c r="X17" s="166">
        <f>'ADJ DETAIL INPUT'!Z17</f>
        <v>0</v>
      </c>
      <c r="Y17" s="166">
        <f>'ADJ DETAIL INPUT'!AA17</f>
        <v>0</v>
      </c>
      <c r="Z17" s="166">
        <f>'ADJ DETAIL INPUT'!AB17</f>
        <v>0</v>
      </c>
      <c r="AA17" s="166">
        <f>'ADJ DETAIL INPUT'!AC17</f>
        <v>0</v>
      </c>
      <c r="AB17" s="166">
        <f>'ADJ DETAIL INPUT'!AD17</f>
        <v>0</v>
      </c>
      <c r="AC17" s="166">
        <f>'ADJ DETAIL INPUT'!AE17</f>
        <v>0</v>
      </c>
      <c r="AD17" s="166">
        <f>'ADJ DETAIL INPUT'!AF17</f>
        <v>0</v>
      </c>
      <c r="AE17" s="166">
        <f>'ADJ DETAIL INPUT'!AG17</f>
        <v>-776</v>
      </c>
      <c r="AF17" s="166">
        <f>'ADJ DETAIL INPUT'!AH17</f>
        <v>0</v>
      </c>
      <c r="AG17" s="166">
        <f>'ADJ DETAIL INPUT'!AI17</f>
        <v>0</v>
      </c>
      <c r="AH17" s="166">
        <f>'ADJ DETAIL INPUT'!AJ17</f>
        <v>0</v>
      </c>
      <c r="AI17" s="166">
        <f>'ADJ DETAIL INPUT'!AL17</f>
        <v>0</v>
      </c>
      <c r="AJ17" s="166">
        <f>'ADJ DETAIL INPUT'!AO17</f>
        <v>0</v>
      </c>
    </row>
    <row r="18" spans="1:36">
      <c r="A18" s="149">
        <v>4</v>
      </c>
      <c r="B18" s="125" t="s">
        <v>37</v>
      </c>
      <c r="C18" s="151"/>
      <c r="D18" s="151"/>
      <c r="E18" s="165">
        <f>SUM(E15:E17)</f>
        <v>220416</v>
      </c>
      <c r="F18" s="165">
        <f t="shared" ref="F18:AC18" si="0">SUM(F15:F17)</f>
        <v>0</v>
      </c>
      <c r="G18" s="165">
        <f t="shared" si="0"/>
        <v>0</v>
      </c>
      <c r="H18" s="165">
        <f t="shared" si="0"/>
        <v>0</v>
      </c>
      <c r="I18" s="165">
        <f t="shared" si="0"/>
        <v>-5215</v>
      </c>
      <c r="J18" s="165">
        <f t="shared" si="0"/>
        <v>0</v>
      </c>
      <c r="K18" s="165">
        <f t="shared" si="0"/>
        <v>0</v>
      </c>
      <c r="L18" s="165">
        <f t="shared" si="0"/>
        <v>0</v>
      </c>
      <c r="M18" s="165">
        <f t="shared" si="0"/>
        <v>0</v>
      </c>
      <c r="N18" s="165">
        <f t="shared" si="0"/>
        <v>0</v>
      </c>
      <c r="O18" s="165">
        <f t="shared" si="0"/>
        <v>0</v>
      </c>
      <c r="P18" s="165">
        <f t="shared" si="0"/>
        <v>0</v>
      </c>
      <c r="Q18" s="165">
        <f t="shared" si="0"/>
        <v>0</v>
      </c>
      <c r="R18" s="165">
        <f t="shared" si="0"/>
        <v>5782</v>
      </c>
      <c r="S18" s="165">
        <f t="shared" ref="S18:T18" si="1">SUM(S15:S17)</f>
        <v>-64516</v>
      </c>
      <c r="T18" s="165">
        <f t="shared" si="1"/>
        <v>0</v>
      </c>
      <c r="U18" s="165">
        <f t="shared" ref="U18:V18" si="2">SUM(U15:U17)</f>
        <v>0</v>
      </c>
      <c r="V18" s="165">
        <f t="shared" si="2"/>
        <v>0</v>
      </c>
      <c r="W18" s="165">
        <f>SUM(W15:W17)</f>
        <v>0</v>
      </c>
      <c r="X18" s="165">
        <f>SUM(X15:X17)</f>
        <v>0</v>
      </c>
      <c r="Y18" s="165">
        <f t="shared" si="0"/>
        <v>0</v>
      </c>
      <c r="Z18" s="165">
        <f t="shared" ref="Z18" si="3">SUM(Z15:Z17)</f>
        <v>0</v>
      </c>
      <c r="AA18" s="165">
        <f t="shared" si="0"/>
        <v>0</v>
      </c>
      <c r="AB18" s="165">
        <f t="shared" ref="AB18" si="4">SUM(AB15:AB17)</f>
        <v>0</v>
      </c>
      <c r="AC18" s="165">
        <f t="shared" si="0"/>
        <v>0</v>
      </c>
      <c r="AD18" s="165">
        <f t="shared" ref="AD18" si="5">SUM(AD15:AD17)</f>
        <v>0</v>
      </c>
      <c r="AE18" s="165">
        <f t="shared" ref="AE18:AH18" si="6">SUM(AE15:AE17)</f>
        <v>-67391</v>
      </c>
      <c r="AF18" s="165">
        <f t="shared" si="6"/>
        <v>0</v>
      </c>
      <c r="AG18" s="165">
        <f t="shared" si="6"/>
        <v>0</v>
      </c>
      <c r="AH18" s="165">
        <f t="shared" si="6"/>
        <v>0</v>
      </c>
      <c r="AI18" s="165">
        <f t="shared" ref="AI18" si="7">SUM(AI15:AI17)</f>
        <v>0</v>
      </c>
      <c r="AJ18" s="165">
        <f t="shared" ref="AJ18" si="8">SUM(AJ15:AJ17)</f>
        <v>0</v>
      </c>
    </row>
    <row r="19" spans="1:36">
      <c r="C19" s="151"/>
      <c r="D19" s="151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</row>
    <row r="20" spans="1:36">
      <c r="B20" s="125" t="s">
        <v>38</v>
      </c>
      <c r="C20" s="151"/>
      <c r="D20" s="151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</row>
    <row r="21" spans="1:36">
      <c r="B21" s="151" t="s">
        <v>218</v>
      </c>
      <c r="D21" s="151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</row>
    <row r="22" spans="1:36">
      <c r="A22" s="149">
        <v>5</v>
      </c>
      <c r="C22" s="151" t="s">
        <v>39</v>
      </c>
      <c r="D22" s="151"/>
      <c r="E22" s="165">
        <f>'ADJ DETAIL INPUT'!E22</f>
        <v>112605</v>
      </c>
      <c r="F22" s="165">
        <f>'ADJ DETAIL INPUT'!F22</f>
        <v>0</v>
      </c>
      <c r="G22" s="165">
        <f>'ADJ DETAIL INPUT'!G22</f>
        <v>0</v>
      </c>
      <c r="H22" s="165">
        <f>'ADJ DETAIL INPUT'!H22</f>
        <v>0</v>
      </c>
      <c r="I22" s="165">
        <f>'ADJ DETAIL INPUT'!I22</f>
        <v>0</v>
      </c>
      <c r="J22" s="165">
        <f>'ADJ DETAIL INPUT'!J22</f>
        <v>0</v>
      </c>
      <c r="K22" s="165">
        <f>'ADJ DETAIL INPUT'!K22</f>
        <v>0</v>
      </c>
      <c r="L22" s="165">
        <f>'ADJ DETAIL INPUT'!L22</f>
        <v>0</v>
      </c>
      <c r="M22" s="165">
        <f>'ADJ DETAIL INPUT'!M22</f>
        <v>0</v>
      </c>
      <c r="N22" s="165">
        <f>'ADJ DETAIL INPUT'!N22</f>
        <v>0</v>
      </c>
      <c r="O22" s="165">
        <f>'ADJ DETAIL INPUT'!O22</f>
        <v>0</v>
      </c>
      <c r="P22" s="165">
        <f>'ADJ DETAIL INPUT'!P22</f>
        <v>0</v>
      </c>
      <c r="Q22" s="165">
        <f>'ADJ DETAIL INPUT'!Q22</f>
        <v>0</v>
      </c>
      <c r="R22" s="165">
        <f>'ADJ DETAIL INPUT'!R22</f>
        <v>5274</v>
      </c>
      <c r="S22" s="165">
        <f>'ADJ DETAIL INPUT'!S22</f>
        <v>-54419</v>
      </c>
      <c r="T22" s="165">
        <f>'ADJ DETAIL INPUT'!T22</f>
        <v>0</v>
      </c>
      <c r="U22" s="165">
        <f>'ADJ DETAIL INPUT'!U22</f>
        <v>0</v>
      </c>
      <c r="V22" s="165">
        <f>'ADJ DETAIL INPUT'!V22</f>
        <v>0</v>
      </c>
      <c r="W22" s="165">
        <f>'ADJ DETAIL INPUT'!W22</f>
        <v>0</v>
      </c>
      <c r="X22" s="165">
        <f>'ADJ DETAIL INPUT'!Z22</f>
        <v>0</v>
      </c>
      <c r="Y22" s="165">
        <f>'ADJ DETAIL INPUT'!AA22</f>
        <v>0</v>
      </c>
      <c r="Z22" s="165">
        <f>'ADJ DETAIL INPUT'!AB22</f>
        <v>0</v>
      </c>
      <c r="AA22" s="165">
        <f>'ADJ DETAIL INPUT'!AC22</f>
        <v>0</v>
      </c>
      <c r="AB22" s="165">
        <f>'ADJ DETAIL INPUT'!AD22</f>
        <v>0</v>
      </c>
      <c r="AC22" s="165">
        <f>'ADJ DETAIL INPUT'!AE22</f>
        <v>0</v>
      </c>
      <c r="AD22" s="165">
        <f>'ADJ DETAIL INPUT'!AF22</f>
        <v>0</v>
      </c>
      <c r="AE22" s="165">
        <f>'ADJ DETAIL INPUT'!AG22</f>
        <v>-63460</v>
      </c>
      <c r="AF22" s="165">
        <f>'ADJ DETAIL INPUT'!AH22</f>
        <v>0</v>
      </c>
      <c r="AG22" s="165">
        <f>'ADJ DETAIL INPUT'!AI22</f>
        <v>0</v>
      </c>
      <c r="AH22" s="165">
        <f>'ADJ DETAIL INPUT'!AJ22</f>
        <v>0</v>
      </c>
      <c r="AI22" s="165">
        <f>'ADJ DETAIL INPUT'!AL22</f>
        <v>0</v>
      </c>
      <c r="AJ22" s="165">
        <f>'ADJ DETAIL INPUT'!AO22</f>
        <v>0</v>
      </c>
    </row>
    <row r="23" spans="1:36">
      <c r="A23" s="149">
        <v>6</v>
      </c>
      <c r="C23" s="151" t="s">
        <v>40</v>
      </c>
      <c r="D23" s="151"/>
      <c r="E23" s="165">
        <f>'ADJ DETAIL INPUT'!E23</f>
        <v>988</v>
      </c>
      <c r="F23" s="165">
        <f>'ADJ DETAIL INPUT'!F23</f>
        <v>0</v>
      </c>
      <c r="G23" s="165">
        <f>'ADJ DETAIL INPUT'!G23</f>
        <v>0</v>
      </c>
      <c r="H23" s="165">
        <f>'ADJ DETAIL INPUT'!H23</f>
        <v>0</v>
      </c>
      <c r="I23" s="165">
        <f>'ADJ DETAIL INPUT'!I23</f>
        <v>0</v>
      </c>
      <c r="J23" s="165">
        <f>'ADJ DETAIL INPUT'!J23</f>
        <v>0</v>
      </c>
      <c r="K23" s="165">
        <f>'ADJ DETAIL INPUT'!K23</f>
        <v>0</v>
      </c>
      <c r="L23" s="165">
        <f>'ADJ DETAIL INPUT'!L23</f>
        <v>0</v>
      </c>
      <c r="M23" s="165">
        <f>'ADJ DETAIL INPUT'!M23</f>
        <v>0</v>
      </c>
      <c r="N23" s="165">
        <f>'ADJ DETAIL INPUT'!N23</f>
        <v>0</v>
      </c>
      <c r="O23" s="165">
        <f>'ADJ DETAIL INPUT'!O23</f>
        <v>0</v>
      </c>
      <c r="P23" s="165">
        <f>'ADJ DETAIL INPUT'!P23</f>
        <v>0</v>
      </c>
      <c r="Q23" s="165">
        <f>'ADJ DETAIL INPUT'!Q23</f>
        <v>0</v>
      </c>
      <c r="R23" s="165">
        <f>'ADJ DETAIL INPUT'!R23</f>
        <v>6</v>
      </c>
      <c r="S23" s="165">
        <f>'ADJ DETAIL INPUT'!S23</f>
        <v>0</v>
      </c>
      <c r="T23" s="165">
        <f>'ADJ DETAIL INPUT'!T23</f>
        <v>0</v>
      </c>
      <c r="U23" s="165">
        <f>'ADJ DETAIL INPUT'!U23</f>
        <v>0</v>
      </c>
      <c r="V23" s="165">
        <f>'ADJ DETAIL INPUT'!V23</f>
        <v>0</v>
      </c>
      <c r="W23" s="165">
        <f>'ADJ DETAIL INPUT'!W23</f>
        <v>0</v>
      </c>
      <c r="X23" s="165">
        <f>'ADJ DETAIL INPUT'!Z23</f>
        <v>0</v>
      </c>
      <c r="Y23" s="165">
        <f>'ADJ DETAIL INPUT'!AA23</f>
        <v>31</v>
      </c>
      <c r="Z23" s="165">
        <f>'ADJ DETAIL INPUT'!AB23</f>
        <v>0</v>
      </c>
      <c r="AA23" s="165">
        <f>'ADJ DETAIL INPUT'!AC23</f>
        <v>-6</v>
      </c>
      <c r="AB23" s="165">
        <f>'ADJ DETAIL INPUT'!AD23</f>
        <v>0</v>
      </c>
      <c r="AC23" s="165">
        <f>'ADJ DETAIL INPUT'!AE23</f>
        <v>0</v>
      </c>
      <c r="AD23" s="165">
        <f>'ADJ DETAIL INPUT'!AF23</f>
        <v>0</v>
      </c>
      <c r="AE23" s="165">
        <f>'ADJ DETAIL INPUT'!AG23</f>
        <v>0</v>
      </c>
      <c r="AF23" s="165">
        <f>'ADJ DETAIL INPUT'!AH23</f>
        <v>0</v>
      </c>
      <c r="AG23" s="165">
        <f>'ADJ DETAIL INPUT'!AI23</f>
        <v>0</v>
      </c>
      <c r="AH23" s="165">
        <f>'ADJ DETAIL INPUT'!AJ23</f>
        <v>0</v>
      </c>
      <c r="AI23" s="165">
        <f>'ADJ DETAIL INPUT'!AL23</f>
        <v>0</v>
      </c>
      <c r="AJ23" s="165">
        <f>'ADJ DETAIL INPUT'!AO23</f>
        <v>0</v>
      </c>
    </row>
    <row r="24" spans="1:36">
      <c r="A24" s="149">
        <v>7</v>
      </c>
      <c r="C24" s="151" t="s">
        <v>41</v>
      </c>
      <c r="D24" s="151"/>
      <c r="E24" s="166">
        <f>'ADJ DETAIL INPUT'!E24</f>
        <v>2932</v>
      </c>
      <c r="F24" s="166">
        <f>'ADJ DETAIL INPUT'!F24</f>
        <v>0</v>
      </c>
      <c r="G24" s="166">
        <f>'ADJ DETAIL INPUT'!G24</f>
        <v>0</v>
      </c>
      <c r="H24" s="166">
        <f>'ADJ DETAIL INPUT'!H24</f>
        <v>0</v>
      </c>
      <c r="I24" s="166">
        <f>'ADJ DETAIL INPUT'!I24</f>
        <v>0</v>
      </c>
      <c r="J24" s="166">
        <f>'ADJ DETAIL INPUT'!J24</f>
        <v>0</v>
      </c>
      <c r="K24" s="166">
        <f>'ADJ DETAIL INPUT'!K24</f>
        <v>0</v>
      </c>
      <c r="L24" s="166">
        <f>'ADJ DETAIL INPUT'!L24</f>
        <v>0</v>
      </c>
      <c r="M24" s="166">
        <f>'ADJ DETAIL INPUT'!M24</f>
        <v>0</v>
      </c>
      <c r="N24" s="166">
        <f>'ADJ DETAIL INPUT'!N24</f>
        <v>0</v>
      </c>
      <c r="O24" s="166">
        <f>'ADJ DETAIL INPUT'!O24</f>
        <v>0</v>
      </c>
      <c r="P24" s="166">
        <f>'ADJ DETAIL INPUT'!P24</f>
        <v>0</v>
      </c>
      <c r="Q24" s="166">
        <f>'ADJ DETAIL INPUT'!Q24</f>
        <v>0</v>
      </c>
      <c r="R24" s="166">
        <f>'ADJ DETAIL INPUT'!R24</f>
        <v>0</v>
      </c>
      <c r="S24" s="166">
        <f>'ADJ DETAIL INPUT'!S24</f>
        <v>-2932</v>
      </c>
      <c r="T24" s="166">
        <f>'ADJ DETAIL INPUT'!T24</f>
        <v>0</v>
      </c>
      <c r="U24" s="166">
        <f>'ADJ DETAIL INPUT'!U24</f>
        <v>0</v>
      </c>
      <c r="V24" s="166">
        <f>'ADJ DETAIL INPUT'!V24</f>
        <v>0</v>
      </c>
      <c r="W24" s="166">
        <f>'ADJ DETAIL INPUT'!W24</f>
        <v>0</v>
      </c>
      <c r="X24" s="166">
        <f>'ADJ DETAIL INPUT'!Z24</f>
        <v>0</v>
      </c>
      <c r="Y24" s="166">
        <f>'ADJ DETAIL INPUT'!AA24</f>
        <v>0</v>
      </c>
      <c r="Z24" s="166">
        <f>'ADJ DETAIL INPUT'!AB24</f>
        <v>0</v>
      </c>
      <c r="AA24" s="166">
        <f>'ADJ DETAIL INPUT'!AC24</f>
        <v>0</v>
      </c>
      <c r="AB24" s="166">
        <f>'ADJ DETAIL INPUT'!AD24</f>
        <v>0</v>
      </c>
      <c r="AC24" s="166">
        <f>'ADJ DETAIL INPUT'!AE24</f>
        <v>0</v>
      </c>
      <c r="AD24" s="166">
        <f>'ADJ DETAIL INPUT'!AF24</f>
        <v>0</v>
      </c>
      <c r="AE24" s="166">
        <f>'ADJ DETAIL INPUT'!AG24</f>
        <v>0</v>
      </c>
      <c r="AF24" s="166">
        <f>'ADJ DETAIL INPUT'!AH24</f>
        <v>0</v>
      </c>
      <c r="AG24" s="166">
        <f>'ADJ DETAIL INPUT'!AI24</f>
        <v>0</v>
      </c>
      <c r="AH24" s="166">
        <f>'ADJ DETAIL INPUT'!AJ24</f>
        <v>0</v>
      </c>
      <c r="AI24" s="166">
        <f>'ADJ DETAIL INPUT'!AL24</f>
        <v>0</v>
      </c>
      <c r="AJ24" s="166">
        <f>'ADJ DETAIL INPUT'!AO24</f>
        <v>0</v>
      </c>
    </row>
    <row r="25" spans="1:36">
      <c r="A25" s="149">
        <v>8</v>
      </c>
      <c r="B25" s="151" t="s">
        <v>42</v>
      </c>
      <c r="C25" s="151"/>
      <c r="E25" s="167">
        <f>SUM(E22:E24)</f>
        <v>116525</v>
      </c>
      <c r="F25" s="167">
        <f t="shared" ref="F25:AC25" si="9">SUM(F22:F24)</f>
        <v>0</v>
      </c>
      <c r="G25" s="167">
        <f t="shared" si="9"/>
        <v>0</v>
      </c>
      <c r="H25" s="167">
        <f t="shared" si="9"/>
        <v>0</v>
      </c>
      <c r="I25" s="167">
        <f t="shared" si="9"/>
        <v>0</v>
      </c>
      <c r="J25" s="167">
        <f t="shared" si="9"/>
        <v>0</v>
      </c>
      <c r="K25" s="167">
        <f t="shared" si="9"/>
        <v>0</v>
      </c>
      <c r="L25" s="167">
        <f t="shared" si="9"/>
        <v>0</v>
      </c>
      <c r="M25" s="167">
        <f t="shared" si="9"/>
        <v>0</v>
      </c>
      <c r="N25" s="167">
        <f t="shared" si="9"/>
        <v>0</v>
      </c>
      <c r="O25" s="167">
        <f t="shared" si="9"/>
        <v>0</v>
      </c>
      <c r="P25" s="167">
        <f t="shared" si="9"/>
        <v>0</v>
      </c>
      <c r="Q25" s="167">
        <f t="shared" si="9"/>
        <v>0</v>
      </c>
      <c r="R25" s="167">
        <f t="shared" si="9"/>
        <v>5280</v>
      </c>
      <c r="S25" s="167">
        <f t="shared" ref="S25:T25" si="10">SUM(S22:S24)</f>
        <v>-57351</v>
      </c>
      <c r="T25" s="167">
        <f t="shared" si="10"/>
        <v>0</v>
      </c>
      <c r="U25" s="167">
        <f t="shared" ref="U25:V25" si="11">SUM(U22:U24)</f>
        <v>0</v>
      </c>
      <c r="V25" s="167">
        <f t="shared" si="11"/>
        <v>0</v>
      </c>
      <c r="W25" s="167">
        <f>SUM(W22:W24)</f>
        <v>0</v>
      </c>
      <c r="X25" s="167">
        <f>SUM(X22:X24)</f>
        <v>0</v>
      </c>
      <c r="Y25" s="167">
        <f t="shared" si="9"/>
        <v>31</v>
      </c>
      <c r="Z25" s="167">
        <f t="shared" ref="Z25" si="12">SUM(Z22:Z24)</f>
        <v>0</v>
      </c>
      <c r="AA25" s="167">
        <f t="shared" si="9"/>
        <v>-6</v>
      </c>
      <c r="AB25" s="167">
        <f t="shared" ref="AB25" si="13">SUM(AB22:AB24)</f>
        <v>0</v>
      </c>
      <c r="AC25" s="167">
        <f t="shared" si="9"/>
        <v>0</v>
      </c>
      <c r="AD25" s="167">
        <f t="shared" ref="AD25" si="14">SUM(AD22:AD24)</f>
        <v>0</v>
      </c>
      <c r="AE25" s="167">
        <f t="shared" ref="AE25:AH25" si="15">SUM(AE22:AE24)</f>
        <v>-63460</v>
      </c>
      <c r="AF25" s="167">
        <f t="shared" si="15"/>
        <v>0</v>
      </c>
      <c r="AG25" s="167">
        <f t="shared" si="15"/>
        <v>0</v>
      </c>
      <c r="AH25" s="167">
        <f t="shared" si="15"/>
        <v>0</v>
      </c>
      <c r="AI25" s="167">
        <f t="shared" ref="AI25" si="16">SUM(AI22:AI24)</f>
        <v>0</v>
      </c>
      <c r="AJ25" s="167">
        <f t="shared" ref="AJ25" si="17">SUM(AJ22:AJ24)</f>
        <v>0</v>
      </c>
    </row>
    <row r="26" spans="1:36">
      <c r="B26" s="151"/>
      <c r="C26" s="151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</row>
    <row r="27" spans="1:36">
      <c r="B27" s="151" t="s">
        <v>43</v>
      </c>
      <c r="D27" s="151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</row>
    <row r="28" spans="1:36">
      <c r="A28" s="149">
        <v>9</v>
      </c>
      <c r="C28" s="151" t="s">
        <v>44</v>
      </c>
      <c r="D28" s="151"/>
      <c r="E28" s="165">
        <f>'ADJ DETAIL INPUT'!E28</f>
        <v>974</v>
      </c>
      <c r="F28" s="165">
        <f>'ADJ DETAIL INPUT'!F28</f>
        <v>0</v>
      </c>
      <c r="G28" s="165">
        <f>'ADJ DETAIL INPUT'!G28</f>
        <v>0</v>
      </c>
      <c r="H28" s="165">
        <f>'ADJ DETAIL INPUT'!H28</f>
        <v>0</v>
      </c>
      <c r="I28" s="165">
        <f>'ADJ DETAIL INPUT'!I28</f>
        <v>0</v>
      </c>
      <c r="J28" s="165">
        <f>'ADJ DETAIL INPUT'!J28</f>
        <v>0</v>
      </c>
      <c r="K28" s="165">
        <f>'ADJ DETAIL INPUT'!K28</f>
        <v>0</v>
      </c>
      <c r="L28" s="165">
        <f>'ADJ DETAIL INPUT'!L28</f>
        <v>0</v>
      </c>
      <c r="M28" s="165">
        <f>'ADJ DETAIL INPUT'!M28</f>
        <v>0</v>
      </c>
      <c r="N28" s="165">
        <f>'ADJ DETAIL INPUT'!N28</f>
        <v>0</v>
      </c>
      <c r="O28" s="165">
        <f>'ADJ DETAIL INPUT'!O28</f>
        <v>0</v>
      </c>
      <c r="P28" s="165">
        <f>'ADJ DETAIL INPUT'!P28</f>
        <v>0</v>
      </c>
      <c r="Q28" s="165">
        <f>'ADJ DETAIL INPUT'!Q28</f>
        <v>0</v>
      </c>
      <c r="R28" s="165">
        <f>'ADJ DETAIL INPUT'!R28</f>
        <v>0</v>
      </c>
      <c r="S28" s="165">
        <f>'ADJ DETAIL INPUT'!S28</f>
        <v>0</v>
      </c>
      <c r="T28" s="165">
        <f>'ADJ DETAIL INPUT'!T28</f>
        <v>0</v>
      </c>
      <c r="U28" s="165">
        <f>'ADJ DETAIL INPUT'!U28</f>
        <v>0</v>
      </c>
      <c r="V28" s="165">
        <f>'ADJ DETAIL INPUT'!V28</f>
        <v>0</v>
      </c>
      <c r="W28" s="165">
        <f>'ADJ DETAIL INPUT'!W28</f>
        <v>0</v>
      </c>
      <c r="X28" s="165">
        <f>'ADJ DETAIL INPUT'!Z28</f>
        <v>0</v>
      </c>
      <c r="Y28" s="165">
        <f>'ADJ DETAIL INPUT'!AA28</f>
        <v>0</v>
      </c>
      <c r="Z28" s="165">
        <f>'ADJ DETAIL INPUT'!AB28</f>
        <v>0</v>
      </c>
      <c r="AA28" s="165">
        <f>'ADJ DETAIL INPUT'!AC28</f>
        <v>0</v>
      </c>
      <c r="AB28" s="165">
        <f>'ADJ DETAIL INPUT'!AD28</f>
        <v>0</v>
      </c>
      <c r="AC28" s="165">
        <f>'ADJ DETAIL INPUT'!AE28</f>
        <v>0</v>
      </c>
      <c r="AD28" s="165">
        <f>'ADJ DETAIL INPUT'!AF28</f>
        <v>0</v>
      </c>
      <c r="AE28" s="165">
        <f>'ADJ DETAIL INPUT'!AG28</f>
        <v>0</v>
      </c>
      <c r="AF28" s="165">
        <f>'ADJ DETAIL INPUT'!AH28</f>
        <v>0</v>
      </c>
      <c r="AG28" s="165">
        <f>'ADJ DETAIL INPUT'!AI28</f>
        <v>0</v>
      </c>
      <c r="AH28" s="165">
        <f>'ADJ DETAIL INPUT'!AJ28</f>
        <v>0</v>
      </c>
      <c r="AI28" s="165">
        <f>'ADJ DETAIL INPUT'!AL28</f>
        <v>0</v>
      </c>
      <c r="AJ28" s="165">
        <f>'ADJ DETAIL INPUT'!AO28</f>
        <v>0</v>
      </c>
    </row>
    <row r="29" spans="1:36">
      <c r="A29" s="149">
        <v>10</v>
      </c>
      <c r="C29" s="151" t="s">
        <v>214</v>
      </c>
      <c r="D29" s="151"/>
      <c r="E29" s="165">
        <f>'ADJ DETAIL INPUT'!E29</f>
        <v>492</v>
      </c>
      <c r="F29" s="165">
        <f>'ADJ DETAIL INPUT'!F29</f>
        <v>0</v>
      </c>
      <c r="G29" s="165">
        <f>'ADJ DETAIL INPUT'!G29</f>
        <v>0</v>
      </c>
      <c r="H29" s="165">
        <f>'ADJ DETAIL INPUT'!H29</f>
        <v>0</v>
      </c>
      <c r="I29" s="165">
        <f>'ADJ DETAIL INPUT'!I29</f>
        <v>0</v>
      </c>
      <c r="J29" s="165">
        <f>'ADJ DETAIL INPUT'!J29</f>
        <v>0</v>
      </c>
      <c r="K29" s="165">
        <f>'ADJ DETAIL INPUT'!K29</f>
        <v>0</v>
      </c>
      <c r="L29" s="165">
        <f>'ADJ DETAIL INPUT'!L29</f>
        <v>0</v>
      </c>
      <c r="M29" s="165">
        <f>'ADJ DETAIL INPUT'!M29</f>
        <v>0</v>
      </c>
      <c r="N29" s="165">
        <f>'ADJ DETAIL INPUT'!N29</f>
        <v>0</v>
      </c>
      <c r="O29" s="165">
        <f>'ADJ DETAIL INPUT'!O29</f>
        <v>0</v>
      </c>
      <c r="P29" s="165">
        <f>'ADJ DETAIL INPUT'!P29</f>
        <v>0</v>
      </c>
      <c r="Q29" s="165">
        <f>'ADJ DETAIL INPUT'!Q29</f>
        <v>0</v>
      </c>
      <c r="R29" s="165">
        <f>'ADJ DETAIL INPUT'!R29</f>
        <v>0</v>
      </c>
      <c r="S29" s="165">
        <f>'ADJ DETAIL INPUT'!S29</f>
        <v>0</v>
      </c>
      <c r="T29" s="165">
        <f>'ADJ DETAIL INPUT'!T29</f>
        <v>0</v>
      </c>
      <c r="U29" s="165">
        <f>'ADJ DETAIL INPUT'!U29</f>
        <v>0</v>
      </c>
      <c r="V29" s="165">
        <f>'ADJ DETAIL INPUT'!V29</f>
        <v>0</v>
      </c>
      <c r="W29" s="165">
        <f>'ADJ DETAIL INPUT'!W29</f>
        <v>0</v>
      </c>
      <c r="X29" s="165">
        <f>'ADJ DETAIL INPUT'!Z29</f>
        <v>0</v>
      </c>
      <c r="Y29" s="165">
        <f>'ADJ DETAIL INPUT'!AA29</f>
        <v>0</v>
      </c>
      <c r="Z29" s="165">
        <f>'ADJ DETAIL INPUT'!AB29</f>
        <v>0</v>
      </c>
      <c r="AA29" s="165">
        <f>'ADJ DETAIL INPUT'!AC29</f>
        <v>0</v>
      </c>
      <c r="AB29" s="165">
        <f>'ADJ DETAIL INPUT'!AD29</f>
        <v>0</v>
      </c>
      <c r="AC29" s="165">
        <f>'ADJ DETAIL INPUT'!AE29</f>
        <v>0</v>
      </c>
      <c r="AD29" s="165">
        <f>'ADJ DETAIL INPUT'!AF29</f>
        <v>0</v>
      </c>
      <c r="AE29" s="165">
        <f>'ADJ DETAIL INPUT'!AG29</f>
        <v>0</v>
      </c>
      <c r="AF29" s="165">
        <f>'ADJ DETAIL INPUT'!AH29</f>
        <v>0</v>
      </c>
      <c r="AG29" s="165">
        <f>'ADJ DETAIL INPUT'!AI29</f>
        <v>0</v>
      </c>
      <c r="AH29" s="165">
        <f>'ADJ DETAIL INPUT'!AJ29</f>
        <v>0</v>
      </c>
      <c r="AI29" s="165">
        <f>'ADJ DETAIL INPUT'!AL29</f>
        <v>0</v>
      </c>
      <c r="AJ29" s="165">
        <f>'ADJ DETAIL INPUT'!AO29</f>
        <v>0</v>
      </c>
    </row>
    <row r="30" spans="1:36">
      <c r="A30" s="149">
        <v>11</v>
      </c>
      <c r="C30" s="151" t="s">
        <v>21</v>
      </c>
      <c r="D30" s="151"/>
      <c r="E30" s="166">
        <f>'ADJ DETAIL INPUT'!E30</f>
        <v>210</v>
      </c>
      <c r="F30" s="166">
        <f>'ADJ DETAIL INPUT'!F30</f>
        <v>0</v>
      </c>
      <c r="G30" s="166">
        <f>'ADJ DETAIL INPUT'!G30</f>
        <v>0</v>
      </c>
      <c r="H30" s="166">
        <f>'ADJ DETAIL INPUT'!H30</f>
        <v>0</v>
      </c>
      <c r="I30" s="166">
        <f>'ADJ DETAIL INPUT'!I30</f>
        <v>0</v>
      </c>
      <c r="J30" s="166">
        <f>'ADJ DETAIL INPUT'!J30</f>
        <v>0</v>
      </c>
      <c r="K30" s="166">
        <f>'ADJ DETAIL INPUT'!K30</f>
        <v>0</v>
      </c>
      <c r="L30" s="166">
        <f>'ADJ DETAIL INPUT'!L30</f>
        <v>0</v>
      </c>
      <c r="M30" s="166">
        <f>'ADJ DETAIL INPUT'!M30</f>
        <v>0</v>
      </c>
      <c r="N30" s="166">
        <f>'ADJ DETAIL INPUT'!N30</f>
        <v>0</v>
      </c>
      <c r="O30" s="166">
        <f>'ADJ DETAIL INPUT'!O30</f>
        <v>0</v>
      </c>
      <c r="P30" s="166">
        <f>'ADJ DETAIL INPUT'!P30</f>
        <v>0</v>
      </c>
      <c r="Q30" s="166">
        <f>'ADJ DETAIL INPUT'!Q30</f>
        <v>0</v>
      </c>
      <c r="R30" s="166">
        <f>'ADJ DETAIL INPUT'!R30</f>
        <v>0</v>
      </c>
      <c r="S30" s="166">
        <f>'ADJ DETAIL INPUT'!S30</f>
        <v>0</v>
      </c>
      <c r="T30" s="166">
        <f>'ADJ DETAIL INPUT'!T30</f>
        <v>0</v>
      </c>
      <c r="U30" s="166">
        <f>'ADJ DETAIL INPUT'!U30</f>
        <v>0</v>
      </c>
      <c r="V30" s="166">
        <f>'ADJ DETAIL INPUT'!V30</f>
        <v>0</v>
      </c>
      <c r="W30" s="166">
        <f>'ADJ DETAIL INPUT'!W30</f>
        <v>0</v>
      </c>
      <c r="X30" s="166">
        <f>'ADJ DETAIL INPUT'!Z30</f>
        <v>0</v>
      </c>
      <c r="Y30" s="166">
        <f>'ADJ DETAIL INPUT'!AA30</f>
        <v>0</v>
      </c>
      <c r="Z30" s="166">
        <f>'ADJ DETAIL INPUT'!AB30</f>
        <v>0</v>
      </c>
      <c r="AA30" s="166">
        <f>'ADJ DETAIL INPUT'!AC30</f>
        <v>0</v>
      </c>
      <c r="AB30" s="166">
        <f>'ADJ DETAIL INPUT'!AD30</f>
        <v>0</v>
      </c>
      <c r="AC30" s="166">
        <f>'ADJ DETAIL INPUT'!AE30</f>
        <v>39</v>
      </c>
      <c r="AD30" s="166">
        <f>'ADJ DETAIL INPUT'!AF30</f>
        <v>0</v>
      </c>
      <c r="AE30" s="166">
        <f>'ADJ DETAIL INPUT'!AG30</f>
        <v>0</v>
      </c>
      <c r="AF30" s="166">
        <f>'ADJ DETAIL INPUT'!AH30</f>
        <v>0</v>
      </c>
      <c r="AG30" s="166">
        <f>'ADJ DETAIL INPUT'!AI30</f>
        <v>0</v>
      </c>
      <c r="AH30" s="166">
        <f>'ADJ DETAIL INPUT'!AJ30</f>
        <v>0</v>
      </c>
      <c r="AI30" s="166">
        <f>'ADJ DETAIL INPUT'!AL30</f>
        <v>0</v>
      </c>
      <c r="AJ30" s="166">
        <f>'ADJ DETAIL INPUT'!AO30</f>
        <v>0</v>
      </c>
    </row>
    <row r="31" spans="1:36">
      <c r="A31" s="149">
        <v>12</v>
      </c>
      <c r="B31" s="151" t="s">
        <v>46</v>
      </c>
      <c r="C31" s="151"/>
      <c r="E31" s="165">
        <f t="shared" ref="E31" si="18">SUM(E28:E30)</f>
        <v>1676</v>
      </c>
      <c r="F31" s="165">
        <f t="shared" ref="F31:AC31" si="19">SUM(F28:F30)</f>
        <v>0</v>
      </c>
      <c r="G31" s="165">
        <f t="shared" si="19"/>
        <v>0</v>
      </c>
      <c r="H31" s="165">
        <f t="shared" si="19"/>
        <v>0</v>
      </c>
      <c r="I31" s="165">
        <f t="shared" si="19"/>
        <v>0</v>
      </c>
      <c r="J31" s="165">
        <f t="shared" si="19"/>
        <v>0</v>
      </c>
      <c r="K31" s="165">
        <f t="shared" si="19"/>
        <v>0</v>
      </c>
      <c r="L31" s="165">
        <f t="shared" si="19"/>
        <v>0</v>
      </c>
      <c r="M31" s="165">
        <f t="shared" si="19"/>
        <v>0</v>
      </c>
      <c r="N31" s="165">
        <f t="shared" si="19"/>
        <v>0</v>
      </c>
      <c r="O31" s="165">
        <f t="shared" si="19"/>
        <v>0</v>
      </c>
      <c r="P31" s="165">
        <f t="shared" si="19"/>
        <v>0</v>
      </c>
      <c r="Q31" s="165">
        <f t="shared" si="19"/>
        <v>0</v>
      </c>
      <c r="R31" s="165">
        <f t="shared" si="19"/>
        <v>0</v>
      </c>
      <c r="S31" s="165">
        <f t="shared" ref="S31:T31" si="20">SUM(S28:S30)</f>
        <v>0</v>
      </c>
      <c r="T31" s="165">
        <f t="shared" si="20"/>
        <v>0</v>
      </c>
      <c r="U31" s="165">
        <f t="shared" ref="U31:V31" si="21">SUM(U28:U30)</f>
        <v>0</v>
      </c>
      <c r="V31" s="165">
        <f t="shared" si="21"/>
        <v>0</v>
      </c>
      <c r="W31" s="165">
        <f>SUM(W28:W30)</f>
        <v>0</v>
      </c>
      <c r="X31" s="165">
        <f>SUM(X28:X30)</f>
        <v>0</v>
      </c>
      <c r="Y31" s="165">
        <f t="shared" si="19"/>
        <v>0</v>
      </c>
      <c r="Z31" s="165">
        <f t="shared" ref="Z31" si="22">SUM(Z28:Z30)</f>
        <v>0</v>
      </c>
      <c r="AA31" s="165">
        <f t="shared" si="19"/>
        <v>0</v>
      </c>
      <c r="AB31" s="165">
        <f t="shared" ref="AB31" si="23">SUM(AB28:AB30)</f>
        <v>0</v>
      </c>
      <c r="AC31" s="165">
        <f t="shared" si="19"/>
        <v>39</v>
      </c>
      <c r="AD31" s="165">
        <f t="shared" ref="AD31" si="24">SUM(AD28:AD30)</f>
        <v>0</v>
      </c>
      <c r="AE31" s="165">
        <f t="shared" ref="AE31:AH31" si="25">SUM(AE28:AE30)</f>
        <v>0</v>
      </c>
      <c r="AF31" s="165">
        <f t="shared" si="25"/>
        <v>0</v>
      </c>
      <c r="AG31" s="165">
        <f t="shared" si="25"/>
        <v>0</v>
      </c>
      <c r="AH31" s="165">
        <f t="shared" si="25"/>
        <v>0</v>
      </c>
      <c r="AI31" s="165">
        <f t="shared" ref="AI31" si="26">SUM(AI28:AI30)</f>
        <v>0</v>
      </c>
      <c r="AJ31" s="165">
        <f t="shared" ref="AJ31" si="27">SUM(AJ28:AJ30)</f>
        <v>0</v>
      </c>
    </row>
    <row r="32" spans="1:36">
      <c r="B32" s="151"/>
      <c r="C32" s="151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</row>
    <row r="33" spans="1:36">
      <c r="B33" s="151" t="s">
        <v>47</v>
      </c>
      <c r="D33" s="151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</row>
    <row r="34" spans="1:36">
      <c r="A34" s="149">
        <v>13</v>
      </c>
      <c r="C34" s="151" t="s">
        <v>44</v>
      </c>
      <c r="D34" s="151"/>
      <c r="E34" s="165">
        <f>'ADJ DETAIL INPUT'!E34</f>
        <v>12049</v>
      </c>
      <c r="F34" s="165">
        <f>'ADJ DETAIL INPUT'!F34</f>
        <v>0</v>
      </c>
      <c r="G34" s="165">
        <f>'ADJ DETAIL INPUT'!G34</f>
        <v>0</v>
      </c>
      <c r="H34" s="165">
        <f>'ADJ DETAIL INPUT'!H34</f>
        <v>0</v>
      </c>
      <c r="I34" s="165">
        <f>'ADJ DETAIL INPUT'!I34</f>
        <v>0</v>
      </c>
      <c r="J34" s="165">
        <f>'ADJ DETAIL INPUT'!J34</f>
        <v>0</v>
      </c>
      <c r="K34" s="165">
        <f>'ADJ DETAIL INPUT'!K34</f>
        <v>0</v>
      </c>
      <c r="L34" s="165">
        <f>'ADJ DETAIL INPUT'!L34</f>
        <v>0</v>
      </c>
      <c r="M34" s="165">
        <f>'ADJ DETAIL INPUT'!M34</f>
        <v>0</v>
      </c>
      <c r="N34" s="165">
        <f>'ADJ DETAIL INPUT'!N34</f>
        <v>0</v>
      </c>
      <c r="O34" s="165">
        <f>'ADJ DETAIL INPUT'!O34</f>
        <v>0</v>
      </c>
      <c r="P34" s="165">
        <f>'ADJ DETAIL INPUT'!P34</f>
        <v>0</v>
      </c>
      <c r="Q34" s="165">
        <f>'ADJ DETAIL INPUT'!Q34</f>
        <v>0</v>
      </c>
      <c r="R34" s="165">
        <f>'ADJ DETAIL INPUT'!R34</f>
        <v>0</v>
      </c>
      <c r="S34" s="165">
        <f>'ADJ DETAIL INPUT'!S34</f>
        <v>0</v>
      </c>
      <c r="T34" s="165">
        <f>'ADJ DETAIL INPUT'!T34</f>
        <v>1</v>
      </c>
      <c r="U34" s="165">
        <f>'ADJ DETAIL INPUT'!U34</f>
        <v>0</v>
      </c>
      <c r="V34" s="165">
        <f>'ADJ DETAIL INPUT'!V34</f>
        <v>0</v>
      </c>
      <c r="W34" s="165">
        <f>'ADJ DETAIL INPUT'!W34</f>
        <v>0</v>
      </c>
      <c r="X34" s="165">
        <f>'ADJ DETAIL INPUT'!Z34</f>
        <v>348</v>
      </c>
      <c r="Y34" s="165">
        <f>'ADJ DETAIL INPUT'!AA34</f>
        <v>371</v>
      </c>
      <c r="Z34" s="165">
        <f>'ADJ DETAIL INPUT'!AB34</f>
        <v>0</v>
      </c>
      <c r="AA34" s="165">
        <f>'ADJ DETAIL INPUT'!AC34</f>
        <v>-76</v>
      </c>
      <c r="AB34" s="165">
        <f>'ADJ DETAIL INPUT'!AD34</f>
        <v>0</v>
      </c>
      <c r="AC34" s="165">
        <f>'ADJ DETAIL INPUT'!AE34</f>
        <v>0</v>
      </c>
      <c r="AD34" s="165">
        <f>'ADJ DETAIL INPUT'!AF34</f>
        <v>0</v>
      </c>
      <c r="AE34" s="165">
        <f>'ADJ DETAIL INPUT'!AG34</f>
        <v>0</v>
      </c>
      <c r="AF34" s="165">
        <f>'ADJ DETAIL INPUT'!AH34</f>
        <v>0</v>
      </c>
      <c r="AG34" s="165">
        <f>'ADJ DETAIL INPUT'!AI34</f>
        <v>0</v>
      </c>
      <c r="AH34" s="165">
        <f>'ADJ DETAIL INPUT'!AJ34</f>
        <v>0</v>
      </c>
      <c r="AI34" s="165">
        <f>'ADJ DETAIL INPUT'!AL34</f>
        <v>0</v>
      </c>
      <c r="AJ34" s="165">
        <f>'ADJ DETAIL INPUT'!AO34</f>
        <v>0</v>
      </c>
    </row>
    <row r="35" spans="1:36">
      <c r="A35" s="149">
        <v>14</v>
      </c>
      <c r="C35" s="151" t="s">
        <v>214</v>
      </c>
      <c r="D35" s="151"/>
      <c r="E35" s="167">
        <f>'ADJ DETAIL INPUT'!E35</f>
        <v>9866</v>
      </c>
      <c r="F35" s="167">
        <f>'ADJ DETAIL INPUT'!F35</f>
        <v>0</v>
      </c>
      <c r="G35" s="167">
        <f>'ADJ DETAIL INPUT'!G35</f>
        <v>0</v>
      </c>
      <c r="H35" s="167">
        <f>'ADJ DETAIL INPUT'!H35</f>
        <v>0</v>
      </c>
      <c r="I35" s="167">
        <f>'ADJ DETAIL INPUT'!I35</f>
        <v>0</v>
      </c>
      <c r="J35" s="167">
        <f>'ADJ DETAIL INPUT'!J35</f>
        <v>0</v>
      </c>
      <c r="K35" s="167">
        <f>'ADJ DETAIL INPUT'!K35</f>
        <v>0</v>
      </c>
      <c r="L35" s="167">
        <f>'ADJ DETAIL INPUT'!L35</f>
        <v>0</v>
      </c>
      <c r="M35" s="167">
        <f>'ADJ DETAIL INPUT'!M35</f>
        <v>0</v>
      </c>
      <c r="N35" s="167">
        <f>'ADJ DETAIL INPUT'!N35</f>
        <v>0</v>
      </c>
      <c r="O35" s="167">
        <f>'ADJ DETAIL INPUT'!O35</f>
        <v>0</v>
      </c>
      <c r="P35" s="167">
        <f>'ADJ DETAIL INPUT'!P35</f>
        <v>0</v>
      </c>
      <c r="Q35" s="167">
        <f>'ADJ DETAIL INPUT'!Q35</f>
        <v>-13</v>
      </c>
      <c r="R35" s="167">
        <f>'ADJ DETAIL INPUT'!R35</f>
        <v>0</v>
      </c>
      <c r="S35" s="167">
        <f>'ADJ DETAIL INPUT'!S35</f>
        <v>0</v>
      </c>
      <c r="T35" s="167">
        <f>'ADJ DETAIL INPUT'!T35</f>
        <v>0</v>
      </c>
      <c r="U35" s="167">
        <f>'ADJ DETAIL INPUT'!U35</f>
        <v>0</v>
      </c>
      <c r="V35" s="167">
        <f>'ADJ DETAIL INPUT'!V35</f>
        <v>0</v>
      </c>
      <c r="W35" s="167">
        <f>'ADJ DETAIL INPUT'!W35</f>
        <v>0</v>
      </c>
      <c r="X35" s="167">
        <f>'ADJ DETAIL INPUT'!Z35</f>
        <v>0</v>
      </c>
      <c r="Y35" s="167">
        <f>'ADJ DETAIL INPUT'!AA35</f>
        <v>0</v>
      </c>
      <c r="Z35" s="167">
        <f>'ADJ DETAIL INPUT'!AB35</f>
        <v>0</v>
      </c>
      <c r="AA35" s="167">
        <f>'ADJ DETAIL INPUT'!AC35</f>
        <v>0</v>
      </c>
      <c r="AB35" s="167">
        <f>'ADJ DETAIL INPUT'!AD35</f>
        <v>0</v>
      </c>
      <c r="AC35" s="167">
        <f>'ADJ DETAIL INPUT'!AE35</f>
        <v>0</v>
      </c>
      <c r="AD35" s="167">
        <f>'ADJ DETAIL INPUT'!AF35</f>
        <v>0</v>
      </c>
      <c r="AE35" s="167">
        <f>'ADJ DETAIL INPUT'!AG35</f>
        <v>0</v>
      </c>
      <c r="AF35" s="167">
        <f>'ADJ DETAIL INPUT'!AH35</f>
        <v>0</v>
      </c>
      <c r="AG35" s="167">
        <f>'ADJ DETAIL INPUT'!AI35</f>
        <v>210</v>
      </c>
      <c r="AH35" s="167">
        <f>'ADJ DETAIL INPUT'!AJ35</f>
        <v>0</v>
      </c>
      <c r="AI35" s="167">
        <f>'ADJ DETAIL INPUT'!AL35</f>
        <v>0</v>
      </c>
      <c r="AJ35" s="167">
        <f>'ADJ DETAIL INPUT'!AO35</f>
        <v>0</v>
      </c>
    </row>
    <row r="36" spans="1:36">
      <c r="A36" s="149">
        <v>15</v>
      </c>
      <c r="C36" s="151" t="s">
        <v>21</v>
      </c>
      <c r="D36" s="151"/>
      <c r="E36" s="166">
        <f>'ADJ DETAIL INPUT'!E36</f>
        <v>12807</v>
      </c>
      <c r="F36" s="166">
        <f>'ADJ DETAIL INPUT'!F36</f>
        <v>0</v>
      </c>
      <c r="G36" s="166">
        <f>'ADJ DETAIL INPUT'!G36</f>
        <v>0</v>
      </c>
      <c r="H36" s="166">
        <f>'ADJ DETAIL INPUT'!H36</f>
        <v>0</v>
      </c>
      <c r="I36" s="166">
        <f>'ADJ DETAIL INPUT'!I36</f>
        <v>-5183</v>
      </c>
      <c r="J36" s="166">
        <f>'ADJ DETAIL INPUT'!J36</f>
        <v>259</v>
      </c>
      <c r="K36" s="166">
        <f>'ADJ DETAIL INPUT'!K36</f>
        <v>0</v>
      </c>
      <c r="L36" s="166">
        <f>'ADJ DETAIL INPUT'!L36</f>
        <v>0</v>
      </c>
      <c r="M36" s="166">
        <f>'ADJ DETAIL INPUT'!M36</f>
        <v>0</v>
      </c>
      <c r="N36" s="166">
        <f>'ADJ DETAIL INPUT'!N36</f>
        <v>0</v>
      </c>
      <c r="O36" s="166">
        <f>'ADJ DETAIL INPUT'!O36</f>
        <v>0</v>
      </c>
      <c r="P36" s="166">
        <f>'ADJ DETAIL INPUT'!P36</f>
        <v>2</v>
      </c>
      <c r="Q36" s="166">
        <f>'ADJ DETAIL INPUT'!Q36</f>
        <v>0</v>
      </c>
      <c r="R36" s="166">
        <f>'ADJ DETAIL INPUT'!R36</f>
        <v>429</v>
      </c>
      <c r="S36" s="166">
        <f>'ADJ DETAIL INPUT'!S36</f>
        <v>-47</v>
      </c>
      <c r="T36" s="166">
        <f>'ADJ DETAIL INPUT'!T36</f>
        <v>0</v>
      </c>
      <c r="U36" s="166">
        <f>'ADJ DETAIL INPUT'!U36</f>
        <v>0</v>
      </c>
      <c r="V36" s="166">
        <f>'ADJ DETAIL INPUT'!V36</f>
        <v>0</v>
      </c>
      <c r="W36" s="166">
        <f>'ADJ DETAIL INPUT'!W36</f>
        <v>0</v>
      </c>
      <c r="X36" s="166">
        <f>'ADJ DETAIL INPUT'!Z36</f>
        <v>0</v>
      </c>
      <c r="Y36" s="166">
        <f>'ADJ DETAIL INPUT'!AA36</f>
        <v>0</v>
      </c>
      <c r="Z36" s="166">
        <f>'ADJ DETAIL INPUT'!AB36</f>
        <v>0</v>
      </c>
      <c r="AA36" s="166">
        <f>'ADJ DETAIL INPUT'!AC36</f>
        <v>0</v>
      </c>
      <c r="AB36" s="166">
        <f>'ADJ DETAIL INPUT'!AD36</f>
        <v>0</v>
      </c>
      <c r="AC36" s="166">
        <f>'ADJ DETAIL INPUT'!AE36</f>
        <v>390</v>
      </c>
      <c r="AD36" s="166">
        <f>'ADJ DETAIL INPUT'!AF36</f>
        <v>0</v>
      </c>
      <c r="AE36" s="166">
        <f>'ADJ DETAIL INPUT'!AG36</f>
        <v>-2550</v>
      </c>
      <c r="AF36" s="166">
        <f>'ADJ DETAIL INPUT'!AH36</f>
        <v>0</v>
      </c>
      <c r="AG36" s="166">
        <f>'ADJ DETAIL INPUT'!AI36</f>
        <v>0</v>
      </c>
      <c r="AH36" s="166">
        <f>'ADJ DETAIL INPUT'!AJ36</f>
        <v>0</v>
      </c>
      <c r="AI36" s="166">
        <f>'ADJ DETAIL INPUT'!AL36</f>
        <v>0</v>
      </c>
      <c r="AJ36" s="166">
        <f>'ADJ DETAIL INPUT'!AO36</f>
        <v>0</v>
      </c>
    </row>
    <row r="37" spans="1:36" ht="13.05" customHeight="1">
      <c r="A37" s="149">
        <v>16</v>
      </c>
      <c r="B37" s="151" t="s">
        <v>48</v>
      </c>
      <c r="C37" s="151"/>
      <c r="E37" s="165">
        <f t="shared" ref="E37" si="28">SUM(E34:E36)</f>
        <v>34722</v>
      </c>
      <c r="F37" s="165">
        <f t="shared" ref="F37:AC37" si="29">SUM(F34:F36)</f>
        <v>0</v>
      </c>
      <c r="G37" s="165">
        <f t="shared" si="29"/>
        <v>0</v>
      </c>
      <c r="H37" s="165">
        <f t="shared" si="29"/>
        <v>0</v>
      </c>
      <c r="I37" s="165">
        <f t="shared" si="29"/>
        <v>-5183</v>
      </c>
      <c r="J37" s="165">
        <f t="shared" si="29"/>
        <v>259</v>
      </c>
      <c r="K37" s="165">
        <f t="shared" si="29"/>
        <v>0</v>
      </c>
      <c r="L37" s="165">
        <f t="shared" si="29"/>
        <v>0</v>
      </c>
      <c r="M37" s="165">
        <f t="shared" si="29"/>
        <v>0</v>
      </c>
      <c r="N37" s="165">
        <f t="shared" si="29"/>
        <v>0</v>
      </c>
      <c r="O37" s="165">
        <f t="shared" si="29"/>
        <v>0</v>
      </c>
      <c r="P37" s="165">
        <f t="shared" si="29"/>
        <v>2</v>
      </c>
      <c r="Q37" s="165">
        <f t="shared" si="29"/>
        <v>-13</v>
      </c>
      <c r="R37" s="165">
        <f t="shared" si="29"/>
        <v>429</v>
      </c>
      <c r="S37" s="165">
        <f t="shared" ref="S37:T37" si="30">SUM(S34:S36)</f>
        <v>-47</v>
      </c>
      <c r="T37" s="165">
        <f t="shared" si="30"/>
        <v>1</v>
      </c>
      <c r="U37" s="165">
        <f t="shared" ref="U37:V37" si="31">SUM(U34:U36)</f>
        <v>0</v>
      </c>
      <c r="V37" s="165">
        <f t="shared" si="31"/>
        <v>0</v>
      </c>
      <c r="W37" s="165">
        <f>SUM(W34:W36)</f>
        <v>0</v>
      </c>
      <c r="X37" s="165">
        <f>SUM(X34:X36)</f>
        <v>348</v>
      </c>
      <c r="Y37" s="165">
        <f t="shared" si="29"/>
        <v>371</v>
      </c>
      <c r="Z37" s="165">
        <f t="shared" ref="Z37" si="32">SUM(Z34:Z36)</f>
        <v>0</v>
      </c>
      <c r="AA37" s="165">
        <f t="shared" si="29"/>
        <v>-76</v>
      </c>
      <c r="AB37" s="165">
        <f t="shared" ref="AB37" si="33">SUM(AB34:AB36)</f>
        <v>0</v>
      </c>
      <c r="AC37" s="165">
        <f t="shared" si="29"/>
        <v>390</v>
      </c>
      <c r="AD37" s="165">
        <f t="shared" ref="AD37" si="34">SUM(AD34:AD36)</f>
        <v>0</v>
      </c>
      <c r="AE37" s="165">
        <f t="shared" ref="AE37:AH37" si="35">SUM(AE34:AE36)</f>
        <v>-2550</v>
      </c>
      <c r="AF37" s="165">
        <f t="shared" si="35"/>
        <v>0</v>
      </c>
      <c r="AG37" s="165">
        <f t="shared" si="35"/>
        <v>210</v>
      </c>
      <c r="AH37" s="165">
        <f t="shared" si="35"/>
        <v>0</v>
      </c>
      <c r="AI37" s="165">
        <f t="shared" ref="AI37" si="36">SUM(AI34:AI36)</f>
        <v>0</v>
      </c>
      <c r="AJ37" s="165">
        <f t="shared" ref="AJ37" si="37">SUM(AJ34:AJ36)</f>
        <v>0</v>
      </c>
    </row>
    <row r="38" spans="1:36" ht="13.05" customHeight="1">
      <c r="C38" s="151"/>
      <c r="D38" s="151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</row>
    <row r="39" spans="1:36" ht="13.05" customHeight="1">
      <c r="A39" s="149">
        <v>17</v>
      </c>
      <c r="B39" s="125" t="s">
        <v>49</v>
      </c>
      <c r="C39" s="151"/>
      <c r="D39" s="151"/>
      <c r="E39" s="165">
        <f>'ADJ DETAIL INPUT'!E39</f>
        <v>7352</v>
      </c>
      <c r="F39" s="165">
        <f>'ADJ DETAIL INPUT'!F39</f>
        <v>0</v>
      </c>
      <c r="G39" s="165">
        <f>'ADJ DETAIL INPUT'!G39</f>
        <v>2</v>
      </c>
      <c r="H39" s="165">
        <f>'ADJ DETAIL INPUT'!H39</f>
        <v>0</v>
      </c>
      <c r="I39" s="165">
        <f>'ADJ DETAIL INPUT'!I39</f>
        <v>0</v>
      </c>
      <c r="J39" s="165">
        <f>'ADJ DETAIL INPUT'!J39</f>
        <v>0</v>
      </c>
      <c r="K39" s="165">
        <f>'ADJ DETAIL INPUT'!K39</f>
        <v>-386</v>
      </c>
      <c r="L39" s="165">
        <f>'ADJ DETAIL INPUT'!L39</f>
        <v>0</v>
      </c>
      <c r="M39" s="165">
        <f>'ADJ DETAIL INPUT'!M39</f>
        <v>0</v>
      </c>
      <c r="N39" s="165">
        <f>'ADJ DETAIL INPUT'!N39</f>
        <v>0</v>
      </c>
      <c r="O39" s="165">
        <f>'ADJ DETAIL INPUT'!O39</f>
        <v>0</v>
      </c>
      <c r="P39" s="165">
        <f>'ADJ DETAIL INPUT'!P39</f>
        <v>0</v>
      </c>
      <c r="Q39" s="165">
        <f>'ADJ DETAIL INPUT'!Q39</f>
        <v>0</v>
      </c>
      <c r="R39" s="165">
        <f>'ADJ DETAIL INPUT'!R39</f>
        <v>69</v>
      </c>
      <c r="S39" s="165">
        <f>'ADJ DETAIL INPUT'!S39</f>
        <v>-8</v>
      </c>
      <c r="T39" s="165">
        <f>'ADJ DETAIL INPUT'!T39</f>
        <v>0</v>
      </c>
      <c r="U39" s="165">
        <f>'ADJ DETAIL INPUT'!U39</f>
        <v>0</v>
      </c>
      <c r="V39" s="165">
        <f>'ADJ DETAIL INPUT'!V39</f>
        <v>0</v>
      </c>
      <c r="W39" s="165">
        <f>'ADJ DETAIL INPUT'!W39</f>
        <v>0</v>
      </c>
      <c r="X39" s="165">
        <f>'ADJ DETAIL INPUT'!Z39</f>
        <v>0</v>
      </c>
      <c r="Y39" s="165">
        <f>'ADJ DETAIL INPUT'!AA39</f>
        <v>203</v>
      </c>
      <c r="Z39" s="165">
        <f>'ADJ DETAIL INPUT'!AB39</f>
        <v>0</v>
      </c>
      <c r="AA39" s="165">
        <f>'ADJ DETAIL INPUT'!AC39</f>
        <v>-41</v>
      </c>
      <c r="AB39" s="165">
        <f>'ADJ DETAIL INPUT'!AD39</f>
        <v>0</v>
      </c>
      <c r="AC39" s="165">
        <f>'ADJ DETAIL INPUT'!AE39</f>
        <v>0</v>
      </c>
      <c r="AD39" s="165">
        <f>'ADJ DETAIL INPUT'!AF39</f>
        <v>0</v>
      </c>
      <c r="AE39" s="165">
        <f>'ADJ DETAIL INPUT'!AG39</f>
        <v>-412</v>
      </c>
      <c r="AF39" s="165">
        <f>'ADJ DETAIL INPUT'!AH39</f>
        <v>0</v>
      </c>
      <c r="AG39" s="165">
        <f>'ADJ DETAIL INPUT'!AI39</f>
        <v>0</v>
      </c>
      <c r="AH39" s="165">
        <f>'ADJ DETAIL INPUT'!AJ39</f>
        <v>0</v>
      </c>
      <c r="AI39" s="165">
        <f>'ADJ DETAIL INPUT'!AL39</f>
        <v>0</v>
      </c>
      <c r="AJ39" s="165">
        <f>'ADJ DETAIL INPUT'!AO39</f>
        <v>0</v>
      </c>
    </row>
    <row r="40" spans="1:36">
      <c r="A40" s="149">
        <v>18</v>
      </c>
      <c r="B40" s="125" t="s">
        <v>50</v>
      </c>
      <c r="C40" s="151"/>
      <c r="D40" s="151"/>
      <c r="E40" s="165">
        <f>'ADJ DETAIL INPUT'!E40</f>
        <v>7595</v>
      </c>
      <c r="F40" s="165">
        <f>'ADJ DETAIL INPUT'!F40</f>
        <v>0</v>
      </c>
      <c r="G40" s="165">
        <f>'ADJ DETAIL INPUT'!G40</f>
        <v>0</v>
      </c>
      <c r="H40" s="165">
        <f>'ADJ DETAIL INPUT'!H40</f>
        <v>0</v>
      </c>
      <c r="I40" s="165">
        <f>'ADJ DETAIL INPUT'!I40</f>
        <v>0</v>
      </c>
      <c r="J40" s="165">
        <f>'ADJ DETAIL INPUT'!J40</f>
        <v>0</v>
      </c>
      <c r="K40" s="165">
        <f>'ADJ DETAIL INPUT'!K40</f>
        <v>0</v>
      </c>
      <c r="L40" s="165">
        <f>'ADJ DETAIL INPUT'!L40</f>
        <v>0</v>
      </c>
      <c r="M40" s="165">
        <f>'ADJ DETAIL INPUT'!M40</f>
        <v>0</v>
      </c>
      <c r="N40" s="165">
        <f>'ADJ DETAIL INPUT'!N40</f>
        <v>0</v>
      </c>
      <c r="O40" s="165">
        <f>'ADJ DETAIL INPUT'!O40</f>
        <v>0</v>
      </c>
      <c r="P40" s="165">
        <f>'ADJ DETAIL INPUT'!P40</f>
        <v>0</v>
      </c>
      <c r="Q40" s="165">
        <f>'ADJ DETAIL INPUT'!Q40</f>
        <v>0</v>
      </c>
      <c r="R40" s="165">
        <f>'ADJ DETAIL INPUT'!R40</f>
        <v>0</v>
      </c>
      <c r="S40" s="165">
        <f>'ADJ DETAIL INPUT'!S40</f>
        <v>-6632</v>
      </c>
      <c r="T40" s="165">
        <f>'ADJ DETAIL INPUT'!T40</f>
        <v>0</v>
      </c>
      <c r="U40" s="165">
        <f>'ADJ DETAIL INPUT'!U40</f>
        <v>0</v>
      </c>
      <c r="V40" s="165">
        <f>'ADJ DETAIL INPUT'!V40</f>
        <v>0</v>
      </c>
      <c r="W40" s="165">
        <f>'ADJ DETAIL INPUT'!W40</f>
        <v>0</v>
      </c>
      <c r="X40" s="165">
        <f>'ADJ DETAIL INPUT'!Z40</f>
        <v>0</v>
      </c>
      <c r="Y40" s="165">
        <f>'ADJ DETAIL INPUT'!AA40</f>
        <v>18</v>
      </c>
      <c r="Z40" s="165">
        <f>'ADJ DETAIL INPUT'!AB40</f>
        <v>0</v>
      </c>
      <c r="AA40" s="165">
        <f>'ADJ DETAIL INPUT'!AC40</f>
        <v>-4</v>
      </c>
      <c r="AB40" s="165">
        <f>'ADJ DETAIL INPUT'!AD40</f>
        <v>0</v>
      </c>
      <c r="AC40" s="165">
        <f>'ADJ DETAIL INPUT'!AE40</f>
        <v>0</v>
      </c>
      <c r="AD40" s="165">
        <f>'ADJ DETAIL INPUT'!AF40</f>
        <v>0</v>
      </c>
      <c r="AE40" s="165">
        <f>'ADJ DETAIL INPUT'!AG40</f>
        <v>0</v>
      </c>
      <c r="AF40" s="165">
        <f>'ADJ DETAIL INPUT'!AH40</f>
        <v>0</v>
      </c>
      <c r="AG40" s="165">
        <f>'ADJ DETAIL INPUT'!AI40</f>
        <v>0</v>
      </c>
      <c r="AH40" s="165">
        <f>'ADJ DETAIL INPUT'!AJ40</f>
        <v>0</v>
      </c>
      <c r="AI40" s="165">
        <f>'ADJ DETAIL INPUT'!AL40</f>
        <v>0</v>
      </c>
      <c r="AJ40" s="165">
        <f>'ADJ DETAIL INPUT'!AO40</f>
        <v>0</v>
      </c>
    </row>
    <row r="41" spans="1:36">
      <c r="A41" s="149">
        <v>19</v>
      </c>
      <c r="B41" s="125" t="s">
        <v>51</v>
      </c>
      <c r="C41" s="151"/>
      <c r="D41" s="151"/>
      <c r="E41" s="165">
        <f>'ADJ DETAIL INPUT'!E41</f>
        <v>0</v>
      </c>
      <c r="F41" s="165">
        <f>'ADJ DETAIL INPUT'!F41</f>
        <v>0</v>
      </c>
      <c r="G41" s="165">
        <f>'ADJ DETAIL INPUT'!G41</f>
        <v>0</v>
      </c>
      <c r="H41" s="165">
        <f>'ADJ DETAIL INPUT'!H41</f>
        <v>0</v>
      </c>
      <c r="I41" s="165">
        <f>'ADJ DETAIL INPUT'!I41</f>
        <v>0</v>
      </c>
      <c r="J41" s="165">
        <f>'ADJ DETAIL INPUT'!J41</f>
        <v>0</v>
      </c>
      <c r="K41" s="165">
        <f>'ADJ DETAIL INPUT'!K41</f>
        <v>0</v>
      </c>
      <c r="L41" s="165">
        <f>'ADJ DETAIL INPUT'!L41</f>
        <v>0</v>
      </c>
      <c r="M41" s="165">
        <f>'ADJ DETAIL INPUT'!M41</f>
        <v>0</v>
      </c>
      <c r="N41" s="165">
        <f>'ADJ DETAIL INPUT'!N41</f>
        <v>0</v>
      </c>
      <c r="O41" s="165">
        <f>'ADJ DETAIL INPUT'!O41</f>
        <v>0</v>
      </c>
      <c r="P41" s="165">
        <f>'ADJ DETAIL INPUT'!P41</f>
        <v>0</v>
      </c>
      <c r="Q41" s="165">
        <f>'ADJ DETAIL INPUT'!Q41</f>
        <v>0</v>
      </c>
      <c r="R41" s="165">
        <f>'ADJ DETAIL INPUT'!R41</f>
        <v>0</v>
      </c>
      <c r="S41" s="165">
        <f>'ADJ DETAIL INPUT'!S41</f>
        <v>0</v>
      </c>
      <c r="T41" s="165">
        <f>'ADJ DETAIL INPUT'!T41</f>
        <v>0</v>
      </c>
      <c r="U41" s="165">
        <f>'ADJ DETAIL INPUT'!U41</f>
        <v>0</v>
      </c>
      <c r="V41" s="165">
        <f>'ADJ DETAIL INPUT'!V41</f>
        <v>0</v>
      </c>
      <c r="W41" s="165">
        <f>'ADJ DETAIL INPUT'!W41</f>
        <v>0</v>
      </c>
      <c r="X41" s="165">
        <f>'ADJ DETAIL INPUT'!Z41</f>
        <v>0</v>
      </c>
      <c r="Y41" s="165">
        <f>'ADJ DETAIL INPUT'!AA41</f>
        <v>0</v>
      </c>
      <c r="Z41" s="165">
        <f>'ADJ DETAIL INPUT'!AB41</f>
        <v>0</v>
      </c>
      <c r="AA41" s="165">
        <f>'ADJ DETAIL INPUT'!AC41</f>
        <v>0</v>
      </c>
      <c r="AB41" s="165">
        <f>'ADJ DETAIL INPUT'!AD41</f>
        <v>0</v>
      </c>
      <c r="AC41" s="165">
        <f>'ADJ DETAIL INPUT'!AE41</f>
        <v>0</v>
      </c>
      <c r="AD41" s="165">
        <f>'ADJ DETAIL INPUT'!AF41</f>
        <v>0</v>
      </c>
      <c r="AE41" s="165">
        <f>'ADJ DETAIL INPUT'!AG41</f>
        <v>0</v>
      </c>
      <c r="AF41" s="165">
        <f>'ADJ DETAIL INPUT'!AH41</f>
        <v>0</v>
      </c>
      <c r="AG41" s="165">
        <f>'ADJ DETAIL INPUT'!AI41</f>
        <v>0</v>
      </c>
      <c r="AH41" s="165">
        <f>'ADJ DETAIL INPUT'!AJ41</f>
        <v>0</v>
      </c>
      <c r="AI41" s="165">
        <f>'ADJ DETAIL INPUT'!AL41</f>
        <v>0</v>
      </c>
      <c r="AJ41" s="165">
        <f>'ADJ DETAIL INPUT'!AO41</f>
        <v>0</v>
      </c>
    </row>
    <row r="42" spans="1:36">
      <c r="C42" s="151"/>
      <c r="D42" s="151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</row>
    <row r="43" spans="1:36">
      <c r="B43" s="125" t="s">
        <v>52</v>
      </c>
      <c r="C43" s="151"/>
      <c r="D43" s="151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</row>
    <row r="44" spans="1:36">
      <c r="A44" s="149">
        <v>20</v>
      </c>
      <c r="C44" s="151" t="s">
        <v>44</v>
      </c>
      <c r="D44" s="151"/>
      <c r="E44" s="165">
        <f>'ADJ DETAIL INPUT'!E44</f>
        <v>13763</v>
      </c>
      <c r="F44" s="165">
        <f>'ADJ DETAIL INPUT'!F44</f>
        <v>0</v>
      </c>
      <c r="G44" s="165">
        <f>'ADJ DETAIL INPUT'!G44</f>
        <v>0</v>
      </c>
      <c r="H44" s="165">
        <f>'ADJ DETAIL INPUT'!H44</f>
        <v>0</v>
      </c>
      <c r="I44" s="165">
        <f>'ADJ DETAIL INPUT'!I44</f>
        <v>0</v>
      </c>
      <c r="J44" s="165">
        <f>'ADJ DETAIL INPUT'!J44</f>
        <v>0</v>
      </c>
      <c r="K44" s="165">
        <f>'ADJ DETAIL INPUT'!K44</f>
        <v>0</v>
      </c>
      <c r="L44" s="165">
        <f>'ADJ DETAIL INPUT'!L44</f>
        <v>-3</v>
      </c>
      <c r="M44" s="165">
        <f>'ADJ DETAIL INPUT'!M44</f>
        <v>76</v>
      </c>
      <c r="N44" s="165">
        <f>'ADJ DETAIL INPUT'!N44</f>
        <v>0</v>
      </c>
      <c r="O44" s="165">
        <f>'ADJ DETAIL INPUT'!O44</f>
        <v>-9</v>
      </c>
      <c r="P44" s="165">
        <f>'ADJ DETAIL INPUT'!P44</f>
        <v>0</v>
      </c>
      <c r="Q44" s="165">
        <f>'ADJ DETAIL INPUT'!Q44</f>
        <v>0</v>
      </c>
      <c r="R44" s="165">
        <f>'ADJ DETAIL INPUT'!R44</f>
        <v>22</v>
      </c>
      <c r="S44" s="165">
        <f>'ADJ DETAIL INPUT'!S44</f>
        <v>-2</v>
      </c>
      <c r="T44" s="165">
        <f>'ADJ DETAIL INPUT'!T44</f>
        <v>-316</v>
      </c>
      <c r="U44" s="165">
        <f>'ADJ DETAIL INPUT'!U44</f>
        <v>0</v>
      </c>
      <c r="V44" s="165">
        <f>'ADJ DETAIL INPUT'!V44</f>
        <v>-167</v>
      </c>
      <c r="W44" s="165">
        <f>'ADJ DETAIL INPUT'!W44</f>
        <v>0</v>
      </c>
      <c r="X44" s="165">
        <f>'ADJ DETAIL INPUT'!Z44</f>
        <v>0</v>
      </c>
      <c r="Y44" s="165">
        <f>'ADJ DETAIL INPUT'!AA44</f>
        <v>251</v>
      </c>
      <c r="Z44" s="165">
        <f>'ADJ DETAIL INPUT'!AB44</f>
        <v>-10</v>
      </c>
      <c r="AA44" s="165">
        <f>'ADJ DETAIL INPUT'!AC44</f>
        <v>-49</v>
      </c>
      <c r="AB44" s="165">
        <f>'ADJ DETAIL INPUT'!AD44</f>
        <v>0</v>
      </c>
      <c r="AC44" s="165">
        <f>'ADJ DETAIL INPUT'!AE44</f>
        <v>0</v>
      </c>
      <c r="AD44" s="165">
        <f>'ADJ DETAIL INPUT'!AF44</f>
        <v>201</v>
      </c>
      <c r="AE44" s="165">
        <f>'ADJ DETAIL INPUT'!AG44</f>
        <v>-133</v>
      </c>
      <c r="AF44" s="165">
        <f>'ADJ DETAIL INPUT'!AH44</f>
        <v>0</v>
      </c>
      <c r="AG44" s="165">
        <f>'ADJ DETAIL INPUT'!AI44</f>
        <v>0</v>
      </c>
      <c r="AH44" s="165">
        <f>'ADJ DETAIL INPUT'!AJ44</f>
        <v>0</v>
      </c>
      <c r="AI44" s="165">
        <f>'ADJ DETAIL INPUT'!AL44</f>
        <v>0</v>
      </c>
      <c r="AJ44" s="165">
        <f>'ADJ DETAIL INPUT'!AO44</f>
        <v>0</v>
      </c>
    </row>
    <row r="45" spans="1:36">
      <c r="A45" s="149">
        <v>21</v>
      </c>
      <c r="C45" s="151" t="s">
        <v>214</v>
      </c>
      <c r="D45" s="151"/>
      <c r="E45" s="165">
        <f>'ADJ DETAIL INPUT'!E45</f>
        <v>6260</v>
      </c>
      <c r="F45" s="165">
        <f>'ADJ DETAIL INPUT'!F45</f>
        <v>0</v>
      </c>
      <c r="G45" s="165">
        <f>'ADJ DETAIL INPUT'!G45</f>
        <v>0</v>
      </c>
      <c r="H45" s="165">
        <f>'ADJ DETAIL INPUT'!H45</f>
        <v>0</v>
      </c>
      <c r="I45" s="165">
        <f>'ADJ DETAIL INPUT'!I45</f>
        <v>0</v>
      </c>
      <c r="J45" s="165">
        <f>'ADJ DETAIL INPUT'!J45</f>
        <v>0</v>
      </c>
      <c r="K45" s="165">
        <f>'ADJ DETAIL INPUT'!K45</f>
        <v>0</v>
      </c>
      <c r="L45" s="165">
        <f>'ADJ DETAIL INPUT'!L45</f>
        <v>0</v>
      </c>
      <c r="M45" s="165">
        <f>'ADJ DETAIL INPUT'!M45</f>
        <v>0</v>
      </c>
      <c r="N45" s="165">
        <f>'ADJ DETAIL INPUT'!N45</f>
        <v>0</v>
      </c>
      <c r="O45" s="165">
        <f>'ADJ DETAIL INPUT'!O45</f>
        <v>0</v>
      </c>
      <c r="P45" s="165">
        <f>'ADJ DETAIL INPUT'!P45</f>
        <v>0</v>
      </c>
      <c r="Q45" s="165">
        <f>'ADJ DETAIL INPUT'!Q45</f>
        <v>0</v>
      </c>
      <c r="R45" s="165">
        <f>'ADJ DETAIL INPUT'!R45</f>
        <v>0</v>
      </c>
      <c r="S45" s="165">
        <f>'ADJ DETAIL INPUT'!S45</f>
        <v>0</v>
      </c>
      <c r="T45" s="165">
        <f>'ADJ DETAIL INPUT'!T45</f>
        <v>0</v>
      </c>
      <c r="U45" s="165">
        <f>'ADJ DETAIL INPUT'!U45</f>
        <v>0</v>
      </c>
      <c r="V45" s="165">
        <f>'ADJ DETAIL INPUT'!V45</f>
        <v>0</v>
      </c>
      <c r="W45" s="165">
        <f>'ADJ DETAIL INPUT'!W45</f>
        <v>0</v>
      </c>
      <c r="X45" s="165">
        <f>'ADJ DETAIL INPUT'!Z45</f>
        <v>0</v>
      </c>
      <c r="Y45" s="165">
        <f>'ADJ DETAIL INPUT'!AA45</f>
        <v>0</v>
      </c>
      <c r="Z45" s="165">
        <f>'ADJ DETAIL INPUT'!AB45</f>
        <v>0</v>
      </c>
      <c r="AA45" s="165">
        <f>'ADJ DETAIL INPUT'!AC45</f>
        <v>0</v>
      </c>
      <c r="AB45" s="165">
        <f>'ADJ DETAIL INPUT'!AD45</f>
        <v>0</v>
      </c>
      <c r="AC45" s="165">
        <f>'ADJ DETAIL INPUT'!AE45</f>
        <v>0</v>
      </c>
      <c r="AD45" s="165">
        <f>'ADJ DETAIL INPUT'!AF45</f>
        <v>0</v>
      </c>
      <c r="AE45" s="165">
        <f>'ADJ DETAIL INPUT'!AG45</f>
        <v>0</v>
      </c>
      <c r="AF45" s="165">
        <f>'ADJ DETAIL INPUT'!AH45</f>
        <v>0</v>
      </c>
      <c r="AG45" s="165">
        <f>'ADJ DETAIL INPUT'!AI45</f>
        <v>280</v>
      </c>
      <c r="AH45" s="165">
        <f>'ADJ DETAIL INPUT'!AJ45</f>
        <v>0</v>
      </c>
      <c r="AI45" s="165">
        <f>'ADJ DETAIL INPUT'!AL45</f>
        <v>0</v>
      </c>
      <c r="AJ45" s="165">
        <f>'ADJ DETAIL INPUT'!AO45</f>
        <v>0</v>
      </c>
    </row>
    <row r="46" spans="1:36">
      <c r="A46" s="149">
        <v>22</v>
      </c>
      <c r="C46" s="8" t="s">
        <v>428</v>
      </c>
      <c r="D46" s="151"/>
      <c r="E46" s="165">
        <f>'ADJ DETAIL INPUT'!E46</f>
        <v>0</v>
      </c>
      <c r="F46" s="165">
        <f>'ADJ DETAIL INPUT'!F46</f>
        <v>0</v>
      </c>
      <c r="G46" s="165">
        <f>'ADJ DETAIL INPUT'!G46</f>
        <v>0</v>
      </c>
      <c r="H46" s="165">
        <f>'ADJ DETAIL INPUT'!H46</f>
        <v>0</v>
      </c>
      <c r="I46" s="165">
        <f>'ADJ DETAIL INPUT'!I46</f>
        <v>0</v>
      </c>
      <c r="J46" s="165">
        <f>'ADJ DETAIL INPUT'!J46</f>
        <v>0</v>
      </c>
      <c r="K46" s="165">
        <f>'ADJ DETAIL INPUT'!K46</f>
        <v>0</v>
      </c>
      <c r="L46" s="165">
        <f>'ADJ DETAIL INPUT'!L46</f>
        <v>0</v>
      </c>
      <c r="M46" s="165">
        <f>'ADJ DETAIL INPUT'!M46</f>
        <v>0</v>
      </c>
      <c r="N46" s="165">
        <f>'ADJ DETAIL INPUT'!N46</f>
        <v>0</v>
      </c>
      <c r="O46" s="165">
        <f>'ADJ DETAIL INPUT'!O46</f>
        <v>0</v>
      </c>
      <c r="P46" s="165">
        <f>'ADJ DETAIL INPUT'!P46</f>
        <v>0</v>
      </c>
      <c r="Q46" s="165">
        <f>'ADJ DETAIL INPUT'!Q46</f>
        <v>0</v>
      </c>
      <c r="R46" s="165">
        <f>'ADJ DETAIL INPUT'!R46</f>
        <v>0</v>
      </c>
      <c r="S46" s="165">
        <f>'ADJ DETAIL INPUT'!S46</f>
        <v>0</v>
      </c>
      <c r="T46" s="165">
        <f>'ADJ DETAIL INPUT'!T46</f>
        <v>0</v>
      </c>
      <c r="U46" s="165">
        <f>'ADJ DETAIL INPUT'!U46</f>
        <v>1079</v>
      </c>
      <c r="V46" s="165">
        <f>'ADJ DETAIL INPUT'!V46</f>
        <v>0</v>
      </c>
      <c r="W46" s="165">
        <f>'ADJ DETAIL INPUT'!W46</f>
        <v>0</v>
      </c>
      <c r="X46" s="165">
        <f>'ADJ DETAIL INPUT'!Z46</f>
        <v>0</v>
      </c>
      <c r="Y46" s="165">
        <f>'ADJ DETAIL INPUT'!AA46</f>
        <v>0</v>
      </c>
      <c r="Z46" s="165">
        <f>'ADJ DETAIL INPUT'!AB46</f>
        <v>0</v>
      </c>
      <c r="AA46" s="165">
        <f>'ADJ DETAIL INPUT'!AC46</f>
        <v>0</v>
      </c>
      <c r="AB46" s="165">
        <f>'ADJ DETAIL INPUT'!AD46</f>
        <v>0</v>
      </c>
      <c r="AC46" s="165">
        <f>'ADJ DETAIL INPUT'!AE46</f>
        <v>0</v>
      </c>
      <c r="AD46" s="165">
        <f>'ADJ DETAIL INPUT'!AF46</f>
        <v>0</v>
      </c>
      <c r="AE46" s="165">
        <f>'ADJ DETAIL INPUT'!AG46</f>
        <v>0</v>
      </c>
      <c r="AF46" s="165">
        <f>'ADJ DETAIL INPUT'!AH46</f>
        <v>-1079</v>
      </c>
      <c r="AG46" s="165">
        <f>'ADJ DETAIL INPUT'!AI46</f>
        <v>0</v>
      </c>
      <c r="AH46" s="165">
        <f>'ADJ DETAIL INPUT'!AJ46</f>
        <v>0</v>
      </c>
      <c r="AI46" s="165">
        <f>'ADJ DETAIL INPUT'!AL46</f>
        <v>584</v>
      </c>
      <c r="AJ46" s="165">
        <f>'ADJ DETAIL INPUT'!AO46</f>
        <v>0</v>
      </c>
    </row>
    <row r="47" spans="1:36">
      <c r="A47" s="149">
        <v>23</v>
      </c>
      <c r="C47" s="151" t="s">
        <v>21</v>
      </c>
      <c r="D47" s="151"/>
      <c r="E47" s="166">
        <f>'ADJ DETAIL INPUT'!E47</f>
        <v>0</v>
      </c>
      <c r="F47" s="166">
        <f>'ADJ DETAIL INPUT'!F47</f>
        <v>0</v>
      </c>
      <c r="G47" s="166">
        <f>'ADJ DETAIL INPUT'!G47</f>
        <v>0</v>
      </c>
      <c r="H47" s="166">
        <f>'ADJ DETAIL INPUT'!H47</f>
        <v>0</v>
      </c>
      <c r="I47" s="166">
        <f>'ADJ DETAIL INPUT'!I47</f>
        <v>0</v>
      </c>
      <c r="J47" s="166">
        <f>'ADJ DETAIL INPUT'!J47</f>
        <v>0</v>
      </c>
      <c r="K47" s="166">
        <f>'ADJ DETAIL INPUT'!K47</f>
        <v>0</v>
      </c>
      <c r="L47" s="166">
        <f>'ADJ DETAIL INPUT'!L47</f>
        <v>0</v>
      </c>
      <c r="M47" s="166">
        <f>'ADJ DETAIL INPUT'!M47</f>
        <v>0</v>
      </c>
      <c r="N47" s="166">
        <f>'ADJ DETAIL INPUT'!N47</f>
        <v>0</v>
      </c>
      <c r="O47" s="166">
        <f>'ADJ DETAIL INPUT'!O47</f>
        <v>0</v>
      </c>
      <c r="P47" s="166">
        <f>'ADJ DETAIL INPUT'!P47</f>
        <v>0</v>
      </c>
      <c r="Q47" s="166">
        <f>'ADJ DETAIL INPUT'!Q47</f>
        <v>0</v>
      </c>
      <c r="R47" s="166">
        <f>'ADJ DETAIL INPUT'!R47</f>
        <v>0</v>
      </c>
      <c r="S47" s="166">
        <f>'ADJ DETAIL INPUT'!S47</f>
        <v>0</v>
      </c>
      <c r="T47" s="166">
        <f>'ADJ DETAIL INPUT'!T47</f>
        <v>0</v>
      </c>
      <c r="U47" s="166">
        <f>'ADJ DETAIL INPUT'!U47</f>
        <v>0</v>
      </c>
      <c r="V47" s="166">
        <f>'ADJ DETAIL INPUT'!V47</f>
        <v>0</v>
      </c>
      <c r="W47" s="166">
        <f>'ADJ DETAIL INPUT'!W47</f>
        <v>0</v>
      </c>
      <c r="X47" s="166">
        <f>'ADJ DETAIL INPUT'!Z47</f>
        <v>0</v>
      </c>
      <c r="Y47" s="166">
        <f>'ADJ DETAIL INPUT'!AA47</f>
        <v>0</v>
      </c>
      <c r="Z47" s="166">
        <f>'ADJ DETAIL INPUT'!AB47</f>
        <v>0</v>
      </c>
      <c r="AA47" s="166">
        <f>'ADJ DETAIL INPUT'!AC47</f>
        <v>0</v>
      </c>
      <c r="AB47" s="166">
        <f>'ADJ DETAIL INPUT'!AD47</f>
        <v>0</v>
      </c>
      <c r="AC47" s="166">
        <f>'ADJ DETAIL INPUT'!AE47</f>
        <v>0</v>
      </c>
      <c r="AD47" s="166">
        <f>'ADJ DETAIL INPUT'!AF47</f>
        <v>0</v>
      </c>
      <c r="AE47" s="166">
        <f>'ADJ DETAIL INPUT'!AG47</f>
        <v>0</v>
      </c>
      <c r="AF47" s="166">
        <f>'ADJ DETAIL INPUT'!AH47</f>
        <v>0</v>
      </c>
      <c r="AG47" s="166">
        <f>'ADJ DETAIL INPUT'!AI47</f>
        <v>0</v>
      </c>
      <c r="AH47" s="166">
        <f>'ADJ DETAIL INPUT'!AJ47</f>
        <v>0</v>
      </c>
      <c r="AI47" s="166">
        <f>'ADJ DETAIL INPUT'!AL47</f>
        <v>0</v>
      </c>
      <c r="AJ47" s="166">
        <f>'ADJ DETAIL INPUT'!AO47</f>
        <v>0</v>
      </c>
    </row>
    <row r="48" spans="1:36">
      <c r="A48" s="149">
        <v>24</v>
      </c>
      <c r="B48" s="151" t="s">
        <v>53</v>
      </c>
      <c r="C48" s="151"/>
      <c r="E48" s="166">
        <f>SUM(E44:E47)</f>
        <v>20023</v>
      </c>
      <c r="F48" s="166">
        <f t="shared" ref="F48:AC48" si="38">SUM(F44:F47)</f>
        <v>0</v>
      </c>
      <c r="G48" s="166">
        <f t="shared" si="38"/>
        <v>0</v>
      </c>
      <c r="H48" s="166">
        <f t="shared" si="38"/>
        <v>0</v>
      </c>
      <c r="I48" s="166">
        <f t="shared" si="38"/>
        <v>0</v>
      </c>
      <c r="J48" s="166">
        <f t="shared" si="38"/>
        <v>0</v>
      </c>
      <c r="K48" s="166">
        <f t="shared" si="38"/>
        <v>0</v>
      </c>
      <c r="L48" s="166">
        <f t="shared" si="38"/>
        <v>-3</v>
      </c>
      <c r="M48" s="166">
        <f t="shared" si="38"/>
        <v>76</v>
      </c>
      <c r="N48" s="166">
        <f t="shared" si="38"/>
        <v>0</v>
      </c>
      <c r="O48" s="166">
        <f t="shared" si="38"/>
        <v>-9</v>
      </c>
      <c r="P48" s="166">
        <f t="shared" si="38"/>
        <v>0</v>
      </c>
      <c r="Q48" s="166">
        <f t="shared" si="38"/>
        <v>0</v>
      </c>
      <c r="R48" s="166">
        <f t="shared" si="38"/>
        <v>22</v>
      </c>
      <c r="S48" s="166">
        <f t="shared" ref="S48:T48" si="39">SUM(S44:S47)</f>
        <v>-2</v>
      </c>
      <c r="T48" s="166">
        <f t="shared" si="39"/>
        <v>-316</v>
      </c>
      <c r="U48" s="166">
        <f t="shared" ref="U48:V48" si="40">SUM(U44:U47)</f>
        <v>1079</v>
      </c>
      <c r="V48" s="166">
        <f t="shared" si="40"/>
        <v>-167</v>
      </c>
      <c r="W48" s="166">
        <f>SUM(W44:W47)</f>
        <v>0</v>
      </c>
      <c r="X48" s="166">
        <f>SUM(X44:X47)</f>
        <v>0</v>
      </c>
      <c r="Y48" s="166">
        <f t="shared" si="38"/>
        <v>251</v>
      </c>
      <c r="Z48" s="166">
        <f t="shared" ref="Z48" si="41">SUM(Z44:Z47)</f>
        <v>-10</v>
      </c>
      <c r="AA48" s="166">
        <f t="shared" si="38"/>
        <v>-49</v>
      </c>
      <c r="AB48" s="166">
        <f t="shared" ref="AB48" si="42">SUM(AB44:AB47)</f>
        <v>0</v>
      </c>
      <c r="AC48" s="166">
        <f t="shared" si="38"/>
        <v>0</v>
      </c>
      <c r="AD48" s="166">
        <f t="shared" ref="AD48" si="43">SUM(AD44:AD47)</f>
        <v>201</v>
      </c>
      <c r="AE48" s="166">
        <f t="shared" ref="AE48:AH48" si="44">SUM(AE44:AE47)</f>
        <v>-133</v>
      </c>
      <c r="AF48" s="166">
        <f t="shared" si="44"/>
        <v>-1079</v>
      </c>
      <c r="AG48" s="166">
        <f t="shared" si="44"/>
        <v>280</v>
      </c>
      <c r="AH48" s="166">
        <f t="shared" si="44"/>
        <v>0</v>
      </c>
      <c r="AI48" s="166">
        <f t="shared" ref="AI48" si="45">SUM(AI44:AI47)</f>
        <v>584</v>
      </c>
      <c r="AJ48" s="166">
        <f t="shared" ref="AJ48" si="46">SUM(AJ44:AJ47)</f>
        <v>0</v>
      </c>
    </row>
    <row r="49" spans="1:36" ht="19.5" customHeight="1">
      <c r="A49" s="149">
        <v>25</v>
      </c>
      <c r="B49" s="125" t="s">
        <v>54</v>
      </c>
      <c r="C49" s="151"/>
      <c r="D49" s="151"/>
      <c r="E49" s="166">
        <f t="shared" ref="E49" si="47">E21+E25+E31+E37+E39+E40+E41+E48</f>
        <v>187893</v>
      </c>
      <c r="F49" s="166">
        <f t="shared" ref="F49:AC49" si="48">F21+F25+F31+F37+F39+F40+F41+F48</f>
        <v>0</v>
      </c>
      <c r="G49" s="166">
        <f t="shared" si="48"/>
        <v>2</v>
      </c>
      <c r="H49" s="166">
        <f t="shared" si="48"/>
        <v>0</v>
      </c>
      <c r="I49" s="166">
        <f t="shared" si="48"/>
        <v>-5183</v>
      </c>
      <c r="J49" s="166">
        <f t="shared" si="48"/>
        <v>259</v>
      </c>
      <c r="K49" s="166">
        <f t="shared" si="48"/>
        <v>-386</v>
      </c>
      <c r="L49" s="166">
        <f t="shared" si="48"/>
        <v>-3</v>
      </c>
      <c r="M49" s="166">
        <f t="shared" si="48"/>
        <v>76</v>
      </c>
      <c r="N49" s="166">
        <f t="shared" si="48"/>
        <v>0</v>
      </c>
      <c r="O49" s="166">
        <f t="shared" si="48"/>
        <v>-9</v>
      </c>
      <c r="P49" s="166">
        <f t="shared" si="48"/>
        <v>2</v>
      </c>
      <c r="Q49" s="166">
        <f t="shared" si="48"/>
        <v>-13</v>
      </c>
      <c r="R49" s="166">
        <f t="shared" si="48"/>
        <v>5800</v>
      </c>
      <c r="S49" s="166">
        <f t="shared" ref="S49:T49" si="49">S21+S25+S31+S37+S39+S40+S41+S48</f>
        <v>-64040</v>
      </c>
      <c r="T49" s="166">
        <f t="shared" si="49"/>
        <v>-315</v>
      </c>
      <c r="U49" s="166">
        <f t="shared" ref="U49:V49" si="50">U21+U25+U31+U37+U39+U40+U41+U48</f>
        <v>1079</v>
      </c>
      <c r="V49" s="166">
        <f t="shared" si="50"/>
        <v>-167</v>
      </c>
      <c r="W49" s="166">
        <f>W21+W25+W31+W37+W39+W40+W41+W48</f>
        <v>0</v>
      </c>
      <c r="X49" s="166">
        <f>X21+X25+X31+X37+X39+X40+X41+X48</f>
        <v>348</v>
      </c>
      <c r="Y49" s="166">
        <f t="shared" si="48"/>
        <v>874</v>
      </c>
      <c r="Z49" s="166">
        <f t="shared" ref="Z49" si="51">Z21+Z25+Z31+Z37+Z39+Z40+Z41+Z48</f>
        <v>-10</v>
      </c>
      <c r="AA49" s="166">
        <f t="shared" si="48"/>
        <v>-176</v>
      </c>
      <c r="AB49" s="166">
        <f t="shared" ref="AB49" si="52">AB21+AB25+AB31+AB37+AB39+AB40+AB41+AB48</f>
        <v>0</v>
      </c>
      <c r="AC49" s="166">
        <f t="shared" si="48"/>
        <v>429</v>
      </c>
      <c r="AD49" s="166">
        <f t="shared" ref="AD49" si="53">AD21+AD25+AD31+AD37+AD39+AD40+AD41+AD48</f>
        <v>201</v>
      </c>
      <c r="AE49" s="166">
        <f t="shared" ref="AE49:AH49" si="54">AE21+AE25+AE31+AE37+AE39+AE40+AE41+AE48</f>
        <v>-66555</v>
      </c>
      <c r="AF49" s="166">
        <f t="shared" si="54"/>
        <v>-1079</v>
      </c>
      <c r="AG49" s="166">
        <f t="shared" si="54"/>
        <v>490</v>
      </c>
      <c r="AH49" s="166">
        <f t="shared" si="54"/>
        <v>0</v>
      </c>
      <c r="AI49" s="166">
        <f t="shared" ref="AI49" si="55">AI21+AI25+AI31+AI37+AI39+AI40+AI41+AI48</f>
        <v>584</v>
      </c>
      <c r="AJ49" s="166">
        <f t="shared" ref="AJ49" si="56">AJ21+AJ25+AJ31+AJ37+AJ39+AJ40+AJ41+AJ48</f>
        <v>0</v>
      </c>
    </row>
    <row r="50" spans="1:36">
      <c r="C50" s="151"/>
      <c r="D50" s="151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</row>
    <row r="51" spans="1:36" ht="13.05" customHeight="1">
      <c r="A51" s="149">
        <v>26</v>
      </c>
      <c r="B51" s="125" t="s">
        <v>55</v>
      </c>
      <c r="C51" s="151"/>
      <c r="D51" s="151"/>
      <c r="E51" s="165">
        <f>E18-E49</f>
        <v>32523</v>
      </c>
      <c r="F51" s="165">
        <f t="shared" ref="F51:AC51" si="57">F18-F49</f>
        <v>0</v>
      </c>
      <c r="G51" s="165">
        <f t="shared" si="57"/>
        <v>-2</v>
      </c>
      <c r="H51" s="165">
        <f t="shared" si="57"/>
        <v>0</v>
      </c>
      <c r="I51" s="165">
        <f t="shared" si="57"/>
        <v>-32</v>
      </c>
      <c r="J51" s="165">
        <f t="shared" si="57"/>
        <v>-259</v>
      </c>
      <c r="K51" s="165">
        <f t="shared" si="57"/>
        <v>386</v>
      </c>
      <c r="L51" s="165">
        <f t="shared" si="57"/>
        <v>3</v>
      </c>
      <c r="M51" s="165">
        <f t="shared" si="57"/>
        <v>-76</v>
      </c>
      <c r="N51" s="165">
        <f t="shared" si="57"/>
        <v>0</v>
      </c>
      <c r="O51" s="165">
        <f t="shared" si="57"/>
        <v>9</v>
      </c>
      <c r="P51" s="165">
        <f t="shared" si="57"/>
        <v>-2</v>
      </c>
      <c r="Q51" s="165">
        <f t="shared" si="57"/>
        <v>13</v>
      </c>
      <c r="R51" s="165">
        <f t="shared" si="57"/>
        <v>-18</v>
      </c>
      <c r="S51" s="165">
        <f t="shared" ref="S51:T51" si="58">S18-S49</f>
        <v>-476</v>
      </c>
      <c r="T51" s="165">
        <f t="shared" si="58"/>
        <v>315</v>
      </c>
      <c r="U51" s="165">
        <f t="shared" ref="U51:V51" si="59">U18-U49</f>
        <v>-1079</v>
      </c>
      <c r="V51" s="165">
        <f t="shared" si="59"/>
        <v>167</v>
      </c>
      <c r="W51" s="165">
        <f>W18-W49</f>
        <v>0</v>
      </c>
      <c r="X51" s="165">
        <f>X18-X49</f>
        <v>-348</v>
      </c>
      <c r="Y51" s="165">
        <f t="shared" si="57"/>
        <v>-874</v>
      </c>
      <c r="Z51" s="165">
        <f t="shared" ref="Z51" si="60">Z18-Z49</f>
        <v>10</v>
      </c>
      <c r="AA51" s="165">
        <f t="shared" si="57"/>
        <v>176</v>
      </c>
      <c r="AB51" s="165">
        <f t="shared" ref="AB51" si="61">AB18-AB49</f>
        <v>0</v>
      </c>
      <c r="AC51" s="165">
        <f t="shared" si="57"/>
        <v>-429</v>
      </c>
      <c r="AD51" s="165">
        <f t="shared" ref="AD51" si="62">AD18-AD49</f>
        <v>-201</v>
      </c>
      <c r="AE51" s="165">
        <f t="shared" ref="AE51:AH51" si="63">AE18-AE49</f>
        <v>-836</v>
      </c>
      <c r="AF51" s="165">
        <f t="shared" si="63"/>
        <v>1079</v>
      </c>
      <c r="AG51" s="165">
        <f t="shared" si="63"/>
        <v>-490</v>
      </c>
      <c r="AH51" s="165">
        <f t="shared" si="63"/>
        <v>0</v>
      </c>
      <c r="AI51" s="165">
        <f t="shared" ref="AI51" si="64">AI18-AI49</f>
        <v>-584</v>
      </c>
      <c r="AJ51" s="165">
        <f t="shared" ref="AJ51" si="65">AJ18-AJ49</f>
        <v>0</v>
      </c>
    </row>
    <row r="52" spans="1:36" ht="13.05" customHeight="1">
      <c r="C52" s="151"/>
      <c r="D52" s="151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</row>
    <row r="53" spans="1:36" ht="13.05" customHeight="1">
      <c r="B53" s="125" t="s">
        <v>56</v>
      </c>
      <c r="C53" s="151"/>
      <c r="D53" s="151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</row>
    <row r="54" spans="1:36">
      <c r="A54" s="149">
        <v>27</v>
      </c>
      <c r="B54" s="151" t="s">
        <v>57</v>
      </c>
      <c r="D54" s="151"/>
      <c r="E54" s="165">
        <f>'ADJ DETAIL INPUT'!E54</f>
        <v>-841</v>
      </c>
      <c r="F54" s="165">
        <f>'ADJ DETAIL INPUT'!F54</f>
        <v>0</v>
      </c>
      <c r="G54" s="165">
        <f>'ADJ DETAIL INPUT'!G54</f>
        <v>-0.7</v>
      </c>
      <c r="H54" s="165">
        <f>'ADJ DETAIL INPUT'!H54</f>
        <v>0</v>
      </c>
      <c r="I54" s="165">
        <f>'ADJ DETAIL INPUT'!I54</f>
        <v>-11.2</v>
      </c>
      <c r="J54" s="165">
        <f>'ADJ DETAIL INPUT'!J54</f>
        <v>-90.649999999999991</v>
      </c>
      <c r="K54" s="165">
        <f>'ADJ DETAIL INPUT'!K54</f>
        <v>135.1</v>
      </c>
      <c r="L54" s="165">
        <f>'ADJ DETAIL INPUT'!L54</f>
        <v>1.0499999999999998</v>
      </c>
      <c r="M54" s="165">
        <f>'ADJ DETAIL INPUT'!M54</f>
        <v>-26.599999999999998</v>
      </c>
      <c r="N54" s="165">
        <f>'ADJ DETAIL INPUT'!N54</f>
        <v>0</v>
      </c>
      <c r="O54" s="165">
        <f>'ADJ DETAIL INPUT'!O54</f>
        <v>3.15</v>
      </c>
      <c r="P54" s="165">
        <f>'ADJ DETAIL INPUT'!P54</f>
        <v>-0.7</v>
      </c>
      <c r="Q54" s="165">
        <f>'ADJ DETAIL INPUT'!Q54</f>
        <v>4.55</v>
      </c>
      <c r="R54" s="165">
        <f>'ADJ DETAIL INPUT'!R54</f>
        <v>-6.3</v>
      </c>
      <c r="S54" s="165">
        <f>'ADJ DETAIL INPUT'!S54</f>
        <v>-166.6</v>
      </c>
      <c r="T54" s="165">
        <f>'ADJ DETAIL INPUT'!T54</f>
        <v>110.25</v>
      </c>
      <c r="U54" s="165">
        <f>'ADJ DETAIL INPUT'!U54</f>
        <v>-377.65</v>
      </c>
      <c r="V54" s="165">
        <f>'ADJ DETAIL INPUT'!V54</f>
        <v>58.449999999999996</v>
      </c>
      <c r="W54" s="165">
        <f>'ADJ DETAIL INPUT'!W54</f>
        <v>-67</v>
      </c>
      <c r="X54" s="165">
        <f>'ADJ DETAIL INPUT'!Z54</f>
        <v>-121.8</v>
      </c>
      <c r="Y54" s="165">
        <f>'ADJ DETAIL INPUT'!AA54</f>
        <v>-305.89999999999998</v>
      </c>
      <c r="Z54" s="165">
        <f>'ADJ DETAIL INPUT'!AB54</f>
        <v>3.5</v>
      </c>
      <c r="AA54" s="165">
        <f>'ADJ DETAIL INPUT'!AC54</f>
        <v>61.599999999999994</v>
      </c>
      <c r="AB54" s="165">
        <f>'ADJ DETAIL INPUT'!AD54</f>
        <v>0</v>
      </c>
      <c r="AC54" s="165">
        <f>'ADJ DETAIL INPUT'!AE54</f>
        <v>-150.14999999999998</v>
      </c>
      <c r="AD54" s="165">
        <f>'ADJ DETAIL INPUT'!AF54</f>
        <v>-70.349999999999994</v>
      </c>
      <c r="AE54" s="165">
        <f>'ADJ DETAIL INPUT'!AG54</f>
        <v>-292.59999999999997</v>
      </c>
      <c r="AF54" s="165">
        <f>'ADJ DETAIL INPUT'!AH54</f>
        <v>377.65</v>
      </c>
      <c r="AG54" s="165">
        <f>'ADJ DETAIL INPUT'!AI54</f>
        <v>-171.5</v>
      </c>
      <c r="AH54" s="165">
        <f>'ADJ DETAIL INPUT'!AJ54</f>
        <v>0</v>
      </c>
      <c r="AI54" s="165">
        <f>'ADJ DETAIL INPUT'!AL54</f>
        <v>-204.39999999999998</v>
      </c>
      <c r="AJ54" s="165">
        <f>'ADJ DETAIL INPUT'!AO54</f>
        <v>0</v>
      </c>
    </row>
    <row r="55" spans="1:36">
      <c r="A55" s="149">
        <v>28</v>
      </c>
      <c r="B55" s="151" t="s">
        <v>195</v>
      </c>
      <c r="D55" s="151"/>
      <c r="E55" s="165">
        <f>'ADJ DETAIL INPUT'!E55</f>
        <v>0</v>
      </c>
      <c r="F55" s="165">
        <f>'ADJ DETAIL INPUT'!F55</f>
        <v>3.1701897499999996</v>
      </c>
      <c r="G55" s="165">
        <f>'ADJ DETAIL INPUT'!G55</f>
        <v>0</v>
      </c>
      <c r="H55" s="165">
        <f>'ADJ DETAIL INPUT'!H55</f>
        <v>40.793026259999991</v>
      </c>
      <c r="I55" s="165">
        <f>'ADJ DETAIL INPUT'!I55</f>
        <v>0</v>
      </c>
      <c r="J55" s="165">
        <f>'ADJ DETAIL INPUT'!J55</f>
        <v>0</v>
      </c>
      <c r="K55" s="165">
        <f>'ADJ DETAIL INPUT'!K55</f>
        <v>0</v>
      </c>
      <c r="L55" s="165">
        <f>'ADJ DETAIL INPUT'!L55</f>
        <v>0</v>
      </c>
      <c r="M55" s="165">
        <f>'ADJ DETAIL INPUT'!M55</f>
        <v>0</v>
      </c>
      <c r="N55" s="165">
        <f>'ADJ DETAIL INPUT'!N55</f>
        <v>0</v>
      </c>
      <c r="O55" s="165">
        <f>'ADJ DETAIL INPUT'!O55</f>
        <v>0</v>
      </c>
      <c r="P55" s="165">
        <f>'ADJ DETAIL INPUT'!P55</f>
        <v>0</v>
      </c>
      <c r="Q55" s="165">
        <f>'ADJ DETAIL INPUT'!Q55</f>
        <v>0</v>
      </c>
      <c r="R55" s="165">
        <f>'ADJ DETAIL INPUT'!R55</f>
        <v>0</v>
      </c>
      <c r="S55" s="165">
        <f>'ADJ DETAIL INPUT'!S55</f>
        <v>0</v>
      </c>
      <c r="T55" s="165">
        <f>'ADJ DETAIL INPUT'!T55</f>
        <v>0</v>
      </c>
      <c r="U55" s="165">
        <f>'ADJ DETAIL INPUT'!U55</f>
        <v>0</v>
      </c>
      <c r="V55" s="165">
        <f>'ADJ DETAIL INPUT'!V55</f>
        <v>0</v>
      </c>
      <c r="W55" s="165">
        <f>'ADJ DETAIL INPUT'!W55</f>
        <v>0</v>
      </c>
      <c r="X55" s="165">
        <f>'ADJ DETAIL INPUT'!Z55</f>
        <v>0</v>
      </c>
      <c r="Y55" s="165">
        <f>'ADJ DETAIL INPUT'!AA55</f>
        <v>0</v>
      </c>
      <c r="Z55" s="165">
        <f>'ADJ DETAIL INPUT'!AB55</f>
        <v>0</v>
      </c>
      <c r="AA55" s="165">
        <f>'ADJ DETAIL INPUT'!AC55</f>
        <v>0</v>
      </c>
      <c r="AB55" s="165">
        <f>'ADJ DETAIL INPUT'!AD55</f>
        <v>0</v>
      </c>
      <c r="AC55" s="165">
        <f>'ADJ DETAIL INPUT'!AE55</f>
        <v>0</v>
      </c>
      <c r="AD55" s="165">
        <f>'ADJ DETAIL INPUT'!AF55</f>
        <v>0</v>
      </c>
      <c r="AE55" s="165">
        <f>'ADJ DETAIL INPUT'!AG55</f>
        <v>0</v>
      </c>
      <c r="AF55" s="165">
        <f>'ADJ DETAIL INPUT'!AH55</f>
        <v>0</v>
      </c>
      <c r="AG55" s="165">
        <f>'ADJ DETAIL INPUT'!AI55</f>
        <v>-76.786872959999982</v>
      </c>
      <c r="AH55" s="165">
        <f>'ADJ DETAIL INPUT'!AJ55</f>
        <v>0</v>
      </c>
      <c r="AI55" s="165">
        <f>'ADJ DETAIL INPUT'!AL55</f>
        <v>-14.378029819999997</v>
      </c>
      <c r="AJ55" s="165">
        <f>'ADJ DETAIL INPUT'!AO55</f>
        <v>0</v>
      </c>
    </row>
    <row r="56" spans="1:36">
      <c r="A56" s="149">
        <v>29</v>
      </c>
      <c r="B56" s="151" t="s">
        <v>58</v>
      </c>
      <c r="D56" s="151"/>
      <c r="E56" s="165">
        <f>'ADJ DETAIL INPUT'!E56</f>
        <v>9923</v>
      </c>
      <c r="F56" s="165">
        <f>'ADJ DETAIL INPUT'!F56</f>
        <v>0</v>
      </c>
      <c r="G56" s="165">
        <f>'ADJ DETAIL INPUT'!G56</f>
        <v>0</v>
      </c>
      <c r="H56" s="165">
        <f>'ADJ DETAIL INPUT'!H56</f>
        <v>0</v>
      </c>
      <c r="I56" s="165">
        <f>'ADJ DETAIL INPUT'!I56</f>
        <v>0</v>
      </c>
      <c r="J56" s="165">
        <f>'ADJ DETAIL INPUT'!J56</f>
        <v>0</v>
      </c>
      <c r="K56" s="165">
        <f>'ADJ DETAIL INPUT'!K56</f>
        <v>0</v>
      </c>
      <c r="L56" s="165">
        <f>'ADJ DETAIL INPUT'!L56</f>
        <v>0</v>
      </c>
      <c r="M56" s="165">
        <f>'ADJ DETAIL INPUT'!M56</f>
        <v>0</v>
      </c>
      <c r="N56" s="165">
        <f>'ADJ DETAIL INPUT'!N56</f>
        <v>0</v>
      </c>
      <c r="O56" s="165">
        <f>'ADJ DETAIL INPUT'!O56</f>
        <v>0</v>
      </c>
      <c r="P56" s="165">
        <f>'ADJ DETAIL INPUT'!P56</f>
        <v>0</v>
      </c>
      <c r="Q56" s="165">
        <f>'ADJ DETAIL INPUT'!Q56</f>
        <v>0</v>
      </c>
      <c r="R56" s="165">
        <f>'ADJ DETAIL INPUT'!R56</f>
        <v>0</v>
      </c>
      <c r="S56" s="165">
        <f>'ADJ DETAIL INPUT'!S56</f>
        <v>0</v>
      </c>
      <c r="T56" s="165">
        <f>'ADJ DETAIL INPUT'!T56</f>
        <v>0</v>
      </c>
      <c r="U56" s="165">
        <f>'ADJ DETAIL INPUT'!U56</f>
        <v>0</v>
      </c>
      <c r="V56" s="165">
        <f>'ADJ DETAIL INPUT'!V56</f>
        <v>0</v>
      </c>
      <c r="W56" s="165">
        <f>'ADJ DETAIL INPUT'!W56</f>
        <v>0</v>
      </c>
      <c r="X56" s="165">
        <f>'ADJ DETAIL INPUT'!Z56</f>
        <v>0</v>
      </c>
      <c r="Y56" s="165">
        <f>'ADJ DETAIL INPUT'!AA56</f>
        <v>0</v>
      </c>
      <c r="Z56" s="165">
        <f>'ADJ DETAIL INPUT'!AB56</f>
        <v>0</v>
      </c>
      <c r="AA56" s="165">
        <f>'ADJ DETAIL INPUT'!AC56</f>
        <v>0</v>
      </c>
      <c r="AB56" s="165">
        <f>'ADJ DETAIL INPUT'!AD56</f>
        <v>0</v>
      </c>
      <c r="AC56" s="165">
        <f>'ADJ DETAIL INPUT'!AE56</f>
        <v>0</v>
      </c>
      <c r="AD56" s="165">
        <f>'ADJ DETAIL INPUT'!AF56</f>
        <v>0</v>
      </c>
      <c r="AE56" s="165">
        <f>'ADJ DETAIL INPUT'!AG56</f>
        <v>0</v>
      </c>
      <c r="AF56" s="165">
        <f>'ADJ DETAIL INPUT'!AH56</f>
        <v>0</v>
      </c>
      <c r="AG56" s="165">
        <f>'ADJ DETAIL INPUT'!AI56</f>
        <v>0</v>
      </c>
      <c r="AH56" s="165">
        <f>'ADJ DETAIL INPUT'!AJ56</f>
        <v>0</v>
      </c>
      <c r="AI56" s="165">
        <f>'ADJ DETAIL INPUT'!AL56</f>
        <v>0</v>
      </c>
      <c r="AJ56" s="165">
        <f>'ADJ DETAIL INPUT'!AO56</f>
        <v>0</v>
      </c>
    </row>
    <row r="57" spans="1:36">
      <c r="A57" s="149">
        <v>30</v>
      </c>
      <c r="B57" s="151" t="s">
        <v>59</v>
      </c>
      <c r="D57" s="151"/>
      <c r="E57" s="166">
        <f>'ADJ DETAIL INPUT'!E57</f>
        <v>-17</v>
      </c>
      <c r="F57" s="166">
        <f>'ADJ DETAIL INPUT'!F57</f>
        <v>0</v>
      </c>
      <c r="G57" s="166">
        <f>'ADJ DETAIL INPUT'!G57</f>
        <v>0</v>
      </c>
      <c r="H57" s="166">
        <f>'ADJ DETAIL INPUT'!H57</f>
        <v>0</v>
      </c>
      <c r="I57" s="166">
        <f>'ADJ DETAIL INPUT'!I57</f>
        <v>0</v>
      </c>
      <c r="J57" s="166">
        <f>'ADJ DETAIL INPUT'!J57</f>
        <v>0</v>
      </c>
      <c r="K57" s="166">
        <f>'ADJ DETAIL INPUT'!K57</f>
        <v>0</v>
      </c>
      <c r="L57" s="166">
        <f>'ADJ DETAIL INPUT'!L57</f>
        <v>0</v>
      </c>
      <c r="M57" s="166">
        <f>'ADJ DETAIL INPUT'!M57</f>
        <v>0</v>
      </c>
      <c r="N57" s="166">
        <f>'ADJ DETAIL INPUT'!N57</f>
        <v>0</v>
      </c>
      <c r="O57" s="166">
        <f>'ADJ DETAIL INPUT'!O57</f>
        <v>0</v>
      </c>
      <c r="P57" s="166">
        <f>'ADJ DETAIL INPUT'!P57</f>
        <v>0</v>
      </c>
      <c r="Q57" s="166">
        <f>'ADJ DETAIL INPUT'!Q57</f>
        <v>0</v>
      </c>
      <c r="R57" s="166">
        <f>'ADJ DETAIL INPUT'!R57</f>
        <v>0</v>
      </c>
      <c r="S57" s="166">
        <f>'ADJ DETAIL INPUT'!S57</f>
        <v>0</v>
      </c>
      <c r="T57" s="166">
        <f>'ADJ DETAIL INPUT'!T57</f>
        <v>0</v>
      </c>
      <c r="U57" s="166">
        <f>'ADJ DETAIL INPUT'!U57</f>
        <v>0</v>
      </c>
      <c r="V57" s="166">
        <f>'ADJ DETAIL INPUT'!V57</f>
        <v>0</v>
      </c>
      <c r="W57" s="166">
        <f>'ADJ DETAIL INPUT'!W57</f>
        <v>0</v>
      </c>
      <c r="X57" s="166">
        <f>'ADJ DETAIL INPUT'!Z57</f>
        <v>0</v>
      </c>
      <c r="Y57" s="166">
        <f>'ADJ DETAIL INPUT'!AA57</f>
        <v>0</v>
      </c>
      <c r="Z57" s="166">
        <f>'ADJ DETAIL INPUT'!AB57</f>
        <v>0</v>
      </c>
      <c r="AA57" s="166">
        <f>'ADJ DETAIL INPUT'!AC57</f>
        <v>0</v>
      </c>
      <c r="AB57" s="166">
        <f>'ADJ DETAIL INPUT'!AD57</f>
        <v>0</v>
      </c>
      <c r="AC57" s="166">
        <f>'ADJ DETAIL INPUT'!AE57</f>
        <v>0</v>
      </c>
      <c r="AD57" s="166">
        <f>'ADJ DETAIL INPUT'!AF57</f>
        <v>0</v>
      </c>
      <c r="AE57" s="166">
        <f>'ADJ DETAIL INPUT'!AG57</f>
        <v>0</v>
      </c>
      <c r="AF57" s="166">
        <f>'ADJ DETAIL INPUT'!AH57</f>
        <v>0</v>
      </c>
      <c r="AG57" s="166">
        <f>'ADJ DETAIL INPUT'!AI57</f>
        <v>0</v>
      </c>
      <c r="AH57" s="166">
        <f>'ADJ DETAIL INPUT'!AJ57</f>
        <v>0</v>
      </c>
      <c r="AI57" s="166">
        <f>'ADJ DETAIL INPUT'!AL57</f>
        <v>0</v>
      </c>
      <c r="AJ57" s="166">
        <f>'ADJ DETAIL INPUT'!AO57</f>
        <v>0</v>
      </c>
    </row>
    <row r="58" spans="1:36"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</row>
    <row r="59" spans="1:36" s="150" customFormat="1" ht="12.6" thickBot="1">
      <c r="A59" s="149">
        <v>31</v>
      </c>
      <c r="B59" s="150" t="s">
        <v>60</v>
      </c>
      <c r="E59" s="288">
        <f>E51-SUM(E54:E57)</f>
        <v>23458</v>
      </c>
      <c r="F59" s="288">
        <f t="shared" ref="F59:AC59" si="66">F51-SUM(F54:F57)</f>
        <v>-3.1701897499999996</v>
      </c>
      <c r="G59" s="288">
        <f t="shared" si="66"/>
        <v>-1.3</v>
      </c>
      <c r="H59" s="288">
        <f t="shared" si="66"/>
        <v>-40.793026259999991</v>
      </c>
      <c r="I59" s="288">
        <f t="shared" si="66"/>
        <v>-20.8</v>
      </c>
      <c r="J59" s="288">
        <f t="shared" si="66"/>
        <v>-168.35000000000002</v>
      </c>
      <c r="K59" s="288">
        <f t="shared" si="66"/>
        <v>250.9</v>
      </c>
      <c r="L59" s="288">
        <f t="shared" si="66"/>
        <v>1.9500000000000002</v>
      </c>
      <c r="M59" s="288">
        <f t="shared" si="66"/>
        <v>-49.400000000000006</v>
      </c>
      <c r="N59" s="288">
        <f t="shared" si="66"/>
        <v>0</v>
      </c>
      <c r="O59" s="288">
        <f t="shared" si="66"/>
        <v>5.85</v>
      </c>
      <c r="P59" s="288">
        <f t="shared" si="66"/>
        <v>-1.3</v>
      </c>
      <c r="Q59" s="288">
        <f t="shared" si="66"/>
        <v>8.4499999999999993</v>
      </c>
      <c r="R59" s="288">
        <f t="shared" si="66"/>
        <v>-11.7</v>
      </c>
      <c r="S59" s="288">
        <f t="shared" ref="S59:T59" si="67">S51-SUM(S54:S57)</f>
        <v>-309.39999999999998</v>
      </c>
      <c r="T59" s="288">
        <f t="shared" si="67"/>
        <v>204.75</v>
      </c>
      <c r="U59" s="288">
        <f t="shared" ref="U59:V59" si="68">U51-SUM(U54:U57)</f>
        <v>-701.35</v>
      </c>
      <c r="V59" s="288">
        <f t="shared" si="68"/>
        <v>108.55000000000001</v>
      </c>
      <c r="W59" s="288">
        <f>W51-SUM(W54:W57)</f>
        <v>67</v>
      </c>
      <c r="X59" s="288">
        <f>X51-SUM(X54:X57)</f>
        <v>-226.2</v>
      </c>
      <c r="Y59" s="288">
        <f t="shared" si="66"/>
        <v>-568.1</v>
      </c>
      <c r="Z59" s="288">
        <f t="shared" ref="Z59" si="69">Z51-SUM(Z54:Z57)</f>
        <v>6.5</v>
      </c>
      <c r="AA59" s="288">
        <f t="shared" si="66"/>
        <v>114.4</v>
      </c>
      <c r="AB59" s="288">
        <f t="shared" ref="AB59" si="70">AB51-SUM(AB54:AB57)</f>
        <v>0</v>
      </c>
      <c r="AC59" s="288">
        <f t="shared" si="66"/>
        <v>-278.85000000000002</v>
      </c>
      <c r="AD59" s="288">
        <f t="shared" ref="AD59" si="71">AD51-SUM(AD54:AD57)</f>
        <v>-130.65</v>
      </c>
      <c r="AE59" s="288">
        <f t="shared" ref="AE59:AH59" si="72">AE51-SUM(AE54:AE57)</f>
        <v>-543.40000000000009</v>
      </c>
      <c r="AF59" s="288">
        <f t="shared" si="72"/>
        <v>701.35</v>
      </c>
      <c r="AG59" s="288">
        <f t="shared" si="72"/>
        <v>-241.71312704000002</v>
      </c>
      <c r="AH59" s="288">
        <f t="shared" si="72"/>
        <v>0</v>
      </c>
      <c r="AI59" s="288">
        <f t="shared" ref="AI59" si="73">AI51-SUM(AI54:AI57)</f>
        <v>-365.22197018000003</v>
      </c>
      <c r="AJ59" s="288">
        <f t="shared" ref="AJ59" si="74">AJ51-SUM(AJ54:AJ57)</f>
        <v>0</v>
      </c>
    </row>
    <row r="60" spans="1:36" ht="12.6" thickTop="1"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</row>
    <row r="61" spans="1:36">
      <c r="B61" s="125" t="s">
        <v>107</v>
      </c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</row>
    <row r="62" spans="1:36">
      <c r="B62" s="125" t="s">
        <v>108</v>
      </c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</row>
    <row r="63" spans="1:36">
      <c r="A63" s="149">
        <v>32</v>
      </c>
      <c r="B63" s="151"/>
      <c r="C63" s="151" t="s">
        <v>43</v>
      </c>
      <c r="D63" s="151"/>
      <c r="E63" s="245">
        <f>'ADJ DETAIL INPUT'!E63</f>
        <v>26868</v>
      </c>
      <c r="F63" s="245">
        <f>'ADJ DETAIL INPUT'!F63</f>
        <v>0</v>
      </c>
      <c r="G63" s="245">
        <f>'ADJ DETAIL INPUT'!G63</f>
        <v>0</v>
      </c>
      <c r="H63" s="245">
        <f>'ADJ DETAIL INPUT'!H63</f>
        <v>0</v>
      </c>
      <c r="I63" s="245">
        <f>'ADJ DETAIL INPUT'!I63</f>
        <v>0</v>
      </c>
      <c r="J63" s="245">
        <f>'ADJ DETAIL INPUT'!J63</f>
        <v>0</v>
      </c>
      <c r="K63" s="245">
        <f>'ADJ DETAIL INPUT'!K63</f>
        <v>0</v>
      </c>
      <c r="L63" s="245">
        <f>'ADJ DETAIL INPUT'!L63</f>
        <v>0</v>
      </c>
      <c r="M63" s="245">
        <f>'ADJ DETAIL INPUT'!M63</f>
        <v>0</v>
      </c>
      <c r="N63" s="245">
        <f>'ADJ DETAIL INPUT'!N63</f>
        <v>0</v>
      </c>
      <c r="O63" s="245">
        <f>'ADJ DETAIL INPUT'!O63</f>
        <v>0</v>
      </c>
      <c r="P63" s="245">
        <f>'ADJ DETAIL INPUT'!P63</f>
        <v>0</v>
      </c>
      <c r="Q63" s="245">
        <f>'ADJ DETAIL INPUT'!Q63</f>
        <v>0</v>
      </c>
      <c r="R63" s="245">
        <f>'ADJ DETAIL INPUT'!R63</f>
        <v>0</v>
      </c>
      <c r="S63" s="245">
        <f>'ADJ DETAIL INPUT'!S63</f>
        <v>0</v>
      </c>
      <c r="T63" s="245">
        <f>'ADJ DETAIL INPUT'!T63</f>
        <v>0</v>
      </c>
      <c r="U63" s="245">
        <f>'ADJ DETAIL INPUT'!U63</f>
        <v>0</v>
      </c>
      <c r="V63" s="245">
        <f>'ADJ DETAIL INPUT'!V63</f>
        <v>0</v>
      </c>
      <c r="W63" s="245">
        <f>'ADJ DETAIL INPUT'!W63</f>
        <v>0</v>
      </c>
      <c r="X63" s="245">
        <f>'ADJ DETAIL INPUT'!Z63</f>
        <v>0</v>
      </c>
      <c r="Y63" s="245">
        <f>'ADJ DETAIL INPUT'!AA63</f>
        <v>0</v>
      </c>
      <c r="Z63" s="245">
        <f>'ADJ DETAIL INPUT'!AB63</f>
        <v>0</v>
      </c>
      <c r="AA63" s="245">
        <f>'ADJ DETAIL INPUT'!AC63</f>
        <v>0</v>
      </c>
      <c r="AB63" s="245">
        <f>'ADJ DETAIL INPUT'!AD63</f>
        <v>0</v>
      </c>
      <c r="AC63" s="245">
        <f>'ADJ DETAIL INPUT'!AE63</f>
        <v>0</v>
      </c>
      <c r="AD63" s="245">
        <f>'ADJ DETAIL INPUT'!AF63</f>
        <v>0</v>
      </c>
      <c r="AE63" s="245">
        <f>'ADJ DETAIL INPUT'!AG63</f>
        <v>0</v>
      </c>
      <c r="AF63" s="245">
        <f>'ADJ DETAIL INPUT'!AH63</f>
        <v>0</v>
      </c>
      <c r="AG63" s="245">
        <f>'ADJ DETAIL INPUT'!AI63</f>
        <v>0</v>
      </c>
      <c r="AH63" s="245">
        <f>'ADJ DETAIL INPUT'!AJ63</f>
        <v>0</v>
      </c>
      <c r="AI63" s="245">
        <f>'ADJ DETAIL INPUT'!AL63</f>
        <v>0</v>
      </c>
      <c r="AJ63" s="245">
        <f>'ADJ DETAIL INPUT'!AO63</f>
        <v>0</v>
      </c>
    </row>
    <row r="64" spans="1:36">
      <c r="A64" s="149">
        <v>33</v>
      </c>
      <c r="B64" s="151"/>
      <c r="C64" s="151" t="s">
        <v>62</v>
      </c>
      <c r="D64" s="151"/>
      <c r="E64" s="165">
        <f>'ADJ DETAIL INPUT'!E64</f>
        <v>390508</v>
      </c>
      <c r="F64" s="165">
        <f>'ADJ DETAIL INPUT'!F64</f>
        <v>0</v>
      </c>
      <c r="G64" s="165">
        <f>'ADJ DETAIL INPUT'!G64</f>
        <v>0</v>
      </c>
      <c r="H64" s="165">
        <f>'ADJ DETAIL INPUT'!H64</f>
        <v>0</v>
      </c>
      <c r="I64" s="165">
        <f>'ADJ DETAIL INPUT'!I64</f>
        <v>0</v>
      </c>
      <c r="J64" s="165">
        <f>'ADJ DETAIL INPUT'!J64</f>
        <v>0</v>
      </c>
      <c r="K64" s="165">
        <f>'ADJ DETAIL INPUT'!K64</f>
        <v>0</v>
      </c>
      <c r="L64" s="165">
        <f>'ADJ DETAIL INPUT'!L64</f>
        <v>0</v>
      </c>
      <c r="M64" s="165">
        <f>'ADJ DETAIL INPUT'!M64</f>
        <v>0</v>
      </c>
      <c r="N64" s="165">
        <f>'ADJ DETAIL INPUT'!N64</f>
        <v>0</v>
      </c>
      <c r="O64" s="165">
        <f>'ADJ DETAIL INPUT'!O64</f>
        <v>0</v>
      </c>
      <c r="P64" s="165">
        <f>'ADJ DETAIL INPUT'!P64</f>
        <v>0</v>
      </c>
      <c r="Q64" s="165">
        <f>'ADJ DETAIL INPUT'!Q64</f>
        <v>0</v>
      </c>
      <c r="R64" s="165">
        <f>'ADJ DETAIL INPUT'!R64</f>
        <v>0</v>
      </c>
      <c r="S64" s="165">
        <f>'ADJ DETAIL INPUT'!S64</f>
        <v>0</v>
      </c>
      <c r="T64" s="165">
        <f>'ADJ DETAIL INPUT'!T64</f>
        <v>0</v>
      </c>
      <c r="U64" s="165">
        <f>'ADJ DETAIL INPUT'!U64</f>
        <v>0</v>
      </c>
      <c r="V64" s="165">
        <f>'ADJ DETAIL INPUT'!V64</f>
        <v>0</v>
      </c>
      <c r="W64" s="165">
        <f>'ADJ DETAIL INPUT'!W64</f>
        <v>0</v>
      </c>
      <c r="X64" s="165">
        <f>'ADJ DETAIL INPUT'!Z64</f>
        <v>0</v>
      </c>
      <c r="Y64" s="165">
        <f>'ADJ DETAIL INPUT'!AA64</f>
        <v>0</v>
      </c>
      <c r="Z64" s="165">
        <f>'ADJ DETAIL INPUT'!AB64</f>
        <v>0</v>
      </c>
      <c r="AA64" s="165">
        <f>'ADJ DETAIL INPUT'!AC64</f>
        <v>0</v>
      </c>
      <c r="AB64" s="165">
        <f>'ADJ DETAIL INPUT'!AD64</f>
        <v>0</v>
      </c>
      <c r="AC64" s="165">
        <f>'ADJ DETAIL INPUT'!AE64</f>
        <v>0</v>
      </c>
      <c r="AD64" s="165">
        <f>'ADJ DETAIL INPUT'!AF64</f>
        <v>0</v>
      </c>
      <c r="AE64" s="165">
        <f>'ADJ DETAIL INPUT'!AG64</f>
        <v>0</v>
      </c>
      <c r="AF64" s="165">
        <f>'ADJ DETAIL INPUT'!AH64</f>
        <v>0</v>
      </c>
      <c r="AG64" s="165">
        <f>'ADJ DETAIL INPUT'!AI64</f>
        <v>8338</v>
      </c>
      <c r="AH64" s="165">
        <f>'ADJ DETAIL INPUT'!AJ64</f>
        <v>0</v>
      </c>
      <c r="AI64" s="165">
        <f>'ADJ DETAIL INPUT'!AL64</f>
        <v>0</v>
      </c>
      <c r="AJ64" s="165">
        <f>'ADJ DETAIL INPUT'!AO64</f>
        <v>0</v>
      </c>
    </row>
    <row r="65" spans="1:36">
      <c r="A65" s="149">
        <v>34</v>
      </c>
      <c r="B65" s="151"/>
      <c r="C65" s="151" t="s">
        <v>63</v>
      </c>
      <c r="D65" s="151"/>
      <c r="E65" s="166">
        <f>'ADJ DETAIL INPUT'!E65</f>
        <v>82624</v>
      </c>
      <c r="F65" s="166">
        <f>'ADJ DETAIL INPUT'!F65</f>
        <v>0</v>
      </c>
      <c r="G65" s="166">
        <f>'ADJ DETAIL INPUT'!G65</f>
        <v>0</v>
      </c>
      <c r="H65" s="166">
        <f>'ADJ DETAIL INPUT'!H65</f>
        <v>0</v>
      </c>
      <c r="I65" s="166">
        <f>'ADJ DETAIL INPUT'!I65</f>
        <v>0</v>
      </c>
      <c r="J65" s="166">
        <f>'ADJ DETAIL INPUT'!J65</f>
        <v>0</v>
      </c>
      <c r="K65" s="166">
        <f>'ADJ DETAIL INPUT'!K65</f>
        <v>0</v>
      </c>
      <c r="L65" s="166">
        <f>'ADJ DETAIL INPUT'!L65</f>
        <v>0</v>
      </c>
      <c r="M65" s="166">
        <f>'ADJ DETAIL INPUT'!M65</f>
        <v>0</v>
      </c>
      <c r="N65" s="166">
        <f>'ADJ DETAIL INPUT'!N65</f>
        <v>0</v>
      </c>
      <c r="O65" s="166">
        <f>'ADJ DETAIL INPUT'!O65</f>
        <v>0</v>
      </c>
      <c r="P65" s="166">
        <f>'ADJ DETAIL INPUT'!P65</f>
        <v>0</v>
      </c>
      <c r="Q65" s="166">
        <f>'ADJ DETAIL INPUT'!Q65</f>
        <v>0</v>
      </c>
      <c r="R65" s="166">
        <f>'ADJ DETAIL INPUT'!R65</f>
        <v>0</v>
      </c>
      <c r="S65" s="166">
        <f>'ADJ DETAIL INPUT'!S65</f>
        <v>0</v>
      </c>
      <c r="T65" s="166">
        <f>'ADJ DETAIL INPUT'!T65</f>
        <v>0</v>
      </c>
      <c r="U65" s="166">
        <f>'ADJ DETAIL INPUT'!U65</f>
        <v>0</v>
      </c>
      <c r="V65" s="166">
        <f>'ADJ DETAIL INPUT'!V65</f>
        <v>0</v>
      </c>
      <c r="W65" s="166">
        <f>'ADJ DETAIL INPUT'!W65</f>
        <v>0</v>
      </c>
      <c r="X65" s="166">
        <f>'ADJ DETAIL INPUT'!Z65</f>
        <v>0</v>
      </c>
      <c r="Y65" s="166">
        <f>'ADJ DETAIL INPUT'!AA65</f>
        <v>0</v>
      </c>
      <c r="Z65" s="166">
        <f>'ADJ DETAIL INPUT'!AB65</f>
        <v>0</v>
      </c>
      <c r="AA65" s="166">
        <f>'ADJ DETAIL INPUT'!AC65</f>
        <v>0</v>
      </c>
      <c r="AB65" s="166">
        <f>'ADJ DETAIL INPUT'!AD65</f>
        <v>0</v>
      </c>
      <c r="AC65" s="166">
        <f>'ADJ DETAIL INPUT'!AE65</f>
        <v>0</v>
      </c>
      <c r="AD65" s="166">
        <f>'ADJ DETAIL INPUT'!AF65</f>
        <v>0</v>
      </c>
      <c r="AE65" s="166">
        <f>'ADJ DETAIL INPUT'!AG65</f>
        <v>0</v>
      </c>
      <c r="AF65" s="166">
        <f>'ADJ DETAIL INPUT'!AH65</f>
        <v>0</v>
      </c>
      <c r="AG65" s="166">
        <f>'ADJ DETAIL INPUT'!AI65</f>
        <v>1570</v>
      </c>
      <c r="AH65" s="166">
        <f>'ADJ DETAIL INPUT'!AJ65</f>
        <v>0</v>
      </c>
      <c r="AI65" s="166">
        <f>'ADJ DETAIL INPUT'!AL65</f>
        <v>0</v>
      </c>
      <c r="AJ65" s="166">
        <f>'ADJ DETAIL INPUT'!AO65</f>
        <v>0</v>
      </c>
    </row>
    <row r="66" spans="1:36" ht="18" customHeight="1">
      <c r="A66" s="149">
        <v>35</v>
      </c>
      <c r="B66" s="151" t="s">
        <v>64</v>
      </c>
      <c r="C66" s="151"/>
      <c r="E66" s="165">
        <f>SUM(E63:E65)</f>
        <v>500000</v>
      </c>
      <c r="F66" s="165">
        <f t="shared" ref="F66:AC66" si="75">SUM(F63:F65)</f>
        <v>0</v>
      </c>
      <c r="G66" s="165">
        <f t="shared" si="75"/>
        <v>0</v>
      </c>
      <c r="H66" s="165">
        <f t="shared" si="75"/>
        <v>0</v>
      </c>
      <c r="I66" s="165">
        <f t="shared" si="75"/>
        <v>0</v>
      </c>
      <c r="J66" s="165">
        <f t="shared" si="75"/>
        <v>0</v>
      </c>
      <c r="K66" s="165">
        <f t="shared" si="75"/>
        <v>0</v>
      </c>
      <c r="L66" s="165">
        <f t="shared" si="75"/>
        <v>0</v>
      </c>
      <c r="M66" s="165">
        <f t="shared" si="75"/>
        <v>0</v>
      </c>
      <c r="N66" s="165">
        <f t="shared" si="75"/>
        <v>0</v>
      </c>
      <c r="O66" s="165">
        <f t="shared" si="75"/>
        <v>0</v>
      </c>
      <c r="P66" s="165">
        <f t="shared" si="75"/>
        <v>0</v>
      </c>
      <c r="Q66" s="165">
        <f t="shared" si="75"/>
        <v>0</v>
      </c>
      <c r="R66" s="165">
        <f t="shared" si="75"/>
        <v>0</v>
      </c>
      <c r="S66" s="165">
        <f t="shared" ref="S66:T66" si="76">SUM(S63:S65)</f>
        <v>0</v>
      </c>
      <c r="T66" s="165">
        <f t="shared" si="76"/>
        <v>0</v>
      </c>
      <c r="U66" s="165">
        <f t="shared" ref="U66:V66" si="77">SUM(U63:U65)</f>
        <v>0</v>
      </c>
      <c r="V66" s="165">
        <f t="shared" si="77"/>
        <v>0</v>
      </c>
      <c r="W66" s="165">
        <f>SUM(W63:W65)</f>
        <v>0</v>
      </c>
      <c r="X66" s="165">
        <f>SUM(X63:X65)</f>
        <v>0</v>
      </c>
      <c r="Y66" s="165">
        <f t="shared" si="75"/>
        <v>0</v>
      </c>
      <c r="Z66" s="165">
        <f t="shared" ref="Z66" si="78">SUM(Z63:Z65)</f>
        <v>0</v>
      </c>
      <c r="AA66" s="165">
        <f t="shared" si="75"/>
        <v>0</v>
      </c>
      <c r="AB66" s="165">
        <f t="shared" ref="AB66" si="79">SUM(AB63:AB65)</f>
        <v>0</v>
      </c>
      <c r="AC66" s="165">
        <f t="shared" si="75"/>
        <v>0</v>
      </c>
      <c r="AD66" s="165">
        <f t="shared" ref="AD66" si="80">SUM(AD63:AD65)</f>
        <v>0</v>
      </c>
      <c r="AE66" s="165">
        <f t="shared" ref="AE66:AH66" si="81">SUM(AE63:AE65)</f>
        <v>0</v>
      </c>
      <c r="AF66" s="165">
        <f t="shared" si="81"/>
        <v>0</v>
      </c>
      <c r="AG66" s="165">
        <f t="shared" si="81"/>
        <v>9908</v>
      </c>
      <c r="AH66" s="165">
        <f t="shared" si="81"/>
        <v>0</v>
      </c>
      <c r="AI66" s="165">
        <f t="shared" ref="AI66" si="82">SUM(AI63:AI65)</f>
        <v>0</v>
      </c>
      <c r="AJ66" s="165">
        <f t="shared" ref="AJ66" si="83">SUM(AJ63:AJ65)</f>
        <v>0</v>
      </c>
    </row>
    <row r="67" spans="1:36" ht="12.75" customHeight="1">
      <c r="B67" s="151"/>
      <c r="C67" s="151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</row>
    <row r="68" spans="1:36">
      <c r="B68" s="151" t="s">
        <v>216</v>
      </c>
      <c r="C68" s="151"/>
      <c r="D68" s="151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</row>
    <row r="69" spans="1:36">
      <c r="A69" s="149">
        <v>36</v>
      </c>
      <c r="B69" s="151"/>
      <c r="C69" s="151" t="s">
        <v>43</v>
      </c>
      <c r="D69" s="151"/>
      <c r="E69" s="165">
        <f>'ADJ DETAIL INPUT'!E69</f>
        <v>-10317</v>
      </c>
      <c r="F69" s="165">
        <f>'ADJ DETAIL INPUT'!F69</f>
        <v>0</v>
      </c>
      <c r="G69" s="165">
        <f>'ADJ DETAIL INPUT'!G69</f>
        <v>0</v>
      </c>
      <c r="H69" s="165">
        <f>'ADJ DETAIL INPUT'!H69</f>
        <v>0</v>
      </c>
      <c r="I69" s="165">
        <f>'ADJ DETAIL INPUT'!I69</f>
        <v>0</v>
      </c>
      <c r="J69" s="165">
        <f>'ADJ DETAIL INPUT'!J69</f>
        <v>0</v>
      </c>
      <c r="K69" s="165">
        <f>'ADJ DETAIL INPUT'!K69</f>
        <v>0</v>
      </c>
      <c r="L69" s="165">
        <f>'ADJ DETAIL INPUT'!L69</f>
        <v>0</v>
      </c>
      <c r="M69" s="165">
        <f>'ADJ DETAIL INPUT'!M69</f>
        <v>0</v>
      </c>
      <c r="N69" s="165">
        <f>'ADJ DETAIL INPUT'!N69</f>
        <v>0</v>
      </c>
      <c r="O69" s="165">
        <f>'ADJ DETAIL INPUT'!O69</f>
        <v>0</v>
      </c>
      <c r="P69" s="165">
        <f>'ADJ DETAIL INPUT'!P69</f>
        <v>0</v>
      </c>
      <c r="Q69" s="165">
        <f>'ADJ DETAIL INPUT'!Q69</f>
        <v>0</v>
      </c>
      <c r="R69" s="165">
        <f>'ADJ DETAIL INPUT'!R69</f>
        <v>0</v>
      </c>
      <c r="S69" s="165">
        <f>'ADJ DETAIL INPUT'!S69</f>
        <v>0</v>
      </c>
      <c r="T69" s="165">
        <f>'ADJ DETAIL INPUT'!T69</f>
        <v>0</v>
      </c>
      <c r="U69" s="165">
        <f>'ADJ DETAIL INPUT'!U69</f>
        <v>0</v>
      </c>
      <c r="V69" s="165">
        <f>'ADJ DETAIL INPUT'!V69</f>
        <v>0</v>
      </c>
      <c r="W69" s="165">
        <f>'ADJ DETAIL INPUT'!W69</f>
        <v>0</v>
      </c>
      <c r="X69" s="165">
        <f>'ADJ DETAIL INPUT'!Z69</f>
        <v>0</v>
      </c>
      <c r="Y69" s="165">
        <f>'ADJ DETAIL INPUT'!AA69</f>
        <v>0</v>
      </c>
      <c r="Z69" s="165">
        <f>'ADJ DETAIL INPUT'!AB69</f>
        <v>0</v>
      </c>
      <c r="AA69" s="165">
        <f>'ADJ DETAIL INPUT'!AC69</f>
        <v>0</v>
      </c>
      <c r="AB69" s="165">
        <f>'ADJ DETAIL INPUT'!AD69</f>
        <v>0</v>
      </c>
      <c r="AC69" s="165">
        <f>'ADJ DETAIL INPUT'!AE69</f>
        <v>0</v>
      </c>
      <c r="AD69" s="165">
        <f>'ADJ DETAIL INPUT'!AF69</f>
        <v>0</v>
      </c>
      <c r="AE69" s="165">
        <f>'ADJ DETAIL INPUT'!AG69</f>
        <v>0</v>
      </c>
      <c r="AF69" s="165">
        <f>'ADJ DETAIL INPUT'!AH69</f>
        <v>0</v>
      </c>
      <c r="AG69" s="165">
        <f>'ADJ DETAIL INPUT'!AI69</f>
        <v>0</v>
      </c>
      <c r="AH69" s="165">
        <f>'ADJ DETAIL INPUT'!AJ69</f>
        <v>0</v>
      </c>
      <c r="AI69" s="165">
        <f>'ADJ DETAIL INPUT'!AL69</f>
        <v>0</v>
      </c>
      <c r="AJ69" s="165">
        <f>'ADJ DETAIL INPUT'!AO69</f>
        <v>0</v>
      </c>
    </row>
    <row r="70" spans="1:36">
      <c r="A70" s="149">
        <v>37</v>
      </c>
      <c r="B70" s="151"/>
      <c r="C70" s="151" t="s">
        <v>62</v>
      </c>
      <c r="D70" s="151"/>
      <c r="E70" s="165">
        <f>'ADJ DETAIL INPUT'!E70</f>
        <v>-129098</v>
      </c>
      <c r="F70" s="165">
        <f>'ADJ DETAIL INPUT'!F70</f>
        <v>0</v>
      </c>
      <c r="G70" s="165">
        <f>'ADJ DETAIL INPUT'!G70</f>
        <v>0</v>
      </c>
      <c r="H70" s="165">
        <f>'ADJ DETAIL INPUT'!H70</f>
        <v>0</v>
      </c>
      <c r="I70" s="165">
        <f>'ADJ DETAIL INPUT'!I70</f>
        <v>0</v>
      </c>
      <c r="J70" s="165">
        <f>'ADJ DETAIL INPUT'!J70</f>
        <v>0</v>
      </c>
      <c r="K70" s="165">
        <f>'ADJ DETAIL INPUT'!K70</f>
        <v>0</v>
      </c>
      <c r="L70" s="165">
        <f>'ADJ DETAIL INPUT'!L70</f>
        <v>0</v>
      </c>
      <c r="M70" s="165">
        <f>'ADJ DETAIL INPUT'!M70</f>
        <v>0</v>
      </c>
      <c r="N70" s="165">
        <f>'ADJ DETAIL INPUT'!N70</f>
        <v>0</v>
      </c>
      <c r="O70" s="165">
        <f>'ADJ DETAIL INPUT'!O70</f>
        <v>0</v>
      </c>
      <c r="P70" s="165">
        <f>'ADJ DETAIL INPUT'!P70</f>
        <v>0</v>
      </c>
      <c r="Q70" s="165">
        <f>'ADJ DETAIL INPUT'!Q70</f>
        <v>0</v>
      </c>
      <c r="R70" s="165">
        <f>'ADJ DETAIL INPUT'!R70</f>
        <v>0</v>
      </c>
      <c r="S70" s="165">
        <f>'ADJ DETAIL INPUT'!S70</f>
        <v>0</v>
      </c>
      <c r="T70" s="165">
        <f>'ADJ DETAIL INPUT'!T70</f>
        <v>0</v>
      </c>
      <c r="U70" s="165">
        <f>'ADJ DETAIL INPUT'!U70</f>
        <v>0</v>
      </c>
      <c r="V70" s="165">
        <f>'ADJ DETAIL INPUT'!V70</f>
        <v>0</v>
      </c>
      <c r="W70" s="165">
        <f>'ADJ DETAIL INPUT'!W70</f>
        <v>0</v>
      </c>
      <c r="X70" s="165">
        <f>'ADJ DETAIL INPUT'!Z70</f>
        <v>0</v>
      </c>
      <c r="Y70" s="165">
        <f>'ADJ DETAIL INPUT'!AA70</f>
        <v>0</v>
      </c>
      <c r="Z70" s="165">
        <f>'ADJ DETAIL INPUT'!AB70</f>
        <v>0</v>
      </c>
      <c r="AA70" s="165">
        <f>'ADJ DETAIL INPUT'!AC70</f>
        <v>0</v>
      </c>
      <c r="AB70" s="165">
        <f>'ADJ DETAIL INPUT'!AD70</f>
        <v>0</v>
      </c>
      <c r="AC70" s="165">
        <f>'ADJ DETAIL INPUT'!AE70</f>
        <v>0</v>
      </c>
      <c r="AD70" s="165">
        <f>'ADJ DETAIL INPUT'!AF70</f>
        <v>0</v>
      </c>
      <c r="AE70" s="165">
        <f>'ADJ DETAIL INPUT'!AG70</f>
        <v>0</v>
      </c>
      <c r="AF70" s="165">
        <f>'ADJ DETAIL INPUT'!AH70</f>
        <v>0</v>
      </c>
      <c r="AG70" s="165">
        <f>'ADJ DETAIL INPUT'!AI70</f>
        <v>-68</v>
      </c>
      <c r="AH70" s="165">
        <f>'ADJ DETAIL INPUT'!AJ70</f>
        <v>0</v>
      </c>
      <c r="AI70" s="165">
        <f>'ADJ DETAIL INPUT'!AL70</f>
        <v>0</v>
      </c>
      <c r="AJ70" s="165">
        <f>'ADJ DETAIL INPUT'!AO70</f>
        <v>0</v>
      </c>
    </row>
    <row r="71" spans="1:36">
      <c r="A71" s="149">
        <v>38</v>
      </c>
      <c r="B71" s="151"/>
      <c r="C71" s="151" t="s">
        <v>63</v>
      </c>
      <c r="D71" s="151"/>
      <c r="E71" s="166">
        <f>'ADJ DETAIL INPUT'!E71</f>
        <v>-23473</v>
      </c>
      <c r="F71" s="166">
        <f>'ADJ DETAIL INPUT'!F71</f>
        <v>0</v>
      </c>
      <c r="G71" s="166">
        <f>'ADJ DETAIL INPUT'!G71</f>
        <v>0</v>
      </c>
      <c r="H71" s="166">
        <f>'ADJ DETAIL INPUT'!H71</f>
        <v>0</v>
      </c>
      <c r="I71" s="166">
        <f>'ADJ DETAIL INPUT'!I71</f>
        <v>0</v>
      </c>
      <c r="J71" s="166">
        <f>'ADJ DETAIL INPUT'!J71</f>
        <v>0</v>
      </c>
      <c r="K71" s="166">
        <f>'ADJ DETAIL INPUT'!K71</f>
        <v>0</v>
      </c>
      <c r="L71" s="166">
        <f>'ADJ DETAIL INPUT'!L71</f>
        <v>0</v>
      </c>
      <c r="M71" s="166">
        <f>'ADJ DETAIL INPUT'!M71</f>
        <v>0</v>
      </c>
      <c r="N71" s="166">
        <f>'ADJ DETAIL INPUT'!N71</f>
        <v>0</v>
      </c>
      <c r="O71" s="166">
        <f>'ADJ DETAIL INPUT'!O71</f>
        <v>0</v>
      </c>
      <c r="P71" s="166">
        <f>'ADJ DETAIL INPUT'!P71</f>
        <v>0</v>
      </c>
      <c r="Q71" s="166">
        <f>'ADJ DETAIL INPUT'!Q71</f>
        <v>0</v>
      </c>
      <c r="R71" s="166">
        <f>'ADJ DETAIL INPUT'!R71</f>
        <v>0</v>
      </c>
      <c r="S71" s="166">
        <f>'ADJ DETAIL INPUT'!S71</f>
        <v>0</v>
      </c>
      <c r="T71" s="166">
        <f>'ADJ DETAIL INPUT'!T71</f>
        <v>0</v>
      </c>
      <c r="U71" s="166">
        <f>'ADJ DETAIL INPUT'!U71</f>
        <v>0</v>
      </c>
      <c r="V71" s="166">
        <f>'ADJ DETAIL INPUT'!V71</f>
        <v>0</v>
      </c>
      <c r="W71" s="166">
        <f>'ADJ DETAIL INPUT'!W71</f>
        <v>0</v>
      </c>
      <c r="X71" s="166">
        <f>'ADJ DETAIL INPUT'!Z71</f>
        <v>0</v>
      </c>
      <c r="Y71" s="166">
        <f>'ADJ DETAIL INPUT'!AA71</f>
        <v>0</v>
      </c>
      <c r="Z71" s="166">
        <f>'ADJ DETAIL INPUT'!AB71</f>
        <v>0</v>
      </c>
      <c r="AA71" s="166">
        <f>'ADJ DETAIL INPUT'!AC71</f>
        <v>0</v>
      </c>
      <c r="AB71" s="166">
        <f>'ADJ DETAIL INPUT'!AD71</f>
        <v>0</v>
      </c>
      <c r="AC71" s="166">
        <f>'ADJ DETAIL INPUT'!AE71</f>
        <v>0</v>
      </c>
      <c r="AD71" s="166">
        <f>'ADJ DETAIL INPUT'!AF71</f>
        <v>0</v>
      </c>
      <c r="AE71" s="166">
        <f>'ADJ DETAIL INPUT'!AG71</f>
        <v>0</v>
      </c>
      <c r="AF71" s="166">
        <f>'ADJ DETAIL INPUT'!AH71</f>
        <v>0</v>
      </c>
      <c r="AG71" s="166">
        <f>'ADJ DETAIL INPUT'!AI71</f>
        <v>-159</v>
      </c>
      <c r="AH71" s="166">
        <f>'ADJ DETAIL INPUT'!AJ71</f>
        <v>0</v>
      </c>
      <c r="AI71" s="166">
        <f>'ADJ DETAIL INPUT'!AL71</f>
        <v>0</v>
      </c>
      <c r="AJ71" s="166">
        <f>'ADJ DETAIL INPUT'!AO71</f>
        <v>0</v>
      </c>
    </row>
    <row r="72" spans="1:36">
      <c r="A72" s="149">
        <v>39</v>
      </c>
      <c r="B72" s="151" t="s">
        <v>432</v>
      </c>
      <c r="C72" s="151"/>
      <c r="E72" s="168">
        <f>SUM(E69:E71)</f>
        <v>-162888</v>
      </c>
      <c r="F72" s="168">
        <f t="shared" ref="F72:AC72" si="84">SUM(F69:F71)</f>
        <v>0</v>
      </c>
      <c r="G72" s="168">
        <f t="shared" si="84"/>
        <v>0</v>
      </c>
      <c r="H72" s="168">
        <f t="shared" si="84"/>
        <v>0</v>
      </c>
      <c r="I72" s="168">
        <f t="shared" si="84"/>
        <v>0</v>
      </c>
      <c r="J72" s="168">
        <f t="shared" si="84"/>
        <v>0</v>
      </c>
      <c r="K72" s="168">
        <f t="shared" si="84"/>
        <v>0</v>
      </c>
      <c r="L72" s="168">
        <f t="shared" si="84"/>
        <v>0</v>
      </c>
      <c r="M72" s="168">
        <f t="shared" si="84"/>
        <v>0</v>
      </c>
      <c r="N72" s="168">
        <f t="shared" si="84"/>
        <v>0</v>
      </c>
      <c r="O72" s="168">
        <f t="shared" si="84"/>
        <v>0</v>
      </c>
      <c r="P72" s="168">
        <f t="shared" si="84"/>
        <v>0</v>
      </c>
      <c r="Q72" s="168">
        <f t="shared" si="84"/>
        <v>0</v>
      </c>
      <c r="R72" s="168">
        <f t="shared" si="84"/>
        <v>0</v>
      </c>
      <c r="S72" s="168">
        <f t="shared" ref="S72:T72" si="85">SUM(S69:S71)</f>
        <v>0</v>
      </c>
      <c r="T72" s="168">
        <f t="shared" si="85"/>
        <v>0</v>
      </c>
      <c r="U72" s="168">
        <f t="shared" ref="U72:V72" si="86">SUM(U69:U71)</f>
        <v>0</v>
      </c>
      <c r="V72" s="168">
        <f t="shared" si="86"/>
        <v>0</v>
      </c>
      <c r="W72" s="168">
        <f>SUM(W69:W71)</f>
        <v>0</v>
      </c>
      <c r="X72" s="168">
        <f>SUM(X69:X71)</f>
        <v>0</v>
      </c>
      <c r="Y72" s="168">
        <f t="shared" si="84"/>
        <v>0</v>
      </c>
      <c r="Z72" s="168">
        <f t="shared" ref="Z72" si="87">SUM(Z69:Z71)</f>
        <v>0</v>
      </c>
      <c r="AA72" s="168">
        <f t="shared" si="84"/>
        <v>0</v>
      </c>
      <c r="AB72" s="168">
        <f t="shared" ref="AB72" si="88">SUM(AB69:AB71)</f>
        <v>0</v>
      </c>
      <c r="AC72" s="168">
        <f t="shared" si="84"/>
        <v>0</v>
      </c>
      <c r="AD72" s="168">
        <f t="shared" ref="AD72" si="89">SUM(AD69:AD71)</f>
        <v>0</v>
      </c>
      <c r="AE72" s="168">
        <f t="shared" ref="AE72:AH72" si="90">SUM(AE69:AE71)</f>
        <v>0</v>
      </c>
      <c r="AF72" s="168">
        <f t="shared" si="90"/>
        <v>0</v>
      </c>
      <c r="AG72" s="168">
        <f t="shared" si="90"/>
        <v>-227</v>
      </c>
      <c r="AH72" s="168">
        <f t="shared" si="90"/>
        <v>0</v>
      </c>
      <c r="AI72" s="168">
        <f t="shared" ref="AI72" si="91">SUM(AI69:AI71)</f>
        <v>0</v>
      </c>
      <c r="AJ72" s="168">
        <f t="shared" ref="AJ72" si="92">SUM(AJ69:AJ71)</f>
        <v>0</v>
      </c>
    </row>
    <row r="73" spans="1:36">
      <c r="A73" s="149">
        <v>40</v>
      </c>
      <c r="B73" s="151" t="s">
        <v>186</v>
      </c>
      <c r="C73" s="151"/>
      <c r="D73" s="151"/>
      <c r="E73" s="169">
        <f>E66+E72</f>
        <v>337112</v>
      </c>
      <c r="F73" s="169">
        <f t="shared" ref="F73:AC73" si="93">F66+F72</f>
        <v>0</v>
      </c>
      <c r="G73" s="169">
        <f t="shared" si="93"/>
        <v>0</v>
      </c>
      <c r="H73" s="169">
        <f t="shared" si="93"/>
        <v>0</v>
      </c>
      <c r="I73" s="169">
        <f t="shared" si="93"/>
        <v>0</v>
      </c>
      <c r="J73" s="169">
        <f t="shared" si="93"/>
        <v>0</v>
      </c>
      <c r="K73" s="169">
        <f t="shared" si="93"/>
        <v>0</v>
      </c>
      <c r="L73" s="169">
        <f t="shared" si="93"/>
        <v>0</v>
      </c>
      <c r="M73" s="169">
        <f t="shared" si="93"/>
        <v>0</v>
      </c>
      <c r="N73" s="169">
        <f t="shared" si="93"/>
        <v>0</v>
      </c>
      <c r="O73" s="169">
        <f t="shared" si="93"/>
        <v>0</v>
      </c>
      <c r="P73" s="169">
        <f t="shared" si="93"/>
        <v>0</v>
      </c>
      <c r="Q73" s="169">
        <f t="shared" si="93"/>
        <v>0</v>
      </c>
      <c r="R73" s="169">
        <f t="shared" si="93"/>
        <v>0</v>
      </c>
      <c r="S73" s="169">
        <f t="shared" ref="S73:T73" si="94">S66+S72</f>
        <v>0</v>
      </c>
      <c r="T73" s="169">
        <f t="shared" si="94"/>
        <v>0</v>
      </c>
      <c r="U73" s="169">
        <f t="shared" ref="U73:V73" si="95">U66+U72</f>
        <v>0</v>
      </c>
      <c r="V73" s="169">
        <f t="shared" si="95"/>
        <v>0</v>
      </c>
      <c r="W73" s="169">
        <f>W66+W72</f>
        <v>0</v>
      </c>
      <c r="X73" s="169">
        <f>X66+X72</f>
        <v>0</v>
      </c>
      <c r="Y73" s="169">
        <f t="shared" si="93"/>
        <v>0</v>
      </c>
      <c r="Z73" s="169">
        <f t="shared" ref="Z73" si="96">Z66+Z72</f>
        <v>0</v>
      </c>
      <c r="AA73" s="169">
        <f t="shared" si="93"/>
        <v>0</v>
      </c>
      <c r="AB73" s="169">
        <f t="shared" ref="AB73" si="97">AB66+AB72</f>
        <v>0</v>
      </c>
      <c r="AC73" s="169">
        <f t="shared" si="93"/>
        <v>0</v>
      </c>
      <c r="AD73" s="169">
        <f t="shared" ref="AD73" si="98">AD66+AD72</f>
        <v>0</v>
      </c>
      <c r="AE73" s="169">
        <f t="shared" ref="AE73:AH73" si="99">AE66+AE72</f>
        <v>0</v>
      </c>
      <c r="AF73" s="169">
        <f t="shared" si="99"/>
        <v>0</v>
      </c>
      <c r="AG73" s="169">
        <f t="shared" si="99"/>
        <v>9681</v>
      </c>
      <c r="AH73" s="169">
        <f t="shared" si="99"/>
        <v>0</v>
      </c>
      <c r="AI73" s="169">
        <f t="shared" ref="AI73" si="100">AI66+AI72</f>
        <v>0</v>
      </c>
      <c r="AJ73" s="169">
        <f t="shared" ref="AJ73" si="101">AJ66+AJ72</f>
        <v>0</v>
      </c>
    </row>
    <row r="74" spans="1:36" s="154" customFormat="1" ht="19.05" customHeight="1">
      <c r="A74" s="152">
        <v>41</v>
      </c>
      <c r="B74" s="153" t="s">
        <v>219</v>
      </c>
      <c r="C74" s="153"/>
      <c r="D74" s="153"/>
      <c r="E74" s="166">
        <f>'ADJ DETAIL INPUT'!E74</f>
        <v>-73856</v>
      </c>
      <c r="F74" s="166">
        <f>'ADJ DETAIL INPUT'!F74</f>
        <v>-325</v>
      </c>
      <c r="G74" s="166">
        <f>'ADJ DETAIL INPUT'!G74</f>
        <v>0</v>
      </c>
      <c r="H74" s="166">
        <f>'ADJ DETAIL INPUT'!H74</f>
        <v>0</v>
      </c>
      <c r="I74" s="166">
        <f>'ADJ DETAIL INPUT'!I74</f>
        <v>0</v>
      </c>
      <c r="J74" s="166">
        <f>'ADJ DETAIL INPUT'!J74</f>
        <v>0</v>
      </c>
      <c r="K74" s="166">
        <f>'ADJ DETAIL INPUT'!K74</f>
        <v>0</v>
      </c>
      <c r="L74" s="166">
        <f>'ADJ DETAIL INPUT'!L74</f>
        <v>0</v>
      </c>
      <c r="M74" s="166">
        <f>'ADJ DETAIL INPUT'!M74</f>
        <v>0</v>
      </c>
      <c r="N74" s="166">
        <f>'ADJ DETAIL INPUT'!N74</f>
        <v>0</v>
      </c>
      <c r="O74" s="166">
        <f>'ADJ DETAIL INPUT'!O74</f>
        <v>0</v>
      </c>
      <c r="P74" s="166">
        <f>'ADJ DETAIL INPUT'!P74</f>
        <v>0</v>
      </c>
      <c r="Q74" s="166">
        <f>'ADJ DETAIL INPUT'!Q74</f>
        <v>0</v>
      </c>
      <c r="R74" s="166">
        <f>'ADJ DETAIL INPUT'!R74</f>
        <v>0</v>
      </c>
      <c r="S74" s="166">
        <f>'ADJ DETAIL INPUT'!S74</f>
        <v>0</v>
      </c>
      <c r="T74" s="166">
        <f>'ADJ DETAIL INPUT'!T74</f>
        <v>0</v>
      </c>
      <c r="U74" s="166">
        <f>'ADJ DETAIL INPUT'!U74</f>
        <v>0</v>
      </c>
      <c r="V74" s="166">
        <f>'ADJ DETAIL INPUT'!V74</f>
        <v>0</v>
      </c>
      <c r="W74" s="166">
        <f>'ADJ DETAIL INPUT'!W74</f>
        <v>0</v>
      </c>
      <c r="X74" s="166">
        <f>'ADJ DETAIL INPUT'!Z74</f>
        <v>0</v>
      </c>
      <c r="Y74" s="166">
        <f>'ADJ DETAIL INPUT'!AA74</f>
        <v>0</v>
      </c>
      <c r="Z74" s="166">
        <f>'ADJ DETAIL INPUT'!AB74</f>
        <v>0</v>
      </c>
      <c r="AA74" s="166">
        <f>'ADJ DETAIL INPUT'!AC74</f>
        <v>0</v>
      </c>
      <c r="AB74" s="166">
        <f>'ADJ DETAIL INPUT'!AD74</f>
        <v>0</v>
      </c>
      <c r="AC74" s="166">
        <f>'ADJ DETAIL INPUT'!AE74</f>
        <v>0</v>
      </c>
      <c r="AD74" s="166">
        <f>'ADJ DETAIL INPUT'!AF74</f>
        <v>0</v>
      </c>
      <c r="AE74" s="166">
        <f>'ADJ DETAIL INPUT'!AG74</f>
        <v>0</v>
      </c>
      <c r="AF74" s="166">
        <f>'ADJ DETAIL INPUT'!AH74</f>
        <v>0</v>
      </c>
      <c r="AG74" s="166">
        <f>'ADJ DETAIL INPUT'!AI74</f>
        <v>-1809</v>
      </c>
      <c r="AH74" s="166">
        <f>'ADJ DETAIL INPUT'!AJ74</f>
        <v>0</v>
      </c>
      <c r="AI74" s="166">
        <f>'ADJ DETAIL INPUT'!AL74</f>
        <v>0</v>
      </c>
      <c r="AJ74" s="166">
        <f>'ADJ DETAIL INPUT'!AO74</f>
        <v>0</v>
      </c>
    </row>
    <row r="75" spans="1:36" s="154" customFormat="1" ht="19.05" customHeight="1">
      <c r="A75" s="152">
        <v>42</v>
      </c>
      <c r="B75" s="153" t="s">
        <v>217</v>
      </c>
      <c r="C75" s="153"/>
      <c r="D75" s="153"/>
      <c r="E75" s="169">
        <f>E73+E74</f>
        <v>263256</v>
      </c>
      <c r="F75" s="169">
        <f t="shared" ref="F75:AC75" si="102">F73+F74</f>
        <v>-325</v>
      </c>
      <c r="G75" s="169">
        <f t="shared" si="102"/>
        <v>0</v>
      </c>
      <c r="H75" s="169">
        <f t="shared" si="102"/>
        <v>0</v>
      </c>
      <c r="I75" s="169">
        <f t="shared" si="102"/>
        <v>0</v>
      </c>
      <c r="J75" s="169">
        <f t="shared" si="102"/>
        <v>0</v>
      </c>
      <c r="K75" s="169">
        <f t="shared" si="102"/>
        <v>0</v>
      </c>
      <c r="L75" s="169">
        <f t="shared" si="102"/>
        <v>0</v>
      </c>
      <c r="M75" s="169">
        <f t="shared" si="102"/>
        <v>0</v>
      </c>
      <c r="N75" s="169">
        <f t="shared" si="102"/>
        <v>0</v>
      </c>
      <c r="O75" s="169">
        <f t="shared" si="102"/>
        <v>0</v>
      </c>
      <c r="P75" s="169">
        <f t="shared" si="102"/>
        <v>0</v>
      </c>
      <c r="Q75" s="169">
        <f t="shared" si="102"/>
        <v>0</v>
      </c>
      <c r="R75" s="169">
        <f t="shared" si="102"/>
        <v>0</v>
      </c>
      <c r="S75" s="169">
        <f t="shared" ref="S75:T75" si="103">S73+S74</f>
        <v>0</v>
      </c>
      <c r="T75" s="169">
        <f t="shared" si="103"/>
        <v>0</v>
      </c>
      <c r="U75" s="169">
        <f t="shared" ref="U75:V75" si="104">U73+U74</f>
        <v>0</v>
      </c>
      <c r="V75" s="169">
        <f t="shared" si="104"/>
        <v>0</v>
      </c>
      <c r="W75" s="169">
        <f>W73+W74</f>
        <v>0</v>
      </c>
      <c r="X75" s="169">
        <f>X73+X74</f>
        <v>0</v>
      </c>
      <c r="Y75" s="169">
        <f t="shared" si="102"/>
        <v>0</v>
      </c>
      <c r="Z75" s="169">
        <f t="shared" ref="Z75" si="105">Z73+Z74</f>
        <v>0</v>
      </c>
      <c r="AA75" s="169">
        <f t="shared" si="102"/>
        <v>0</v>
      </c>
      <c r="AB75" s="169">
        <f t="shared" ref="AB75" si="106">AB73+AB74</f>
        <v>0</v>
      </c>
      <c r="AC75" s="169">
        <f t="shared" si="102"/>
        <v>0</v>
      </c>
      <c r="AD75" s="169">
        <f t="shared" ref="AD75" si="107">AD73+AD74</f>
        <v>0</v>
      </c>
      <c r="AE75" s="169">
        <f t="shared" ref="AE75:AH75" si="108">AE73+AE74</f>
        <v>0</v>
      </c>
      <c r="AF75" s="169">
        <f t="shared" si="108"/>
        <v>0</v>
      </c>
      <c r="AG75" s="169">
        <f t="shared" si="108"/>
        <v>7872</v>
      </c>
      <c r="AH75" s="169">
        <f t="shared" si="108"/>
        <v>0</v>
      </c>
      <c r="AI75" s="169">
        <f t="shared" ref="AI75" si="109">AI73+AI74</f>
        <v>0</v>
      </c>
      <c r="AJ75" s="169">
        <f t="shared" ref="AJ75" si="110">AJ73+AJ74</f>
        <v>0</v>
      </c>
    </row>
    <row r="76" spans="1:36">
      <c r="A76" s="149">
        <v>43</v>
      </c>
      <c r="B76" s="151" t="s">
        <v>67</v>
      </c>
      <c r="C76" s="151"/>
      <c r="D76" s="151"/>
      <c r="E76" s="165">
        <f>'ADJ DETAIL INPUT'!E76</f>
        <v>9116</v>
      </c>
      <c r="F76" s="165">
        <f>'ADJ DETAIL INPUT'!F76</f>
        <v>0</v>
      </c>
      <c r="G76" s="165">
        <f>'ADJ DETAIL INPUT'!G76</f>
        <v>0</v>
      </c>
      <c r="H76" s="165">
        <f>'ADJ DETAIL INPUT'!H76</f>
        <v>0</v>
      </c>
      <c r="I76" s="165">
        <f>'ADJ DETAIL INPUT'!I76</f>
        <v>0</v>
      </c>
      <c r="J76" s="165">
        <f>'ADJ DETAIL INPUT'!J76</f>
        <v>0</v>
      </c>
      <c r="K76" s="165">
        <f>'ADJ DETAIL INPUT'!K76</f>
        <v>0</v>
      </c>
      <c r="L76" s="165">
        <f>'ADJ DETAIL INPUT'!L76</f>
        <v>0</v>
      </c>
      <c r="M76" s="165">
        <f>'ADJ DETAIL INPUT'!M76</f>
        <v>0</v>
      </c>
      <c r="N76" s="165">
        <f>'ADJ DETAIL INPUT'!N76</f>
        <v>0</v>
      </c>
      <c r="O76" s="165">
        <f>'ADJ DETAIL INPUT'!O76</f>
        <v>0</v>
      </c>
      <c r="P76" s="165">
        <f>'ADJ DETAIL INPUT'!P76</f>
        <v>0</v>
      </c>
      <c r="Q76" s="165">
        <f>'ADJ DETAIL INPUT'!Q76</f>
        <v>0</v>
      </c>
      <c r="R76" s="165">
        <f>'ADJ DETAIL INPUT'!R76</f>
        <v>0</v>
      </c>
      <c r="S76" s="165">
        <f>'ADJ DETAIL INPUT'!S76</f>
        <v>0</v>
      </c>
      <c r="T76" s="165">
        <f>'ADJ DETAIL INPUT'!T76</f>
        <v>0</v>
      </c>
      <c r="U76" s="165">
        <f>'ADJ DETAIL INPUT'!U76</f>
        <v>0</v>
      </c>
      <c r="V76" s="165">
        <f>'ADJ DETAIL INPUT'!V76</f>
        <v>0</v>
      </c>
      <c r="W76" s="165">
        <f>'ADJ DETAIL INPUT'!W76</f>
        <v>0</v>
      </c>
      <c r="X76" s="165">
        <f>'ADJ DETAIL INPUT'!Z76</f>
        <v>0</v>
      </c>
      <c r="Y76" s="165">
        <f>'ADJ DETAIL INPUT'!AA76</f>
        <v>0</v>
      </c>
      <c r="Z76" s="165">
        <f>'ADJ DETAIL INPUT'!AB76</f>
        <v>0</v>
      </c>
      <c r="AA76" s="165">
        <f>'ADJ DETAIL INPUT'!AC76</f>
        <v>0</v>
      </c>
      <c r="AB76" s="165">
        <f>'ADJ DETAIL INPUT'!AD76</f>
        <v>0</v>
      </c>
      <c r="AC76" s="165">
        <f>'ADJ DETAIL INPUT'!AE76</f>
        <v>0</v>
      </c>
      <c r="AD76" s="165">
        <f>'ADJ DETAIL INPUT'!AF76</f>
        <v>0</v>
      </c>
      <c r="AE76" s="165">
        <f>'ADJ DETAIL INPUT'!AG76</f>
        <v>0</v>
      </c>
      <c r="AF76" s="165">
        <f>'ADJ DETAIL INPUT'!AH76</f>
        <v>0</v>
      </c>
      <c r="AG76" s="165">
        <f>'ADJ DETAIL INPUT'!AI76</f>
        <v>0</v>
      </c>
      <c r="AH76" s="165">
        <f>'ADJ DETAIL INPUT'!AJ76</f>
        <v>0</v>
      </c>
      <c r="AI76" s="165">
        <f>'ADJ DETAIL INPUT'!AL76</f>
        <v>0</v>
      </c>
      <c r="AJ76" s="165">
        <f>'ADJ DETAIL INPUT'!AO76</f>
        <v>0</v>
      </c>
    </row>
    <row r="77" spans="1:36" s="154" customFormat="1">
      <c r="A77" s="152">
        <v>44</v>
      </c>
      <c r="B77" s="153" t="s">
        <v>68</v>
      </c>
      <c r="C77" s="153"/>
      <c r="D77" s="153"/>
      <c r="E77" s="165">
        <f>'ADJ DETAIL INPUT'!E77</f>
        <v>0</v>
      </c>
      <c r="F77" s="165">
        <f>'ADJ DETAIL INPUT'!F77</f>
        <v>0</v>
      </c>
      <c r="G77" s="165">
        <f>'ADJ DETAIL INPUT'!G77</f>
        <v>0</v>
      </c>
      <c r="H77" s="165">
        <f>'ADJ DETAIL INPUT'!H77</f>
        <v>0</v>
      </c>
      <c r="I77" s="165">
        <f>'ADJ DETAIL INPUT'!I77</f>
        <v>0</v>
      </c>
      <c r="J77" s="165">
        <f>'ADJ DETAIL INPUT'!J77</f>
        <v>0</v>
      </c>
      <c r="K77" s="165">
        <f>'ADJ DETAIL INPUT'!K77</f>
        <v>0</v>
      </c>
      <c r="L77" s="165">
        <f>'ADJ DETAIL INPUT'!L77</f>
        <v>0</v>
      </c>
      <c r="M77" s="165">
        <f>'ADJ DETAIL INPUT'!M77</f>
        <v>0</v>
      </c>
      <c r="N77" s="165">
        <f>'ADJ DETAIL INPUT'!N77</f>
        <v>0</v>
      </c>
      <c r="O77" s="165">
        <f>'ADJ DETAIL INPUT'!O77</f>
        <v>0</v>
      </c>
      <c r="P77" s="165">
        <f>'ADJ DETAIL INPUT'!P77</f>
        <v>0</v>
      </c>
      <c r="Q77" s="165">
        <f>'ADJ DETAIL INPUT'!Q77</f>
        <v>0</v>
      </c>
      <c r="R77" s="165">
        <f>'ADJ DETAIL INPUT'!R77</f>
        <v>0</v>
      </c>
      <c r="S77" s="165">
        <f>'ADJ DETAIL INPUT'!S77</f>
        <v>0</v>
      </c>
      <c r="T77" s="165">
        <f>'ADJ DETAIL INPUT'!T77</f>
        <v>0</v>
      </c>
      <c r="U77" s="165">
        <f>'ADJ DETAIL INPUT'!U77</f>
        <v>0</v>
      </c>
      <c r="V77" s="165">
        <f>'ADJ DETAIL INPUT'!V77</f>
        <v>0</v>
      </c>
      <c r="W77" s="165">
        <f>'ADJ DETAIL INPUT'!W77</f>
        <v>0</v>
      </c>
      <c r="X77" s="165">
        <f>'ADJ DETAIL INPUT'!Z77</f>
        <v>0</v>
      </c>
      <c r="Y77" s="165">
        <f>'ADJ DETAIL INPUT'!AA77</f>
        <v>0</v>
      </c>
      <c r="Z77" s="165">
        <f>'ADJ DETAIL INPUT'!AB77</f>
        <v>0</v>
      </c>
      <c r="AA77" s="165">
        <f>'ADJ DETAIL INPUT'!AC77</f>
        <v>0</v>
      </c>
      <c r="AB77" s="165">
        <f>'ADJ DETAIL INPUT'!AD77</f>
        <v>0</v>
      </c>
      <c r="AC77" s="165">
        <f>'ADJ DETAIL INPUT'!AE77</f>
        <v>0</v>
      </c>
      <c r="AD77" s="165">
        <f>'ADJ DETAIL INPUT'!AF77</f>
        <v>0</v>
      </c>
      <c r="AE77" s="165">
        <f>'ADJ DETAIL INPUT'!AG77</f>
        <v>0</v>
      </c>
      <c r="AF77" s="165">
        <f>'ADJ DETAIL INPUT'!AH77</f>
        <v>0</v>
      </c>
      <c r="AG77" s="165">
        <f>'ADJ DETAIL INPUT'!AI77</f>
        <v>0</v>
      </c>
      <c r="AH77" s="165">
        <f>'ADJ DETAIL INPUT'!AJ77</f>
        <v>0</v>
      </c>
      <c r="AI77" s="165">
        <f>'ADJ DETAIL INPUT'!AL77</f>
        <v>0</v>
      </c>
      <c r="AJ77" s="165">
        <f>'ADJ DETAIL INPUT'!AO77</f>
        <v>0</v>
      </c>
    </row>
    <row r="78" spans="1:36" s="154" customFormat="1">
      <c r="A78" s="152">
        <v>45</v>
      </c>
      <c r="B78" s="153" t="s">
        <v>435</v>
      </c>
      <c r="C78" s="153"/>
      <c r="D78" s="153"/>
      <c r="E78" s="165">
        <f>'ADJ DETAIL INPUT'!E78</f>
        <v>-249</v>
      </c>
      <c r="F78" s="165">
        <f>'ADJ DETAIL INPUT'!F78</f>
        <v>0</v>
      </c>
      <c r="G78" s="165">
        <f>'ADJ DETAIL INPUT'!G78</f>
        <v>0</v>
      </c>
      <c r="H78" s="165">
        <f>'ADJ DETAIL INPUT'!H78</f>
        <v>0</v>
      </c>
      <c r="I78" s="165">
        <f>'ADJ DETAIL INPUT'!I78</f>
        <v>0</v>
      </c>
      <c r="J78" s="165">
        <f>'ADJ DETAIL INPUT'!J78</f>
        <v>0</v>
      </c>
      <c r="K78" s="165">
        <f>'ADJ DETAIL INPUT'!K78</f>
        <v>0</v>
      </c>
      <c r="L78" s="165">
        <f>'ADJ DETAIL INPUT'!L78</f>
        <v>0</v>
      </c>
      <c r="M78" s="165">
        <f>'ADJ DETAIL INPUT'!M78</f>
        <v>0</v>
      </c>
      <c r="N78" s="165">
        <f>'ADJ DETAIL INPUT'!N78</f>
        <v>0</v>
      </c>
      <c r="O78" s="165">
        <f>'ADJ DETAIL INPUT'!O78</f>
        <v>0</v>
      </c>
      <c r="P78" s="165">
        <f>'ADJ DETAIL INPUT'!P78</f>
        <v>0</v>
      </c>
      <c r="Q78" s="165">
        <f>'ADJ DETAIL INPUT'!Q78</f>
        <v>0</v>
      </c>
      <c r="R78" s="165">
        <f>'ADJ DETAIL INPUT'!R78</f>
        <v>0</v>
      </c>
      <c r="S78" s="165">
        <f>'ADJ DETAIL INPUT'!S78</f>
        <v>0</v>
      </c>
      <c r="T78" s="165">
        <f>'ADJ DETAIL INPUT'!T78</f>
        <v>0</v>
      </c>
      <c r="U78" s="165">
        <f>'ADJ DETAIL INPUT'!U78</f>
        <v>0</v>
      </c>
      <c r="V78" s="165">
        <f>'ADJ DETAIL INPUT'!V78</f>
        <v>0</v>
      </c>
      <c r="W78" s="165">
        <f>'ADJ DETAIL INPUT'!W78</f>
        <v>0</v>
      </c>
      <c r="X78" s="165">
        <f>'ADJ DETAIL INPUT'!Z78</f>
        <v>0</v>
      </c>
      <c r="Y78" s="165">
        <f>'ADJ DETAIL INPUT'!AA78</f>
        <v>0</v>
      </c>
      <c r="Z78" s="165">
        <f>'ADJ DETAIL INPUT'!AB78</f>
        <v>0</v>
      </c>
      <c r="AA78" s="165">
        <f>'ADJ DETAIL INPUT'!AC78</f>
        <v>0</v>
      </c>
      <c r="AB78" s="165">
        <f>'ADJ DETAIL INPUT'!AD78</f>
        <v>0</v>
      </c>
      <c r="AC78" s="165">
        <f>'ADJ DETAIL INPUT'!AE78</f>
        <v>0</v>
      </c>
      <c r="AD78" s="165">
        <f>'ADJ DETAIL INPUT'!AF78</f>
        <v>0</v>
      </c>
      <c r="AE78" s="165">
        <f>'ADJ DETAIL INPUT'!AG78</f>
        <v>0</v>
      </c>
      <c r="AF78" s="165">
        <f>'ADJ DETAIL INPUT'!AH78</f>
        <v>0</v>
      </c>
      <c r="AG78" s="165">
        <f>'ADJ DETAIL INPUT'!AI78</f>
        <v>0</v>
      </c>
      <c r="AH78" s="165">
        <f>'ADJ DETAIL INPUT'!AJ78</f>
        <v>0</v>
      </c>
      <c r="AI78" s="165">
        <f>'ADJ DETAIL INPUT'!AL78</f>
        <v>1474</v>
      </c>
      <c r="AJ78" s="165">
        <f>'ADJ DETAIL INPUT'!AO78</f>
        <v>0</v>
      </c>
    </row>
    <row r="79" spans="1:36">
      <c r="A79" s="149">
        <v>46</v>
      </c>
      <c r="B79" s="151" t="s">
        <v>189</v>
      </c>
      <c r="C79" s="151"/>
      <c r="D79" s="151"/>
      <c r="E79" s="166">
        <f>'ADJ DETAIL INPUT'!E79</f>
        <v>15664</v>
      </c>
      <c r="F79" s="166">
        <f>'ADJ DETAIL INPUT'!F79</f>
        <v>0</v>
      </c>
      <c r="G79" s="166">
        <f>'ADJ DETAIL INPUT'!G79</f>
        <v>0</v>
      </c>
      <c r="H79" s="166">
        <f>'ADJ DETAIL INPUT'!H79</f>
        <v>-4182</v>
      </c>
      <c r="I79" s="166">
        <f>'ADJ DETAIL INPUT'!I79</f>
        <v>0</v>
      </c>
      <c r="J79" s="166">
        <f>'ADJ DETAIL INPUT'!J79</f>
        <v>0</v>
      </c>
      <c r="K79" s="166">
        <f>'ADJ DETAIL INPUT'!K79</f>
        <v>0</v>
      </c>
      <c r="L79" s="166">
        <f>'ADJ DETAIL INPUT'!L79</f>
        <v>0</v>
      </c>
      <c r="M79" s="166">
        <f>'ADJ DETAIL INPUT'!M79</f>
        <v>0</v>
      </c>
      <c r="N79" s="166">
        <f>'ADJ DETAIL INPUT'!N79</f>
        <v>0</v>
      </c>
      <c r="O79" s="166">
        <f>'ADJ DETAIL INPUT'!O79</f>
        <v>0</v>
      </c>
      <c r="P79" s="166">
        <f>'ADJ DETAIL INPUT'!P79</f>
        <v>0</v>
      </c>
      <c r="Q79" s="166">
        <f>'ADJ DETAIL INPUT'!Q79</f>
        <v>0</v>
      </c>
      <c r="R79" s="166">
        <f>'ADJ DETAIL INPUT'!R79</f>
        <v>0</v>
      </c>
      <c r="S79" s="166">
        <f>'ADJ DETAIL INPUT'!S79</f>
        <v>0</v>
      </c>
      <c r="T79" s="166">
        <f>'ADJ DETAIL INPUT'!T79</f>
        <v>0</v>
      </c>
      <c r="U79" s="166">
        <f>'ADJ DETAIL INPUT'!U79</f>
        <v>0</v>
      </c>
      <c r="V79" s="166">
        <f>'ADJ DETAIL INPUT'!V79</f>
        <v>0</v>
      </c>
      <c r="W79" s="166">
        <f>'ADJ DETAIL INPUT'!W79</f>
        <v>0</v>
      </c>
      <c r="X79" s="166">
        <f>'ADJ DETAIL INPUT'!Z79</f>
        <v>0</v>
      </c>
      <c r="Y79" s="166">
        <f>'ADJ DETAIL INPUT'!AA79</f>
        <v>0</v>
      </c>
      <c r="Z79" s="166">
        <f>'ADJ DETAIL INPUT'!AB79</f>
        <v>0</v>
      </c>
      <c r="AA79" s="166">
        <f>'ADJ DETAIL INPUT'!AC79</f>
        <v>0</v>
      </c>
      <c r="AB79" s="166">
        <f>'ADJ DETAIL INPUT'!AD79</f>
        <v>0</v>
      </c>
      <c r="AC79" s="166">
        <f>'ADJ DETAIL INPUT'!AE79</f>
        <v>0</v>
      </c>
      <c r="AD79" s="166">
        <f>'ADJ DETAIL INPUT'!AF79</f>
        <v>0</v>
      </c>
      <c r="AE79" s="166">
        <f>'ADJ DETAIL INPUT'!AG79</f>
        <v>0</v>
      </c>
      <c r="AF79" s="166">
        <f>'ADJ DETAIL INPUT'!AH79</f>
        <v>0</v>
      </c>
      <c r="AG79" s="166">
        <f>'ADJ DETAIL INPUT'!AI79</f>
        <v>0</v>
      </c>
      <c r="AH79" s="166">
        <f>'ADJ DETAIL INPUT'!AJ79</f>
        <v>0</v>
      </c>
      <c r="AI79" s="166">
        <f>'ADJ DETAIL INPUT'!AL79</f>
        <v>0</v>
      </c>
      <c r="AJ79" s="166">
        <f>'ADJ DETAIL INPUT'!AO79</f>
        <v>0</v>
      </c>
    </row>
    <row r="81" spans="1:36"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  <c r="AJ81" s="165"/>
    </row>
    <row r="82" spans="1:36" s="287" customFormat="1" thickBot="1">
      <c r="A82" s="131">
        <v>47</v>
      </c>
      <c r="B82" s="287" t="s">
        <v>69</v>
      </c>
      <c r="E82" s="289">
        <f>E75+E76+E77+E79+E78</f>
        <v>287787</v>
      </c>
      <c r="F82" s="289">
        <f t="shared" ref="F82:AC82" si="111">F75+F76+F77+F79+F78</f>
        <v>-325</v>
      </c>
      <c r="G82" s="289">
        <f t="shared" si="111"/>
        <v>0</v>
      </c>
      <c r="H82" s="289">
        <f t="shared" si="111"/>
        <v>-4182</v>
      </c>
      <c r="I82" s="289">
        <f t="shared" si="111"/>
        <v>0</v>
      </c>
      <c r="J82" s="289">
        <f t="shared" si="111"/>
        <v>0</v>
      </c>
      <c r="K82" s="289">
        <f t="shared" si="111"/>
        <v>0</v>
      </c>
      <c r="L82" s="289">
        <f t="shared" si="111"/>
        <v>0</v>
      </c>
      <c r="M82" s="289">
        <f t="shared" si="111"/>
        <v>0</v>
      </c>
      <c r="N82" s="289">
        <f t="shared" si="111"/>
        <v>0</v>
      </c>
      <c r="O82" s="289">
        <f t="shared" si="111"/>
        <v>0</v>
      </c>
      <c r="P82" s="289">
        <f t="shared" si="111"/>
        <v>0</v>
      </c>
      <c r="Q82" s="289">
        <f t="shared" si="111"/>
        <v>0</v>
      </c>
      <c r="R82" s="289">
        <f t="shared" si="111"/>
        <v>0</v>
      </c>
      <c r="S82" s="289">
        <f t="shared" ref="S82:T82" si="112">S75+S76+S77+S79+S78</f>
        <v>0</v>
      </c>
      <c r="T82" s="289">
        <f t="shared" si="112"/>
        <v>0</v>
      </c>
      <c r="U82" s="289">
        <f t="shared" ref="U82:V82" si="113">U75+U76+U77+U79+U78</f>
        <v>0</v>
      </c>
      <c r="V82" s="289">
        <f t="shared" si="113"/>
        <v>0</v>
      </c>
      <c r="W82" s="289">
        <f>W75+W76+W77+W79+W78</f>
        <v>0</v>
      </c>
      <c r="X82" s="289">
        <f>X75+X76+X77+X79+X78</f>
        <v>0</v>
      </c>
      <c r="Y82" s="289">
        <f t="shared" si="111"/>
        <v>0</v>
      </c>
      <c r="Z82" s="289">
        <f t="shared" ref="Z82" si="114">Z75+Z76+Z77+Z79+Z78</f>
        <v>0</v>
      </c>
      <c r="AA82" s="289">
        <f t="shared" si="111"/>
        <v>0</v>
      </c>
      <c r="AB82" s="289">
        <f t="shared" ref="AB82" si="115">AB75+AB76+AB77+AB79+AB78</f>
        <v>0</v>
      </c>
      <c r="AC82" s="289">
        <f t="shared" si="111"/>
        <v>0</v>
      </c>
      <c r="AD82" s="289">
        <f t="shared" ref="AD82" si="116">AD75+AD76+AD77+AD79+AD78</f>
        <v>0</v>
      </c>
      <c r="AE82" s="289">
        <f t="shared" ref="AE82:AH82" si="117">AE75+AE76+AE77+AE79+AE78</f>
        <v>0</v>
      </c>
      <c r="AF82" s="289">
        <f t="shared" si="117"/>
        <v>0</v>
      </c>
      <c r="AG82" s="289">
        <f t="shared" si="117"/>
        <v>7872</v>
      </c>
      <c r="AH82" s="289">
        <f t="shared" si="117"/>
        <v>0</v>
      </c>
      <c r="AI82" s="289">
        <f t="shared" ref="AI82" si="118">AI75+AI76+AI77+AI79+AI78</f>
        <v>1474</v>
      </c>
      <c r="AJ82" s="289">
        <f t="shared" ref="AJ82" si="119">AJ75+AJ76+AJ77+AJ79+AJ78</f>
        <v>0</v>
      </c>
    </row>
    <row r="83" spans="1:36" ht="18" customHeight="1" thickTop="1">
      <c r="E83" s="244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65"/>
    </row>
    <row r="84" spans="1:36"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</row>
    <row r="85" spans="1:36"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</row>
    <row r="86" spans="1:36" s="156" customFormat="1">
      <c r="A86" s="155"/>
      <c r="D86" s="157"/>
      <c r="E86" s="294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</row>
    <row r="87" spans="1:36" s="156" customFormat="1">
      <c r="A87" s="159"/>
      <c r="D87" s="157"/>
      <c r="E87" s="293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</row>
    <row r="88" spans="1:36" s="156" customFormat="1">
      <c r="A88" s="159"/>
      <c r="D88" s="157"/>
      <c r="E88" s="170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</row>
    <row r="89" spans="1:36" s="156" customFormat="1">
      <c r="A89" s="159"/>
      <c r="D89" s="157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0"/>
    </row>
    <row r="90" spans="1:36" s="156" customFormat="1">
      <c r="A90" s="159"/>
      <c r="D90" s="157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</row>
    <row r="91" spans="1:36" s="156" customFormat="1">
      <c r="A91" s="159"/>
      <c r="D91" s="157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</row>
    <row r="92" spans="1:36" s="156" customFormat="1">
      <c r="A92" s="155"/>
      <c r="D92" s="157"/>
      <c r="E92" s="158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</row>
    <row r="93" spans="1:36" s="156" customFormat="1">
      <c r="A93" s="159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</row>
    <row r="94" spans="1:36" s="156" customFormat="1">
      <c r="A94" s="159"/>
      <c r="D94" s="157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</row>
    <row r="95" spans="1:36" s="156" customFormat="1">
      <c r="A95" s="159"/>
      <c r="D95" s="157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</row>
    <row r="96" spans="1:36" s="156" customFormat="1">
      <c r="A96" s="159"/>
      <c r="D96" s="160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</row>
    <row r="97" spans="1:36" s="156" customFormat="1">
      <c r="A97" s="159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</row>
    <row r="98" spans="1:36" s="156" customFormat="1">
      <c r="A98" s="159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1" manualBreakCount="31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Response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2018-03-21T20:44:16+00:00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46CFDC-3904-4D56-B4EB-7A190A238EFC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9B2C10-DAA6-4191-82DE-3B5941EFFD09}"/>
</file>

<file path=customXml/itemProps3.xml><?xml version="1.0" encoding="utf-8"?>
<ds:datastoreItem xmlns:ds="http://schemas.openxmlformats.org/officeDocument/2006/customXml" ds:itemID="{424297C8-CC38-4E29-B71A-B1998CB6BA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9D444A-401D-4ED2-9553-C70B71EBA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18</vt:i4>
      </vt:variant>
    </vt:vector>
  </HeadingPairs>
  <TitlesOfParts>
    <vt:vector size="30" baseType="lpstr">
      <vt:lpstr>PROP0SED RATES-2018</vt:lpstr>
      <vt:lpstr>RR SUMMARY</vt:lpstr>
      <vt:lpstr>CF</vt:lpstr>
      <vt:lpstr>ADJ DETAIL INPUT</vt:lpstr>
      <vt:lpstr>TCJA</vt:lpstr>
      <vt:lpstr>2015 GRC Embedded Tax</vt:lpstr>
      <vt:lpstr>Recap Summary</vt:lpstr>
      <vt:lpstr>LEAD SHEETS-DO NOT ENTER</vt:lpstr>
      <vt:lpstr>ADJ SUMMARY</vt:lpstr>
      <vt:lpstr>DEBT CALC</vt:lpstr>
      <vt:lpstr>ROO INPUT</vt:lpstr>
      <vt:lpstr>not used - PROP0SED RATES-2019</vt:lpstr>
      <vt:lpstr>'DEBT CALC'!ID_Elec</vt:lpstr>
      <vt:lpstr>'2015 GRC Embedded Tax'!Print_Area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'not used - PROP0SED RATES-2019'!Print_Area</vt:lpstr>
      <vt:lpstr>'PROP0SED RATES-2018'!Print_Area</vt:lpstr>
      <vt:lpstr>'Recap Summary'!Print_Area</vt:lpstr>
      <vt:lpstr>'ROO INPUT'!Print_Area</vt:lpstr>
      <vt:lpstr>'RR SUMMARY'!Print_Area</vt:lpstr>
      <vt:lpstr>TCJA!Print_Area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Preferred Customer</dc:creator>
  <dc:description/>
  <cp:lastModifiedBy>Krista Gross</cp:lastModifiedBy>
  <cp:lastPrinted>2018-03-21T17:57:22Z</cp:lastPrinted>
  <dcterms:created xsi:type="dcterms:W3CDTF">1997-05-15T21:41:44Z</dcterms:created>
  <dcterms:modified xsi:type="dcterms:W3CDTF">2018-03-21T18:17:18Z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4" name="EfsecDocumentType">
    <vt:lpwstr>Documents</vt:lpwstr>
  </property>
  <property fmtid="{D5CDD505-2E9C-101B-9397-08002B2CF9AE}" pid="9" name="IsOfficialRecord">
    <vt:bool>false</vt:bool>
  </property>
  <property fmtid="{D5CDD505-2E9C-101B-9397-08002B2CF9AE}" pid="10" name="IsVisibleToEfsecCouncil">
    <vt:bool>false</vt:bool>
  </property>
  <property fmtid="{D5CDD505-2E9C-101B-9397-08002B2CF9AE}" pid="16" name="_docset_NoMedatataSyncRequired">
    <vt:lpwstr>False</vt:lpwstr>
  </property>
  <property fmtid="{D5CDD505-2E9C-101B-9397-08002B2CF9AE}" pid="17" name="IsEFSEC">
    <vt:bool>false</vt:bool>
  </property>
</Properties>
</file>