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8.xml" ContentType="application/vnd.openxmlformats-officedocument.drawingml.chartshapes+xml"/>
  <Override PartName="/xl/drawings/drawing26.xml" ContentType="application/vnd.openxmlformats-officedocument.drawingml.chartshapes+xml"/>
  <Override PartName="/xl/drawings/drawing24.xml" ContentType="application/vnd.openxmlformats-officedocument.drawingml.chartshapes+xml"/>
  <Override PartName="/xl/workbook.xml" ContentType="application/vnd.openxmlformats-officedocument.spreadsheetml.sheet.main+xml"/>
  <Override PartName="/xl/worksheets/sheet7.xml" ContentType="application/vnd.openxmlformats-officedocument.spreadsheetml.worksheet+xml"/>
  <Override PartName="/xl/charts/style5.xml" ContentType="application/vnd.ms-office.chartstyle+xml"/>
  <Override PartName="/xl/charts/colors5.xml" ContentType="application/vnd.ms-office.chartcolorstyle+xml"/>
  <Override PartName="/xl/worksheets/sheet4.xml" ContentType="application/vnd.openxmlformats-officedocument.spreadsheetml.worksheet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worksheets/sheet5.xml" ContentType="application/vnd.openxmlformats-officedocument.spreadsheetml.workshee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style6.xml" ContentType="application/vnd.ms-office.chartstyle+xml"/>
  <Override PartName="/xl/charts/colors6.xml" ContentType="application/vnd.ms-office.chartcolorstyl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harts/chart13.xml" ContentType="application/vnd.openxmlformats-officedocument.drawingml.chart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olors3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style3.xml" ContentType="application/vnd.ms-office.chartstyle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worksheets/sheet6.xml" ContentType="application/vnd.openxmlformats-officedocument.spreadsheetml.worksheet+xml"/>
  <Override PartName="/xl/drawings/drawing11.xml" ContentType="application/vnd.openxmlformats-officedocument.drawing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7.xml" ContentType="application/vnd.openxmlformats-officedocument.spreadsheetml.chartsheet+xml"/>
  <Override PartName="/xl/chartsheets/sheet18.xml" ContentType="application/vnd.openxmlformats-officedocument.spreadsheetml.chartsheet+xml"/>
  <Override PartName="/xl/chartsheets/sheet22.xml" ContentType="application/vnd.openxmlformats-officedocument.spreadsheetml.chartsheet+xml"/>
  <Override PartName="/xl/chartsheets/sheet23.xml" ContentType="application/vnd.openxmlformats-officedocument.spreadsheetml.chart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1.xml" ContentType="application/vnd.openxmlformats-officedocument.spreadsheetml.worksheet+xml"/>
  <Override PartName="/xl/chartsheets/sheet21.xml" ContentType="application/vnd.openxmlformats-officedocument.spreadsheetml.chartsheet+xml"/>
  <Override PartName="/xl/worksheets/sheet20.xml" ContentType="application/vnd.openxmlformats-officedocument.spreadsheetml.worksheet+xml"/>
  <Override PartName="/xl/chartsheets/sheet19.xml" ContentType="application/vnd.openxmlformats-officedocument.spreadsheetml.chartsheet+xml"/>
  <Override PartName="/xl/chartsheets/sheet20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3.xml" ContentType="application/vnd.openxmlformats-officedocument.spreadsheetml.chartshee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worksheets/sheet12.xml" ContentType="application/vnd.openxmlformats-officedocument.spreadsheetml.workshee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worksheets/sheet11.xml" ContentType="application/vnd.openxmlformats-officedocument.spreadsheetml.workshee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worksheets/sheet8.xml" ContentType="application/vnd.openxmlformats-officedocument.spreadsheetml.worksheet+xml"/>
  <Override PartName="/xl/drawings/drawing10.xml" ContentType="application/vnd.openxmlformats-officedocument.drawing+xml"/>
  <Override PartName="/xl/worksheets/sheet9.xml" ContentType="application/vnd.openxmlformats-officedocument.spreadsheetml.workshee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5.xml" ContentType="application/vnd.openxmlformats-officedocument.drawing+xml"/>
  <Override PartName="/xl/worksheets/sheet13.xml" ContentType="application/vnd.openxmlformats-officedocument.spreadsheetml.worksheet+xml"/>
  <Override PartName="/xl/charts/chart4.xml" ContentType="application/vnd.openxmlformats-officedocument.drawingml.chart+xml"/>
  <Override PartName="/xl/worksheets/sheet18.xml" ContentType="application/vnd.openxmlformats-officedocument.spreadsheetml.workshee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worksheets/sheet19.xml" ContentType="application/vnd.openxmlformats-officedocument.spreadsheetml.worksheet+xml"/>
  <Override PartName="/xl/chartsheets/sheet1.xml" ContentType="application/vnd.openxmlformats-officedocument.spreadsheetml.chart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hartsheets/sheet2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worksheets/sheet15.xml" ContentType="application/vnd.openxmlformats-officedocument.spreadsheetml.worksheet+xml"/>
  <Override PartName="/xl/charts/chart3.xml" ContentType="application/vnd.openxmlformats-officedocument.drawingml.char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3.xml" ContentType="application/vnd.openxmlformats-officedocument.spreadsheetml.comments+xml"/>
  <Override PartName="/xl/externalLinks/externalLink4.xml" ContentType="application/vnd.openxmlformats-officedocument.spreadsheetml.externalLink+xml"/>
  <Override PartName="/xl/comments11.xml" ContentType="application/vnd.openxmlformats-officedocument.spreadsheetml.comments+xml"/>
  <Override PartName="/xl/comments10.xml" ContentType="application/vnd.openxmlformats-officedocument.spreadsheetml.comments+xml"/>
  <Override PartName="/xl/comments9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1.xml" ContentType="application/vnd.openxmlformats-officedocument.spreadsheetml.table+xml"/>
  <Override PartName="/xl/externalLinks/externalLink5.xml" ContentType="application/vnd.openxmlformats-officedocument.spreadsheetml.externalLink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xl/comments5.xml" ContentType="application/vnd.openxmlformats-officedocument.spreadsheetml.comments+xml"/>
  <Override PartName="/xl/externalLinks/externalLink3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ResourcePlanning\2021 IRP\01. IRP Book\H - Electric Analysis Inputs and Results\App H Files\Final All Files\"/>
    </mc:Choice>
  </mc:AlternateContent>
  <bookViews>
    <workbookView xWindow="-15" yWindow="-15" windowWidth="12240" windowHeight="11415" tabRatio="901"/>
  </bookViews>
  <sheets>
    <sheet name="Read_Me" sheetId="50" r:id="rId1"/>
    <sheet name="SUMMARY TABLES &gt;&gt;&gt;" sheetId="52" r:id="rId2"/>
    <sheet name="Summary Results Tables" sheetId="37" r:id="rId3"/>
    <sheet name="Figure 9-26" sheetId="46" r:id="rId4"/>
    <sheet name="Total system cost tables" sheetId="38" r:id="rId5"/>
    <sheet name="SENDOUT OUTPUTS &gt;&gt;&gt;" sheetId="53" r:id="rId6"/>
    <sheet name="L&amp;R Bal - Mid" sheetId="6" r:id="rId7"/>
    <sheet name="L&amp;R Bal - Mid No carbon" sheetId="43" r:id="rId8"/>
    <sheet name="L&amp;R Bal - Mid No DSR" sheetId="27" r:id="rId9"/>
    <sheet name="L&amp;R Bal - HIGH" sheetId="17" r:id="rId10"/>
    <sheet name="L&amp;R Bal - LOW" sheetId="19" r:id="rId11"/>
    <sheet name="L&amp;R Bal - LOW No DSR" sheetId="30" r:id="rId12"/>
    <sheet name="L&amp;R Bal - LOW No Carbon" sheetId="32" r:id="rId13"/>
    <sheet name="L&amp;R Bal - AR5" sheetId="20" r:id="rId14"/>
    <sheet name="L&amp;R Bal - 6 Yr Ramp" sheetId="21" r:id="rId15"/>
    <sheet name="L&amp;R Bal - SDR" sheetId="22" r:id="rId16"/>
    <sheet name="Total System Cost" sheetId="23" r:id="rId17"/>
    <sheet name="Gas Sales - Base Build Summary" sheetId="40" r:id="rId18"/>
    <sheet name="CHARTS &gt;&gt;&gt;" sheetId="51" r:id="rId19"/>
    <sheet name="Chart-Resource Surplus-Need" sheetId="5" r:id="rId20"/>
    <sheet name="Chart- Mid Builds" sheetId="15" r:id="rId21"/>
    <sheet name="Chart- Mid No Carbon Builds" sheetId="44" r:id="rId22"/>
    <sheet name="Chart- Mid No DSR Builds" sheetId="28" r:id="rId23"/>
    <sheet name="Chart-Mid vs 2019" sheetId="10" r:id="rId24"/>
    <sheet name="Chart-High" sheetId="12" r:id="rId25"/>
    <sheet name="Chart- low Builds" sheetId="29" r:id="rId26"/>
    <sheet name="Chart- low No DSR Builds" sheetId="31" r:id="rId27"/>
    <sheet name="Chart- low No Carbon Builds" sheetId="33" r:id="rId28"/>
    <sheet name="Chart- Low Builds Scenarios " sheetId="36" r:id="rId29"/>
    <sheet name="Chart- Mid Builds Sensitivities" sheetId="35" r:id="rId30"/>
    <sheet name="Chart-Sytem Cost $ per Dth" sheetId="39" r:id="rId31"/>
    <sheet name="Chart-total system cost" sheetId="25" r:id="rId32"/>
    <sheet name="Chart-total syst cost Temp Sens" sheetId="49" r:id="rId33"/>
    <sheet name="Chart-system cost Sensitivities" sheetId="34" r:id="rId34"/>
    <sheet name="Chart-Builds scenario" sheetId="41" r:id="rId35"/>
    <sheet name="Chart-Scenario Builds" sheetId="42" r:id="rId36"/>
    <sheet name="Fig 8-1 Resource Need BaseLoHi" sheetId="1" r:id="rId37"/>
    <sheet name="Fig 8-1 Demand Peak BaseLowHigh" sheetId="47" r:id="rId38"/>
    <sheet name="Fig 8-1 Demand BaseLowHigh " sheetId="48" r:id="rId39"/>
    <sheet name="G2E SENSITIVITY &gt;&gt;&gt;" sheetId="54" r:id="rId40"/>
    <sheet name="Costs" sheetId="58" r:id="rId41"/>
    <sheet name="Emissions" sheetId="60" r:id="rId42"/>
    <sheet name="Chart1" sheetId="61" r:id="rId43"/>
    <sheet name="G2E Data" sheetId="55" r:id="rId44"/>
  </sheets>
  <externalReferences>
    <externalReference r:id="rId45"/>
    <externalReference r:id="rId46"/>
    <externalReference r:id="rId47"/>
    <externalReference r:id="rId48"/>
    <externalReference r:id="rId49"/>
  </externalReferences>
  <definedNames>
    <definedName name="_Order1" hidden="1">255</definedName>
    <definedName name="_Order2" hidden="1">255</definedName>
    <definedName name="_Regression_Out" localSheetId="17" hidden="1">[1]FIA!#REF!</definedName>
    <definedName name="_Regression_Out" localSheetId="14" hidden="1">[1]FIA!#REF!</definedName>
    <definedName name="_Regression_Out" localSheetId="13" hidden="1">[1]FIA!#REF!</definedName>
    <definedName name="_Regression_Out" localSheetId="9" hidden="1">[1]FIA!#REF!</definedName>
    <definedName name="_Regression_Out" localSheetId="10" hidden="1">[1]FIA!#REF!</definedName>
    <definedName name="_Regression_Out" localSheetId="12" hidden="1">[1]FIA!#REF!</definedName>
    <definedName name="_Regression_Out" localSheetId="11" hidden="1">[1]FIA!#REF!</definedName>
    <definedName name="_Regression_Out" localSheetId="6" hidden="1">[1]FIA!#REF!</definedName>
    <definedName name="_Regression_Out" localSheetId="7" hidden="1">[1]FIA!#REF!</definedName>
    <definedName name="_Regression_Out" localSheetId="8" hidden="1">[1]FIA!#REF!</definedName>
    <definedName name="_Regression_Out" localSheetId="15" hidden="1">[1]FIA!#REF!</definedName>
    <definedName name="_Regression_Out" hidden="1">[1]FIA!#REF!</definedName>
    <definedName name="a" localSheetId="17" hidden="1">{"Plat Summary",#N/A,FALSE,"PLAT DESIGN"}</definedName>
    <definedName name="a" localSheetId="16" hidden="1">{"Plat Summary",#N/A,FALSE,"PLAT DESIGN"}</definedName>
    <definedName name="a" hidden="1">{"Plat Summary",#N/A,FALSE,"PLAT DESIGN"}</definedName>
    <definedName name="After_Tax_WACC">[2]Assumptions!$B$50</definedName>
    <definedName name="b" localSheetId="17" hidden="1">{"Plat Summary",#N/A,FALSE,"PLAT DESIGN"}</definedName>
    <definedName name="b" localSheetId="16" hidden="1">{"Plat Summary",#N/A,FALSE,"PLAT DESIGN"}</definedName>
    <definedName name="b" hidden="1">{"Plat Summary",#N/A,FALSE,"PLAT DESIGN"}</definedName>
    <definedName name="B_Marine_Loading">[3]Assumptions!$B$19</definedName>
    <definedName name="BandO_Tax">[2]Assumptions!$B$65</definedName>
    <definedName name="Book_Depreciation_Rate">[3]Assumptions!$B$103</definedName>
    <definedName name="DGE_to_LNG">[2]Assumptions!$B$20</definedName>
    <definedName name="Equity_Invst_MARKETER">[2]Assumptions!$C$28</definedName>
    <definedName name="Equity_Invst_TOTE">[2]Assumptions!$B$28</definedName>
    <definedName name="FIT_rate">'[4]Gen Inputs'!$B$34</definedName>
    <definedName name="Gal_Year_Plant">[2]Assumptions!$E$37</definedName>
    <definedName name="Gossup_Other_Tax_Rate">'[3]Distribution Cost-&gt; Rev Req'!$D$29</definedName>
    <definedName name="High_Tax">[2]Assumptions!$C$111</definedName>
    <definedName name="Inflation">[2]Assumptions!$B$47</definedName>
    <definedName name="inflation_labor">[2]Assumptions!$B$48</definedName>
    <definedName name="M_Term">[2]Assumptions!$B$24</definedName>
    <definedName name="MMBTU_per_BOE">[2]Assumptions!$B$16</definedName>
    <definedName name="MMBTU_to_LNGgal_HHV">[2]Assumptions!$B$17</definedName>
    <definedName name="MMBTU_to_LNGgal_LHV">[2]Assumptions!$B$18</definedName>
    <definedName name="Model_years">'[4]Gen Inputs'!$B$21</definedName>
    <definedName name="O_M_Input">'[5]Operations(Input)'!$B$6:$AO$9,'[5]Operations(Input)'!$B$14:$AO$14,'[5]Operations(Input)'!$B$16:$B$18,'[5]Operations(Input)'!$B$18:$AO$18,'[5]Operations(Input)'!$B$16:$AO$16</definedName>
    <definedName name="Peaking_Allocation">'[2]Capital Inputs'!$E$29</definedName>
    <definedName name="Plant_Input">'[5]Plant(Input)'!$B$7:$AP$9,'[5]Plant(Input)'!$B$11,'[5]Plant(Input)'!$B$15:$AP$15,'[5]Plant(Input)'!$B$18,'[5]Plant(Input)'!$B$20:$AP$20</definedName>
    <definedName name="_xlnm.Print_Area" localSheetId="14">'L&amp;R Bal - 6 Yr Ramp'!$B$2:$AH$42</definedName>
    <definedName name="_xlnm.Print_Area" localSheetId="13">'L&amp;R Bal - AR5'!$B$2:$AH$42</definedName>
    <definedName name="_xlnm.Print_Area" localSheetId="9">'L&amp;R Bal - HIGH'!$B$2:$AG$42</definedName>
    <definedName name="_xlnm.Print_Area" localSheetId="10">'L&amp;R Bal - LOW'!$B$2:$AG$42</definedName>
    <definedName name="_xlnm.Print_Area" localSheetId="12">'L&amp;R Bal - LOW No Carbon'!$B$2:$AH$42</definedName>
    <definedName name="_xlnm.Print_Area" localSheetId="11">'L&amp;R Bal - LOW No DSR'!$B$2:$AH$42</definedName>
    <definedName name="_xlnm.Print_Area" localSheetId="6">'L&amp;R Bal - Mid'!$B$2:$AG$42</definedName>
    <definedName name="_xlnm.Print_Area" localSheetId="7">'L&amp;R Bal - Mid No carbon'!$B$2:$AG$42</definedName>
    <definedName name="_xlnm.Print_Area" localSheetId="8">'L&amp;R Bal - Mid No DSR'!$B$2:$AH$42</definedName>
    <definedName name="_xlnm.Print_Area" localSheetId="15">'L&amp;R Bal - SDR'!$B$2:$AH$42</definedName>
    <definedName name="Property_Tax_Rate">[2]Assumptions!$B$71</definedName>
    <definedName name="Revenue_Gross_Up">[2]Assumptions!$B$113</definedName>
    <definedName name="Small_Plant">[2]Assumptions!$G$11</definedName>
    <definedName name="Start_Year">[2]Assumptions!$B$5</definedName>
    <definedName name="summary" localSheetId="17" hidden="1">{"Plat Summary",#N/A,FALSE,"PLAT DESIGN"}</definedName>
    <definedName name="summary" localSheetId="16" hidden="1">{"Plat Summary",#N/A,FALSE,"PLAT DESIGN"}</definedName>
    <definedName name="summary" hidden="1">{"Plat Summary",#N/A,FALSE,"PLAT DESIGN"}</definedName>
    <definedName name="T_Term">[2]Assumptions!$B$23</definedName>
    <definedName name="Tax_Rate">[2]Assumptions!$B$70</definedName>
    <definedName name="Tax_Rate_GasMains">'[2]Dist Plant Rev Req'!$C$49</definedName>
    <definedName name="Tax_Rate_Market">[2]Assumptions!$C$70</definedName>
    <definedName name="Tax_Rate_TOTE">[2]Assumptions!$B$70</definedName>
    <definedName name="Tax_SalesTax">[2]Assumptions!$B$61</definedName>
    <definedName name="Tax_Utility_Gross">[2]Assumptions!$D$70</definedName>
    <definedName name="wacc">[2]Assumptions!$B$51</definedName>
    <definedName name="Working_Capital">[2]Assumptions!$B$58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55" l="1"/>
  <c r="W73" i="55"/>
  <c r="W74" i="55"/>
  <c r="W75" i="55"/>
  <c r="W76" i="55"/>
  <c r="W77" i="55"/>
  <c r="W78" i="55"/>
  <c r="W79" i="55"/>
  <c r="W80" i="55"/>
  <c r="W81" i="55"/>
  <c r="W82" i="55"/>
  <c r="W83" i="55"/>
  <c r="W84" i="55"/>
  <c r="W85" i="55"/>
  <c r="W86" i="55"/>
  <c r="W87" i="55"/>
  <c r="W88" i="55"/>
  <c r="W89" i="55"/>
  <c r="W90" i="55"/>
  <c r="W91" i="55"/>
  <c r="W72" i="55"/>
  <c r="V73" i="55"/>
  <c r="V74" i="55"/>
  <c r="V75" i="55"/>
  <c r="V76" i="55"/>
  <c r="V77" i="55"/>
  <c r="V78" i="55"/>
  <c r="V79" i="55"/>
  <c r="V80" i="55"/>
  <c r="V81" i="55"/>
  <c r="V82" i="55"/>
  <c r="V83" i="55"/>
  <c r="V84" i="55"/>
  <c r="V85" i="55"/>
  <c r="V86" i="55"/>
  <c r="V87" i="55"/>
  <c r="V88" i="55"/>
  <c r="V89" i="55"/>
  <c r="V90" i="55"/>
  <c r="V91" i="55"/>
  <c r="V96" i="55"/>
  <c r="V97" i="55"/>
  <c r="V98" i="55"/>
  <c r="V72" i="55"/>
  <c r="Y91" i="55" l="1"/>
  <c r="Y90" i="55"/>
  <c r="Y80" i="55"/>
  <c r="H6" i="55"/>
  <c r="AA6" i="55" s="1"/>
  <c r="H7" i="55"/>
  <c r="AA7" i="55" s="1"/>
  <c r="H8" i="55"/>
  <c r="H9" i="55"/>
  <c r="H10" i="55"/>
  <c r="AA10" i="55" s="1"/>
  <c r="H11" i="55"/>
  <c r="AA11" i="55" s="1"/>
  <c r="H12" i="55"/>
  <c r="AA12" i="55" s="1"/>
  <c r="H13" i="55"/>
  <c r="AA13" i="55" s="1"/>
  <c r="H14" i="55"/>
  <c r="AA14" i="55" s="1"/>
  <c r="H15" i="55"/>
  <c r="AA15" i="55" s="1"/>
  <c r="H16" i="55"/>
  <c r="AA16" i="55" s="1"/>
  <c r="H17" i="55"/>
  <c r="AA17" i="55" s="1"/>
  <c r="H18" i="55"/>
  <c r="AA18" i="55" s="1"/>
  <c r="H19" i="55"/>
  <c r="AA19" i="55" s="1"/>
  <c r="H20" i="55"/>
  <c r="H21" i="55"/>
  <c r="AA21" i="55" s="1"/>
  <c r="H22" i="55"/>
  <c r="AA22" i="55" s="1"/>
  <c r="H23" i="55"/>
  <c r="AA23" i="55" s="1"/>
  <c r="H24" i="55"/>
  <c r="AA24" i="55" s="1"/>
  <c r="H25" i="55"/>
  <c r="AA25" i="55" s="1"/>
  <c r="H26" i="55"/>
  <c r="AA26" i="55" s="1"/>
  <c r="H27" i="55"/>
  <c r="AA27" i="55" s="1"/>
  <c r="H28" i="55"/>
  <c r="AA28" i="55" s="1"/>
  <c r="H5" i="55"/>
  <c r="C6" i="55"/>
  <c r="Z6" i="55" s="1"/>
  <c r="C7" i="55"/>
  <c r="Z7" i="55" s="1"/>
  <c r="C8" i="55"/>
  <c r="Z8" i="55" s="1"/>
  <c r="C9" i="55"/>
  <c r="Z9" i="55" s="1"/>
  <c r="C10" i="55"/>
  <c r="Z10" i="55" s="1"/>
  <c r="C11" i="55"/>
  <c r="Z11" i="55" s="1"/>
  <c r="C12" i="55"/>
  <c r="C13" i="55"/>
  <c r="Z13" i="55" s="1"/>
  <c r="C14" i="55"/>
  <c r="Z14" i="55" s="1"/>
  <c r="C15" i="55"/>
  <c r="Z15" i="55" s="1"/>
  <c r="C16" i="55"/>
  <c r="Z16" i="55" s="1"/>
  <c r="C17" i="55"/>
  <c r="Z17" i="55" s="1"/>
  <c r="C18" i="55"/>
  <c r="Z18" i="55" s="1"/>
  <c r="C19" i="55"/>
  <c r="Z19" i="55" s="1"/>
  <c r="C20" i="55"/>
  <c r="Z20" i="55" s="1"/>
  <c r="C21" i="55"/>
  <c r="Z21" i="55" s="1"/>
  <c r="C22" i="55"/>
  <c r="Z22" i="55" s="1"/>
  <c r="C23" i="55"/>
  <c r="Z23" i="55" s="1"/>
  <c r="C24" i="55"/>
  <c r="Z24" i="55" s="1"/>
  <c r="C25" i="55"/>
  <c r="Z25" i="55" s="1"/>
  <c r="C26" i="55"/>
  <c r="Z26" i="55" s="1"/>
  <c r="C27" i="55"/>
  <c r="Z27" i="55" s="1"/>
  <c r="C28" i="55"/>
  <c r="Z28" i="55" s="1"/>
  <c r="C5" i="55"/>
  <c r="M73" i="55"/>
  <c r="N73" i="55"/>
  <c r="M74" i="55"/>
  <c r="N74" i="55"/>
  <c r="M75" i="55"/>
  <c r="N75" i="55"/>
  <c r="M76" i="55"/>
  <c r="N76" i="55"/>
  <c r="M77" i="55"/>
  <c r="N77" i="55"/>
  <c r="M78" i="55"/>
  <c r="N78" i="55"/>
  <c r="M79" i="55"/>
  <c r="N79" i="55"/>
  <c r="M80" i="55"/>
  <c r="N80" i="55"/>
  <c r="M81" i="55"/>
  <c r="N81" i="55"/>
  <c r="M82" i="55"/>
  <c r="N82" i="55"/>
  <c r="M83" i="55"/>
  <c r="N83" i="55"/>
  <c r="M84" i="55"/>
  <c r="N84" i="55"/>
  <c r="M85" i="55"/>
  <c r="N85" i="55"/>
  <c r="M86" i="55"/>
  <c r="N86" i="55"/>
  <c r="M87" i="55"/>
  <c r="N87" i="55"/>
  <c r="M88" i="55"/>
  <c r="N88" i="55"/>
  <c r="M89" i="55"/>
  <c r="N89" i="55"/>
  <c r="M90" i="55"/>
  <c r="N90" i="55"/>
  <c r="M91" i="55"/>
  <c r="N91" i="55"/>
  <c r="N92" i="55"/>
  <c r="N93" i="55"/>
  <c r="N94" i="55"/>
  <c r="N95" i="55"/>
  <c r="N72" i="55"/>
  <c r="M72" i="55"/>
  <c r="G92" i="55"/>
  <c r="B92" i="55"/>
  <c r="B93" i="55" s="1"/>
  <c r="B94" i="55" s="1"/>
  <c r="B95" i="55" s="1"/>
  <c r="Q62" i="55"/>
  <c r="Q61" i="55"/>
  <c r="Q60" i="55"/>
  <c r="Q59" i="55"/>
  <c r="Q58" i="55"/>
  <c r="Q57" i="55"/>
  <c r="Q56" i="55"/>
  <c r="Q55" i="55"/>
  <c r="Q54" i="55"/>
  <c r="Q53" i="55"/>
  <c r="Q52" i="55"/>
  <c r="Q51" i="55"/>
  <c r="Q50" i="55"/>
  <c r="Q49" i="55"/>
  <c r="Q48" i="55"/>
  <c r="Q47" i="55"/>
  <c r="Q46" i="55"/>
  <c r="Q45" i="55"/>
  <c r="Q44" i="55"/>
  <c r="Q43" i="55"/>
  <c r="Q42" i="55"/>
  <c r="Q41" i="55"/>
  <c r="Q40" i="55"/>
  <c r="Q39" i="55"/>
  <c r="O62" i="55"/>
  <c r="O61" i="55"/>
  <c r="O60" i="55"/>
  <c r="O59" i="55"/>
  <c r="O58" i="55"/>
  <c r="O57" i="55"/>
  <c r="O56" i="55"/>
  <c r="O55" i="55"/>
  <c r="O54" i="55"/>
  <c r="O53" i="55"/>
  <c r="O52" i="55"/>
  <c r="O51" i="55"/>
  <c r="O50" i="55"/>
  <c r="O49" i="55"/>
  <c r="O48" i="55"/>
  <c r="O47" i="55"/>
  <c r="O46" i="55"/>
  <c r="O45" i="55"/>
  <c r="O44" i="55"/>
  <c r="O43" i="55"/>
  <c r="O42" i="55"/>
  <c r="O41" i="55"/>
  <c r="O40" i="55"/>
  <c r="O39" i="55"/>
  <c r="N39" i="55"/>
  <c r="N40" i="55"/>
  <c r="N41" i="55"/>
  <c r="N42" i="55"/>
  <c r="N43" i="55"/>
  <c r="N44" i="55"/>
  <c r="N45" i="55"/>
  <c r="N46" i="55"/>
  <c r="N47" i="55"/>
  <c r="N48" i="55"/>
  <c r="N49" i="55"/>
  <c r="N50" i="55"/>
  <c r="N51" i="55"/>
  <c r="N52" i="55"/>
  <c r="N53" i="55"/>
  <c r="N54" i="55"/>
  <c r="N55" i="55"/>
  <c r="N56" i="55"/>
  <c r="N57" i="55"/>
  <c r="N58" i="55"/>
  <c r="N59" i="55"/>
  <c r="N60" i="55"/>
  <c r="N61" i="55"/>
  <c r="N62" i="55"/>
  <c r="I66" i="55"/>
  <c r="H66" i="55"/>
  <c r="I65" i="55"/>
  <c r="H65" i="55"/>
  <c r="C66" i="55"/>
  <c r="B66" i="55"/>
  <c r="C65" i="55"/>
  <c r="B65" i="55"/>
  <c r="J62" i="55"/>
  <c r="J61" i="55"/>
  <c r="J60" i="55"/>
  <c r="J59" i="55"/>
  <c r="J58" i="55"/>
  <c r="G24" i="55" s="1"/>
  <c r="J57" i="55"/>
  <c r="G23" i="55" s="1"/>
  <c r="J56" i="55"/>
  <c r="G22" i="55" s="1"/>
  <c r="J55" i="55"/>
  <c r="J54" i="55"/>
  <c r="J53" i="55"/>
  <c r="G19" i="55" s="1"/>
  <c r="J52" i="55"/>
  <c r="G18" i="55" s="1"/>
  <c r="V18" i="55" s="1"/>
  <c r="J51" i="55"/>
  <c r="G17" i="55" s="1"/>
  <c r="J50" i="55"/>
  <c r="G16" i="55" s="1"/>
  <c r="J49" i="55"/>
  <c r="G15" i="55" s="1"/>
  <c r="J48" i="55"/>
  <c r="G14" i="55" s="1"/>
  <c r="J47" i="55"/>
  <c r="J46" i="55"/>
  <c r="J45" i="55"/>
  <c r="J44" i="55"/>
  <c r="G10" i="55" s="1"/>
  <c r="J43" i="55"/>
  <c r="G9" i="55" s="1"/>
  <c r="J42" i="55"/>
  <c r="G8" i="55" s="1"/>
  <c r="J41" i="55"/>
  <c r="G7" i="55" s="1"/>
  <c r="J40" i="55"/>
  <c r="G6" i="55" s="1"/>
  <c r="J39" i="55"/>
  <c r="D62" i="55"/>
  <c r="D61" i="55"/>
  <c r="D60" i="55"/>
  <c r="D59" i="55"/>
  <c r="D58" i="55"/>
  <c r="B24" i="55" s="1"/>
  <c r="U24" i="55" s="1"/>
  <c r="D57" i="55"/>
  <c r="B23" i="55" s="1"/>
  <c r="U23" i="55" s="1"/>
  <c r="D56" i="55"/>
  <c r="B22" i="55" s="1"/>
  <c r="U22" i="55" s="1"/>
  <c r="D55" i="55"/>
  <c r="B21" i="55" s="1"/>
  <c r="U21" i="55" s="1"/>
  <c r="D54" i="55"/>
  <c r="B20" i="55" s="1"/>
  <c r="U20" i="55" s="1"/>
  <c r="D53" i="55"/>
  <c r="B19" i="55" s="1"/>
  <c r="U19" i="55" s="1"/>
  <c r="D52" i="55"/>
  <c r="B18" i="55" s="1"/>
  <c r="U18" i="55" s="1"/>
  <c r="D51" i="55"/>
  <c r="B17" i="55" s="1"/>
  <c r="U17" i="55" s="1"/>
  <c r="D50" i="55"/>
  <c r="B16" i="55" s="1"/>
  <c r="U16" i="55" s="1"/>
  <c r="D49" i="55"/>
  <c r="B15" i="55" s="1"/>
  <c r="U15" i="55" s="1"/>
  <c r="D48" i="55"/>
  <c r="B14" i="55" s="1"/>
  <c r="U14" i="55" s="1"/>
  <c r="D47" i="55"/>
  <c r="B13" i="55" s="1"/>
  <c r="U13" i="55" s="1"/>
  <c r="D46" i="55"/>
  <c r="B12" i="55" s="1"/>
  <c r="U12" i="55" s="1"/>
  <c r="D45" i="55"/>
  <c r="B11" i="55" s="1"/>
  <c r="U11" i="55" s="1"/>
  <c r="D44" i="55"/>
  <c r="B10" i="55" s="1"/>
  <c r="U10" i="55" s="1"/>
  <c r="D43" i="55"/>
  <c r="B9" i="55" s="1"/>
  <c r="U9" i="55" s="1"/>
  <c r="D42" i="55"/>
  <c r="B8" i="55" s="1"/>
  <c r="U8" i="55" s="1"/>
  <c r="D41" i="55"/>
  <c r="B7" i="55" s="1"/>
  <c r="U7" i="55" s="1"/>
  <c r="D40" i="55"/>
  <c r="B6" i="55" s="1"/>
  <c r="U6" i="55" s="1"/>
  <c r="D39" i="55"/>
  <c r="B5" i="55" s="1"/>
  <c r="U5" i="55" s="1"/>
  <c r="G25" i="55" l="1"/>
  <c r="O66" i="55"/>
  <c r="N20" i="55"/>
  <c r="N25" i="55"/>
  <c r="N9" i="55"/>
  <c r="N12" i="55"/>
  <c r="AA20" i="55"/>
  <c r="B25" i="55"/>
  <c r="U25" i="55" s="1"/>
  <c r="P39" i="55"/>
  <c r="P47" i="55"/>
  <c r="P55" i="55"/>
  <c r="P41" i="55"/>
  <c r="N24" i="55"/>
  <c r="N8" i="55"/>
  <c r="O65" i="55"/>
  <c r="P57" i="55"/>
  <c r="G5" i="55"/>
  <c r="V5" i="55" s="1"/>
  <c r="P58" i="55"/>
  <c r="N23" i="55"/>
  <c r="N7" i="55"/>
  <c r="AB28" i="55"/>
  <c r="B26" i="55"/>
  <c r="U26" i="55" s="1"/>
  <c r="M10" i="55"/>
  <c r="V10" i="55"/>
  <c r="B28" i="55"/>
  <c r="U28" i="55" s="1"/>
  <c r="Z12" i="55"/>
  <c r="P42" i="55"/>
  <c r="G13" i="55"/>
  <c r="V13" i="55" s="1"/>
  <c r="N16" i="55"/>
  <c r="AA8" i="55"/>
  <c r="AA9" i="55"/>
  <c r="N15" i="55"/>
  <c r="J66" i="55"/>
  <c r="N17" i="55"/>
  <c r="N65" i="55"/>
  <c r="P49" i="55"/>
  <c r="M92" i="55"/>
  <c r="AB13" i="55"/>
  <c r="N28" i="55"/>
  <c r="P44" i="55"/>
  <c r="P52" i="55"/>
  <c r="P60" i="55"/>
  <c r="P50" i="55"/>
  <c r="P46" i="55"/>
  <c r="P54" i="55"/>
  <c r="P62" i="55"/>
  <c r="D65" i="55"/>
  <c r="G21" i="55"/>
  <c r="V21" i="55" s="1"/>
  <c r="M18" i="55"/>
  <c r="B27" i="55"/>
  <c r="U27" i="55" s="1"/>
  <c r="P45" i="55"/>
  <c r="P61" i="55"/>
  <c r="N66" i="55"/>
  <c r="V9" i="55"/>
  <c r="M9" i="55"/>
  <c r="M19" i="55"/>
  <c r="V19" i="55"/>
  <c r="M6" i="55"/>
  <c r="V6" i="55"/>
  <c r="V25" i="55"/>
  <c r="M22" i="55"/>
  <c r="V22" i="55"/>
  <c r="V7" i="55"/>
  <c r="M7" i="55"/>
  <c r="V17" i="55"/>
  <c r="M17" i="55"/>
  <c r="M14" i="55"/>
  <c r="V14" i="55"/>
  <c r="V15" i="55"/>
  <c r="M15" i="55"/>
  <c r="V23" i="55"/>
  <c r="M23" i="55"/>
  <c r="M8" i="55"/>
  <c r="V8" i="55"/>
  <c r="M16" i="55"/>
  <c r="V16" i="55"/>
  <c r="M24" i="55"/>
  <c r="V24" i="55"/>
  <c r="D66" i="55"/>
  <c r="C30" i="55"/>
  <c r="H30" i="55"/>
  <c r="H31" i="55" s="1"/>
  <c r="N21" i="55"/>
  <c r="N13" i="55"/>
  <c r="Z5" i="55"/>
  <c r="P40" i="55"/>
  <c r="P48" i="55"/>
  <c r="P56" i="55"/>
  <c r="G93" i="55"/>
  <c r="M93" i="55" s="1"/>
  <c r="G20" i="55"/>
  <c r="G12" i="55"/>
  <c r="N5" i="55"/>
  <c r="AA5" i="55"/>
  <c r="J65" i="55"/>
  <c r="P43" i="55"/>
  <c r="P51" i="55"/>
  <c r="P59" i="55"/>
  <c r="N27" i="55"/>
  <c r="N19" i="55"/>
  <c r="N11" i="55"/>
  <c r="G11" i="55"/>
  <c r="P53" i="55"/>
  <c r="N26" i="55"/>
  <c r="N22" i="55"/>
  <c r="N18" i="55"/>
  <c r="N14" i="55"/>
  <c r="N10" i="55"/>
  <c r="N6" i="55"/>
  <c r="F24" i="37"/>
  <c r="F18" i="37"/>
  <c r="E18" i="37"/>
  <c r="P66" i="55" l="1"/>
  <c r="P65" i="55"/>
  <c r="M25" i="55"/>
  <c r="M5" i="55"/>
  <c r="M13" i="55"/>
  <c r="M21" i="55"/>
  <c r="J30" i="55"/>
  <c r="J32" i="55" s="1"/>
  <c r="C31" i="55"/>
  <c r="M11" i="55"/>
  <c r="V11" i="55"/>
  <c r="M20" i="55"/>
  <c r="V20" i="55"/>
  <c r="G94" i="55"/>
  <c r="G26" i="55"/>
  <c r="M12" i="55"/>
  <c r="V12" i="55"/>
  <c r="T72" i="23"/>
  <c r="M26" i="55" l="1"/>
  <c r="V26" i="55"/>
  <c r="G95" i="55"/>
  <c r="G27" i="55"/>
  <c r="M94" i="55"/>
  <c r="F12" i="46"/>
  <c r="G12" i="46"/>
  <c r="E12" i="46"/>
  <c r="M27" i="55" l="1"/>
  <c r="V27" i="55"/>
  <c r="M95" i="55"/>
  <c r="G28" i="55"/>
  <c r="AE33" i="43"/>
  <c r="V33" i="43"/>
  <c r="Q33" i="43"/>
  <c r="AG33" i="43" s="1"/>
  <c r="L33" i="43"/>
  <c r="P33" i="43" s="1"/>
  <c r="D33" i="43"/>
  <c r="H33" i="43" s="1"/>
  <c r="AE32" i="43"/>
  <c r="V32" i="43"/>
  <c r="Q32" i="43"/>
  <c r="AG32" i="43" s="1"/>
  <c r="L32" i="43"/>
  <c r="P32" i="43" s="1"/>
  <c r="D32" i="43"/>
  <c r="H32" i="43" s="1"/>
  <c r="AE31" i="43"/>
  <c r="V31" i="43"/>
  <c r="Q31" i="43"/>
  <c r="R31" i="43" s="1"/>
  <c r="L31" i="43"/>
  <c r="P31" i="43" s="1"/>
  <c r="D31" i="43"/>
  <c r="H31" i="43" s="1"/>
  <c r="AE30" i="43"/>
  <c r="V30" i="43"/>
  <c r="Q30" i="43"/>
  <c r="AG30" i="43" s="1"/>
  <c r="L30" i="43"/>
  <c r="P30" i="43" s="1"/>
  <c r="D30" i="43"/>
  <c r="H30" i="43" s="1"/>
  <c r="AU29" i="43"/>
  <c r="AV29" i="43" s="1"/>
  <c r="AE29" i="43"/>
  <c r="V29" i="43"/>
  <c r="Q29" i="43"/>
  <c r="R29" i="43" s="1"/>
  <c r="L29" i="43"/>
  <c r="P29" i="43" s="1"/>
  <c r="D29" i="43"/>
  <c r="H29" i="43" s="1"/>
  <c r="AU28" i="43"/>
  <c r="AV28" i="43" s="1"/>
  <c r="AE28" i="43"/>
  <c r="V28" i="43"/>
  <c r="Q28" i="43"/>
  <c r="R28" i="43" s="1"/>
  <c r="L28" i="43"/>
  <c r="P28" i="43" s="1"/>
  <c r="D28" i="43"/>
  <c r="H28" i="43" s="1"/>
  <c r="AU27" i="43"/>
  <c r="AV27" i="43" s="1"/>
  <c r="AE27" i="43"/>
  <c r="V27" i="43"/>
  <c r="Q27" i="43"/>
  <c r="R27" i="43" s="1"/>
  <c r="L27" i="43"/>
  <c r="P27" i="43" s="1"/>
  <c r="D27" i="43"/>
  <c r="H27" i="43" s="1"/>
  <c r="J27" i="43" s="1"/>
  <c r="AK27" i="43" s="1"/>
  <c r="AL27" i="43" s="1"/>
  <c r="AU26" i="43"/>
  <c r="AV26" i="43" s="1"/>
  <c r="AE26" i="43"/>
  <c r="V26" i="43"/>
  <c r="Q26" i="43"/>
  <c r="R26" i="43" s="1"/>
  <c r="L26" i="43"/>
  <c r="P26" i="43" s="1"/>
  <c r="D26" i="43"/>
  <c r="H26" i="43" s="1"/>
  <c r="AU25" i="43"/>
  <c r="AV25" i="43" s="1"/>
  <c r="AE25" i="43"/>
  <c r="V25" i="43"/>
  <c r="Q25" i="43"/>
  <c r="R25" i="43" s="1"/>
  <c r="L25" i="43"/>
  <c r="P25" i="43" s="1"/>
  <c r="D25" i="43"/>
  <c r="H25" i="43" s="1"/>
  <c r="AF25" i="43" s="1"/>
  <c r="AU24" i="43"/>
  <c r="AV24" i="43" s="1"/>
  <c r="AE24" i="43"/>
  <c r="V24" i="43"/>
  <c r="Q24" i="43"/>
  <c r="R24" i="43" s="1"/>
  <c r="L24" i="43"/>
  <c r="P24" i="43" s="1"/>
  <c r="D24" i="43"/>
  <c r="H24" i="43" s="1"/>
  <c r="AU23" i="43"/>
  <c r="AV23" i="43" s="1"/>
  <c r="AE23" i="43"/>
  <c r="V23" i="43"/>
  <c r="Q23" i="43"/>
  <c r="AG23" i="43" s="1"/>
  <c r="L23" i="43"/>
  <c r="P23" i="43" s="1"/>
  <c r="D23" i="43"/>
  <c r="H23" i="43" s="1"/>
  <c r="AU22" i="43"/>
  <c r="AV22" i="43" s="1"/>
  <c r="AE22" i="43"/>
  <c r="V22" i="43"/>
  <c r="Q22" i="43"/>
  <c r="AG22" i="43" s="1"/>
  <c r="L22" i="43"/>
  <c r="P22" i="43" s="1"/>
  <c r="D22" i="43"/>
  <c r="H22" i="43" s="1"/>
  <c r="AU21" i="43"/>
  <c r="AV21" i="43" s="1"/>
  <c r="AE21" i="43"/>
  <c r="V21" i="43"/>
  <c r="Q21" i="43"/>
  <c r="R21" i="43" s="1"/>
  <c r="L21" i="43"/>
  <c r="P21" i="43" s="1"/>
  <c r="D21" i="43"/>
  <c r="H21" i="43" s="1"/>
  <c r="AU20" i="43"/>
  <c r="AV20" i="43" s="1"/>
  <c r="AE20" i="43"/>
  <c r="V20" i="43"/>
  <c r="Q20" i="43"/>
  <c r="R20" i="43" s="1"/>
  <c r="L20" i="43"/>
  <c r="P20" i="43" s="1"/>
  <c r="D20" i="43"/>
  <c r="H20" i="43" s="1"/>
  <c r="AU19" i="43"/>
  <c r="AV19" i="43" s="1"/>
  <c r="AE19" i="43"/>
  <c r="V19" i="43"/>
  <c r="Q19" i="43"/>
  <c r="R19" i="43" s="1"/>
  <c r="L19" i="43"/>
  <c r="P19" i="43" s="1"/>
  <c r="D19" i="43"/>
  <c r="H19" i="43" s="1"/>
  <c r="AF19" i="43" s="1"/>
  <c r="AU18" i="43"/>
  <c r="AV18" i="43" s="1"/>
  <c r="AE18" i="43"/>
  <c r="V18" i="43"/>
  <c r="Q18" i="43"/>
  <c r="R18" i="43" s="1"/>
  <c r="L18" i="43"/>
  <c r="P18" i="43" s="1"/>
  <c r="D18" i="43"/>
  <c r="H18" i="43" s="1"/>
  <c r="AU17" i="43"/>
  <c r="AV17" i="43" s="1"/>
  <c r="AE17" i="43"/>
  <c r="V17" i="43"/>
  <c r="Q17" i="43"/>
  <c r="R17" i="43" s="1"/>
  <c r="L17" i="43"/>
  <c r="P17" i="43" s="1"/>
  <c r="D17" i="43"/>
  <c r="H17" i="43" s="1"/>
  <c r="AF17" i="43" s="1"/>
  <c r="AU16" i="43"/>
  <c r="AV16" i="43" s="1"/>
  <c r="AE16" i="43"/>
  <c r="V16" i="43"/>
  <c r="Q16" i="43"/>
  <c r="AG16" i="43" s="1"/>
  <c r="L16" i="43"/>
  <c r="P16" i="43" s="1"/>
  <c r="D16" i="43"/>
  <c r="H16" i="43" s="1"/>
  <c r="AF16" i="43" s="1"/>
  <c r="AU15" i="43"/>
  <c r="AV15" i="43" s="1"/>
  <c r="AE15" i="43"/>
  <c r="V15" i="43"/>
  <c r="Q15" i="43"/>
  <c r="AG15" i="43" s="1"/>
  <c r="L15" i="43"/>
  <c r="P15" i="43" s="1"/>
  <c r="D15" i="43"/>
  <c r="H15" i="43" s="1"/>
  <c r="AU14" i="43"/>
  <c r="AV14" i="43" s="1"/>
  <c r="AE14" i="43"/>
  <c r="V14" i="43"/>
  <c r="Q14" i="43"/>
  <c r="R14" i="43" s="1"/>
  <c r="L14" i="43"/>
  <c r="P14" i="43" s="1"/>
  <c r="D14" i="43"/>
  <c r="H14" i="43" s="1"/>
  <c r="AU13" i="43"/>
  <c r="AV13" i="43" s="1"/>
  <c r="AR13" i="43"/>
  <c r="AJ13" i="43"/>
  <c r="AE13" i="43"/>
  <c r="V13" i="43"/>
  <c r="Q13" i="43"/>
  <c r="R13" i="43" s="1"/>
  <c r="L13" i="43"/>
  <c r="P13" i="43" s="1"/>
  <c r="D13" i="43"/>
  <c r="H13" i="43" s="1"/>
  <c r="AU12" i="43"/>
  <c r="AV12" i="43" s="1"/>
  <c r="AR12" i="43"/>
  <c r="AJ12" i="43"/>
  <c r="AE12" i="43"/>
  <c r="V12" i="43"/>
  <c r="Q12" i="43"/>
  <c r="R12" i="43" s="1"/>
  <c r="L12" i="43"/>
  <c r="P12" i="43" s="1"/>
  <c r="D12" i="43"/>
  <c r="H12" i="43" s="1"/>
  <c r="J12" i="43" s="1"/>
  <c r="AK12" i="43" s="1"/>
  <c r="AL12" i="43" s="1"/>
  <c r="AU11" i="43"/>
  <c r="AV11" i="43" s="1"/>
  <c r="AR11" i="43"/>
  <c r="AE11" i="43"/>
  <c r="V11" i="43"/>
  <c r="Q11" i="43"/>
  <c r="R11" i="43" s="1"/>
  <c r="P11" i="43"/>
  <c r="G11" i="43"/>
  <c r="D11" i="43"/>
  <c r="AU10" i="43"/>
  <c r="AV10" i="43" s="1"/>
  <c r="AQ10" i="43"/>
  <c r="AR10" i="43" s="1"/>
  <c r="AE10" i="43"/>
  <c r="V10" i="43"/>
  <c r="Q10" i="43"/>
  <c r="R10" i="43" s="1"/>
  <c r="P10" i="43"/>
  <c r="H10" i="43"/>
  <c r="J10" i="43" s="1"/>
  <c r="AE9" i="43"/>
  <c r="V9" i="43"/>
  <c r="Q9" i="43"/>
  <c r="R9" i="43" s="1"/>
  <c r="P9" i="43"/>
  <c r="H9" i="43"/>
  <c r="AE8" i="43"/>
  <c r="V8" i="43"/>
  <c r="Q8" i="43"/>
  <c r="R8" i="43" s="1"/>
  <c r="P8" i="43"/>
  <c r="H8" i="43"/>
  <c r="Q6" i="43"/>
  <c r="Q6" i="40"/>
  <c r="N6" i="40"/>
  <c r="K6" i="40"/>
  <c r="H6" i="40"/>
  <c r="E6" i="40"/>
  <c r="B6" i="40"/>
  <c r="AF13" i="43" l="1"/>
  <c r="R22" i="43"/>
  <c r="S29" i="43"/>
  <c r="AF8" i="43"/>
  <c r="AG29" i="43"/>
  <c r="R32" i="43"/>
  <c r="AG14" i="43"/>
  <c r="AG26" i="43"/>
  <c r="AG21" i="43"/>
  <c r="S9" i="43"/>
  <c r="R30" i="43"/>
  <c r="S10" i="43"/>
  <c r="AF28" i="43"/>
  <c r="J28" i="43"/>
  <c r="AK28" i="43" s="1"/>
  <c r="AL28" i="43" s="1"/>
  <c r="M28" i="55"/>
  <c r="V28" i="55"/>
  <c r="R33" i="43"/>
  <c r="AF9" i="43"/>
  <c r="J19" i="43"/>
  <c r="AK19" i="43" s="1"/>
  <c r="AL19" i="43" s="1"/>
  <c r="J9" i="43"/>
  <c r="J31" i="43"/>
  <c r="AK31" i="43" s="1"/>
  <c r="AL31" i="43" s="1"/>
  <c r="AF31" i="43"/>
  <c r="H11" i="43"/>
  <c r="S11" i="43" s="1"/>
  <c r="AG20" i="43"/>
  <c r="R23" i="43"/>
  <c r="AF27" i="43"/>
  <c r="AG28" i="43"/>
  <c r="AG27" i="43"/>
  <c r="AG19" i="43"/>
  <c r="AG18" i="43"/>
  <c r="AG17" i="43"/>
  <c r="S8" i="43"/>
  <c r="AG25" i="43"/>
  <c r="AF12" i="43"/>
  <c r="AG24" i="43"/>
  <c r="R15" i="43"/>
  <c r="AG31" i="43"/>
  <c r="S20" i="43"/>
  <c r="S31" i="43"/>
  <c r="S33" i="43"/>
  <c r="S28" i="43"/>
  <c r="S16" i="43"/>
  <c r="AF23" i="43"/>
  <c r="J23" i="43"/>
  <c r="AK23" i="43" s="1"/>
  <c r="AL23" i="43" s="1"/>
  <c r="S23" i="43"/>
  <c r="S15" i="43"/>
  <c r="AF15" i="43"/>
  <c r="J15" i="43"/>
  <c r="AK15" i="43" s="1"/>
  <c r="AL15" i="43" s="1"/>
  <c r="S30" i="43"/>
  <c r="AF30" i="43"/>
  <c r="J30" i="43"/>
  <c r="AK30" i="43" s="1"/>
  <c r="AL30" i="43" s="1"/>
  <c r="S21" i="43"/>
  <c r="AF21" i="43"/>
  <c r="J21" i="43"/>
  <c r="AK21" i="43" s="1"/>
  <c r="AL21" i="43" s="1"/>
  <c r="S14" i="43"/>
  <c r="AF14" i="43"/>
  <c r="J14" i="43"/>
  <c r="AK14" i="43" s="1"/>
  <c r="AL14" i="43" s="1"/>
  <c r="AF32" i="43"/>
  <c r="J32" i="43"/>
  <c r="AK32" i="43" s="1"/>
  <c r="AL32" i="43" s="1"/>
  <c r="S32" i="43"/>
  <c r="S13" i="43"/>
  <c r="J13" i="43"/>
  <c r="AK13" i="43" s="1"/>
  <c r="AL13" i="43" s="1"/>
  <c r="AF18" i="43"/>
  <c r="J18" i="43"/>
  <c r="AK18" i="43" s="1"/>
  <c r="AL18" i="43" s="1"/>
  <c r="S18" i="43"/>
  <c r="S22" i="43"/>
  <c r="AF22" i="43"/>
  <c r="J22" i="43"/>
  <c r="AK22" i="43" s="1"/>
  <c r="AL22" i="43" s="1"/>
  <c r="S24" i="43"/>
  <c r="AF24" i="43"/>
  <c r="J24" i="43"/>
  <c r="AK24" i="43" s="1"/>
  <c r="AL24" i="43" s="1"/>
  <c r="AF26" i="43"/>
  <c r="J26" i="43"/>
  <c r="AK26" i="43" s="1"/>
  <c r="AL26" i="43" s="1"/>
  <c r="S26" i="43"/>
  <c r="S19" i="43"/>
  <c r="S27" i="43"/>
  <c r="AF20" i="43"/>
  <c r="J29" i="43"/>
  <c r="AK29" i="43" s="1"/>
  <c r="AL29" i="43" s="1"/>
  <c r="AF33" i="43"/>
  <c r="J8" i="43"/>
  <c r="S17" i="43"/>
  <c r="S25" i="43"/>
  <c r="R16" i="43"/>
  <c r="J33" i="43"/>
  <c r="AF10" i="43"/>
  <c r="J20" i="43"/>
  <c r="AK20" i="43" s="1"/>
  <c r="AL20" i="43" s="1"/>
  <c r="J16" i="43"/>
  <c r="AK16" i="43" s="1"/>
  <c r="AL16" i="43" s="1"/>
  <c r="AF29" i="43"/>
  <c r="S12" i="43"/>
  <c r="J17" i="43"/>
  <c r="AK17" i="43" s="1"/>
  <c r="AL17" i="43" s="1"/>
  <c r="J25" i="43"/>
  <c r="AK25" i="43" s="1"/>
  <c r="AL25" i="43" s="1"/>
  <c r="AL16" i="40"/>
  <c r="AK16" i="40"/>
  <c r="AJ16" i="40"/>
  <c r="AI16" i="40"/>
  <c r="AH16" i="40"/>
  <c r="AG16" i="40"/>
  <c r="AF16" i="40"/>
  <c r="AE16" i="40"/>
  <c r="AL15" i="40"/>
  <c r="AK15" i="40"/>
  <c r="AJ15" i="40"/>
  <c r="AI15" i="40"/>
  <c r="AH15" i="40"/>
  <c r="AG15" i="40"/>
  <c r="AF15" i="40"/>
  <c r="AE15" i="40"/>
  <c r="AL14" i="40"/>
  <c r="AK14" i="40"/>
  <c r="AJ14" i="40"/>
  <c r="AI14" i="40"/>
  <c r="AH14" i="40"/>
  <c r="AG14" i="40"/>
  <c r="AF14" i="40"/>
  <c r="AE14" i="40"/>
  <c r="AL13" i="40"/>
  <c r="AK13" i="40"/>
  <c r="AJ13" i="40"/>
  <c r="AI13" i="40"/>
  <c r="AH13" i="40"/>
  <c r="AG13" i="40"/>
  <c r="AF13" i="40"/>
  <c r="AE13" i="40"/>
  <c r="AL12" i="40"/>
  <c r="AK12" i="40"/>
  <c r="AJ12" i="40"/>
  <c r="AI12" i="40"/>
  <c r="AH12" i="40"/>
  <c r="AG12" i="40"/>
  <c r="AF12" i="40"/>
  <c r="AE12" i="40"/>
  <c r="AL11" i="40"/>
  <c r="AK11" i="40"/>
  <c r="AJ11" i="40"/>
  <c r="AI11" i="40"/>
  <c r="AH11" i="40"/>
  <c r="AG11" i="40"/>
  <c r="AF11" i="40"/>
  <c r="AE11" i="40"/>
  <c r="AF10" i="40"/>
  <c r="AL9" i="40"/>
  <c r="AK9" i="40"/>
  <c r="AJ9" i="40"/>
  <c r="AI9" i="40"/>
  <c r="AH9" i="40"/>
  <c r="AG9" i="40"/>
  <c r="AE9" i="40"/>
  <c r="AL7" i="40"/>
  <c r="AL17" i="40" s="1"/>
  <c r="AK7" i="40"/>
  <c r="AK17" i="40" s="1"/>
  <c r="AJ7" i="40"/>
  <c r="AJ17" i="40" s="1"/>
  <c r="AI7" i="40"/>
  <c r="AI17" i="40" s="1"/>
  <c r="AH7" i="40"/>
  <c r="AH17" i="40" s="1"/>
  <c r="AG7" i="40"/>
  <c r="AG17" i="40" s="1"/>
  <c r="AF7" i="40"/>
  <c r="AF17" i="40" s="1"/>
  <c r="AE7" i="40"/>
  <c r="AE17" i="40" s="1"/>
  <c r="AF11" i="43" l="1"/>
  <c r="J11" i="43"/>
  <c r="P79" i="23"/>
  <c r="P80" i="23"/>
  <c r="P81" i="23"/>
  <c r="P82" i="23"/>
  <c r="P83" i="23"/>
  <c r="P84" i="23"/>
  <c r="P85" i="23"/>
  <c r="P86" i="23"/>
  <c r="P87" i="23"/>
  <c r="P88" i="23"/>
  <c r="P89" i="23"/>
  <c r="P90" i="23"/>
  <c r="P91" i="23"/>
  <c r="P92" i="23"/>
  <c r="P93" i="23"/>
  <c r="P94" i="23"/>
  <c r="P95" i="23"/>
  <c r="P96" i="23"/>
  <c r="P97" i="23"/>
  <c r="P78" i="23"/>
  <c r="P53" i="23"/>
  <c r="P54" i="23"/>
  <c r="P55" i="23"/>
  <c r="P56" i="23"/>
  <c r="P57" i="23"/>
  <c r="P58" i="23"/>
  <c r="P59" i="23"/>
  <c r="P60" i="23"/>
  <c r="P61" i="23"/>
  <c r="P62" i="23"/>
  <c r="P63" i="23"/>
  <c r="P64" i="23"/>
  <c r="P65" i="23"/>
  <c r="P66" i="23"/>
  <c r="P67" i="23"/>
  <c r="P68" i="23"/>
  <c r="P69" i="23"/>
  <c r="P70" i="23"/>
  <c r="P71" i="23"/>
  <c r="P52" i="23"/>
  <c r="O53" i="23"/>
  <c r="O54" i="23"/>
  <c r="O55" i="23"/>
  <c r="O56" i="23"/>
  <c r="O57" i="23"/>
  <c r="O58" i="23"/>
  <c r="O59" i="23"/>
  <c r="O60" i="23"/>
  <c r="O61" i="23"/>
  <c r="O62" i="23"/>
  <c r="O63" i="23"/>
  <c r="O64" i="23"/>
  <c r="O65" i="23"/>
  <c r="O66" i="23"/>
  <c r="O67" i="23"/>
  <c r="O68" i="23"/>
  <c r="O69" i="23"/>
  <c r="O70" i="23"/>
  <c r="O71" i="23"/>
  <c r="O52" i="23"/>
  <c r="P28" i="23"/>
  <c r="P29" i="23"/>
  <c r="P30" i="23"/>
  <c r="P31" i="23"/>
  <c r="P32" i="23"/>
  <c r="P33" i="23"/>
  <c r="P34" i="23"/>
  <c r="P35" i="23"/>
  <c r="P36" i="23"/>
  <c r="P37" i="23"/>
  <c r="P38" i="23"/>
  <c r="P39" i="23"/>
  <c r="P40" i="23"/>
  <c r="P41" i="23"/>
  <c r="P42" i="23"/>
  <c r="P43" i="23"/>
  <c r="P44" i="23"/>
  <c r="P45" i="23"/>
  <c r="P46" i="23"/>
  <c r="P27" i="23"/>
  <c r="H4" i="23"/>
  <c r="H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3" i="23"/>
  <c r="O79" i="23"/>
  <c r="O80" i="23"/>
  <c r="O81" i="23"/>
  <c r="O82" i="23"/>
  <c r="O83" i="23"/>
  <c r="O84" i="23"/>
  <c r="O85" i="23"/>
  <c r="O86" i="23"/>
  <c r="O87" i="23"/>
  <c r="O88" i="23"/>
  <c r="O89" i="23"/>
  <c r="O90" i="23"/>
  <c r="O91" i="23"/>
  <c r="O92" i="23"/>
  <c r="O93" i="23"/>
  <c r="O94" i="23"/>
  <c r="O95" i="23"/>
  <c r="O96" i="23"/>
  <c r="O97" i="23"/>
  <c r="O78" i="23"/>
  <c r="O28" i="23"/>
  <c r="O29" i="23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45" i="23"/>
  <c r="O46" i="23"/>
  <c r="O27" i="23"/>
  <c r="D47" i="23" l="1"/>
  <c r="S23" i="23"/>
  <c r="D23" i="23"/>
  <c r="F26" i="37" l="1"/>
  <c r="E26" i="37"/>
  <c r="F25" i="37"/>
  <c r="E25" i="37"/>
  <c r="E24" i="37"/>
  <c r="E17" i="37"/>
  <c r="F17" i="37"/>
  <c r="F16" i="37"/>
  <c r="E16" i="37"/>
  <c r="B4" i="38" l="1"/>
  <c r="B11" i="38"/>
  <c r="B5" i="38"/>
  <c r="B12" i="38"/>
  <c r="B6" i="38"/>
  <c r="B13" i="38"/>
  <c r="B7" i="38"/>
  <c r="AF33" i="32" l="1"/>
  <c r="V33" i="32"/>
  <c r="Q33" i="32"/>
  <c r="R33" i="32" s="1"/>
  <c r="L33" i="32"/>
  <c r="P33" i="32" s="1"/>
  <c r="D33" i="32"/>
  <c r="H33" i="32" s="1"/>
  <c r="J33" i="32" s="1"/>
  <c r="AF32" i="32"/>
  <c r="V32" i="32"/>
  <c r="R32" i="32"/>
  <c r="Q32" i="32"/>
  <c r="L32" i="32"/>
  <c r="P32" i="32" s="1"/>
  <c r="D32" i="32"/>
  <c r="H32" i="32" s="1"/>
  <c r="AF31" i="32"/>
  <c r="V31" i="32"/>
  <c r="Q31" i="32"/>
  <c r="R31" i="32" s="1"/>
  <c r="L31" i="32"/>
  <c r="P31" i="32" s="1"/>
  <c r="H31" i="32"/>
  <c r="J31" i="32" s="1"/>
  <c r="AK31" i="32" s="1"/>
  <c r="AL31" i="32" s="1"/>
  <c r="D31" i="32"/>
  <c r="AF30" i="32"/>
  <c r="V30" i="32"/>
  <c r="Q30" i="32"/>
  <c r="R30" i="32" s="1"/>
  <c r="L30" i="32"/>
  <c r="P30" i="32" s="1"/>
  <c r="D30" i="32"/>
  <c r="H30" i="32" s="1"/>
  <c r="AU29" i="32"/>
  <c r="AV29" i="32" s="1"/>
  <c r="AR29" i="32"/>
  <c r="AJ29" i="32"/>
  <c r="AF29" i="32"/>
  <c r="V29" i="32"/>
  <c r="Q29" i="32"/>
  <c r="R29" i="32" s="1"/>
  <c r="L29" i="32"/>
  <c r="P29" i="32" s="1"/>
  <c r="D29" i="32"/>
  <c r="H29" i="32" s="1"/>
  <c r="J29" i="32" s="1"/>
  <c r="AK29" i="32" s="1"/>
  <c r="AL29" i="32" s="1"/>
  <c r="AU28" i="32"/>
  <c r="AV28" i="32" s="1"/>
  <c r="AR28" i="32"/>
  <c r="AJ28" i="32"/>
  <c r="AF28" i="32"/>
  <c r="V28" i="32"/>
  <c r="Q28" i="32"/>
  <c r="R28" i="32" s="1"/>
  <c r="L28" i="32"/>
  <c r="P28" i="32" s="1"/>
  <c r="D28" i="32"/>
  <c r="H28" i="32" s="1"/>
  <c r="AU27" i="32"/>
  <c r="AV27" i="32" s="1"/>
  <c r="AR27" i="32"/>
  <c r="AJ27" i="32"/>
  <c r="AF27" i="32"/>
  <c r="V27" i="32"/>
  <c r="Q27" i="32"/>
  <c r="R27" i="32" s="1"/>
  <c r="L27" i="32"/>
  <c r="P27" i="32" s="1"/>
  <c r="D27" i="32"/>
  <c r="H27" i="32" s="1"/>
  <c r="J27" i="32" s="1"/>
  <c r="AK27" i="32" s="1"/>
  <c r="AL27" i="32" s="1"/>
  <c r="AU26" i="32"/>
  <c r="AV26" i="32" s="1"/>
  <c r="AR26" i="32"/>
  <c r="AJ26" i="32"/>
  <c r="AF26" i="32"/>
  <c r="V26" i="32"/>
  <c r="Q26" i="32"/>
  <c r="R26" i="32" s="1"/>
  <c r="L26" i="32"/>
  <c r="P26" i="32" s="1"/>
  <c r="D26" i="32"/>
  <c r="H26" i="32" s="1"/>
  <c r="AU25" i="32"/>
  <c r="AV25" i="32" s="1"/>
  <c r="AR25" i="32"/>
  <c r="AJ25" i="32"/>
  <c r="AF25" i="32"/>
  <c r="V25" i="32"/>
  <c r="Q25" i="32"/>
  <c r="R25" i="32" s="1"/>
  <c r="L25" i="32"/>
  <c r="P25" i="32" s="1"/>
  <c r="D25" i="32"/>
  <c r="H25" i="32" s="1"/>
  <c r="J25" i="32" s="1"/>
  <c r="AK25" i="32" s="1"/>
  <c r="AL25" i="32" s="1"/>
  <c r="AU24" i="32"/>
  <c r="AV24" i="32" s="1"/>
  <c r="AR24" i="32"/>
  <c r="AJ24" i="32"/>
  <c r="AF24" i="32"/>
  <c r="V24" i="32"/>
  <c r="Q24" i="32"/>
  <c r="R24" i="32" s="1"/>
  <c r="L24" i="32"/>
  <c r="P24" i="32" s="1"/>
  <c r="D24" i="32"/>
  <c r="H24" i="32" s="1"/>
  <c r="AU23" i="32"/>
  <c r="AV23" i="32" s="1"/>
  <c r="AR23" i="32"/>
  <c r="AJ23" i="32"/>
  <c r="AF23" i="32"/>
  <c r="V23" i="32"/>
  <c r="Q23" i="32"/>
  <c r="R23" i="32" s="1"/>
  <c r="L23" i="32"/>
  <c r="P23" i="32" s="1"/>
  <c r="D23" i="32"/>
  <c r="H23" i="32" s="1"/>
  <c r="J23" i="32" s="1"/>
  <c r="AK23" i="32" s="1"/>
  <c r="AL23" i="32" s="1"/>
  <c r="AU22" i="32"/>
  <c r="AV22" i="32" s="1"/>
  <c r="AR22" i="32"/>
  <c r="AJ22" i="32"/>
  <c r="AF22" i="32"/>
  <c r="V22" i="32"/>
  <c r="Q22" i="32"/>
  <c r="R22" i="32" s="1"/>
  <c r="L22" i="32"/>
  <c r="P22" i="32" s="1"/>
  <c r="D22" i="32"/>
  <c r="H22" i="32" s="1"/>
  <c r="AU21" i="32"/>
  <c r="AV21" i="32" s="1"/>
  <c r="AR21" i="32"/>
  <c r="AJ21" i="32"/>
  <c r="AF21" i="32"/>
  <c r="V21" i="32"/>
  <c r="Q21" i="32"/>
  <c r="R21" i="32" s="1"/>
  <c r="L21" i="32"/>
  <c r="P21" i="32" s="1"/>
  <c r="D21" i="32"/>
  <c r="H21" i="32" s="1"/>
  <c r="J21" i="32" s="1"/>
  <c r="AK21" i="32" s="1"/>
  <c r="AL21" i="32" s="1"/>
  <c r="AU20" i="32"/>
  <c r="AV20" i="32" s="1"/>
  <c r="AR20" i="32"/>
  <c r="AJ20" i="32"/>
  <c r="AF20" i="32"/>
  <c r="V20" i="32"/>
  <c r="Q20" i="32"/>
  <c r="R20" i="32" s="1"/>
  <c r="L20" i="32"/>
  <c r="P20" i="32" s="1"/>
  <c r="D20" i="32"/>
  <c r="H20" i="32" s="1"/>
  <c r="AU19" i="32"/>
  <c r="AV19" i="32" s="1"/>
  <c r="AR19" i="32"/>
  <c r="AJ19" i="32"/>
  <c r="AF19" i="32"/>
  <c r="V19" i="32"/>
  <c r="Q19" i="32"/>
  <c r="R19" i="32" s="1"/>
  <c r="L19" i="32"/>
  <c r="P19" i="32" s="1"/>
  <c r="D19" i="32"/>
  <c r="H19" i="32" s="1"/>
  <c r="J19" i="32" s="1"/>
  <c r="AK19" i="32" s="1"/>
  <c r="AL19" i="32" s="1"/>
  <c r="AU18" i="32"/>
  <c r="AV18" i="32" s="1"/>
  <c r="AR18" i="32"/>
  <c r="AJ18" i="32"/>
  <c r="AF18" i="32"/>
  <c r="V18" i="32"/>
  <c r="Q18" i="32"/>
  <c r="R18" i="32" s="1"/>
  <c r="L18" i="32"/>
  <c r="P18" i="32" s="1"/>
  <c r="D18" i="32"/>
  <c r="H18" i="32" s="1"/>
  <c r="AU17" i="32"/>
  <c r="AV17" i="32" s="1"/>
  <c r="AR17" i="32"/>
  <c r="AJ17" i="32"/>
  <c r="AF17" i="32"/>
  <c r="V17" i="32"/>
  <c r="Q17" i="32"/>
  <c r="R17" i="32" s="1"/>
  <c r="L17" i="32"/>
  <c r="P17" i="32" s="1"/>
  <c r="D17" i="32"/>
  <c r="H17" i="32" s="1"/>
  <c r="J17" i="32" s="1"/>
  <c r="AK17" i="32" s="1"/>
  <c r="AL17" i="32" s="1"/>
  <c r="AU16" i="32"/>
  <c r="AV16" i="32" s="1"/>
  <c r="AR16" i="32"/>
  <c r="AJ16" i="32"/>
  <c r="AF16" i="32"/>
  <c r="V16" i="32"/>
  <c r="Q16" i="32"/>
  <c r="R16" i="32" s="1"/>
  <c r="L16" i="32"/>
  <c r="P16" i="32" s="1"/>
  <c r="D16" i="32"/>
  <c r="H16" i="32" s="1"/>
  <c r="J16" i="32" s="1"/>
  <c r="AK16" i="32" s="1"/>
  <c r="AL16" i="32" s="1"/>
  <c r="AU15" i="32"/>
  <c r="AV15" i="32" s="1"/>
  <c r="AR15" i="32"/>
  <c r="AJ15" i="32"/>
  <c r="AF15" i="32"/>
  <c r="V15" i="32"/>
  <c r="Q15" i="32"/>
  <c r="R15" i="32" s="1"/>
  <c r="L15" i="32"/>
  <c r="P15" i="32" s="1"/>
  <c r="D15" i="32"/>
  <c r="H15" i="32" s="1"/>
  <c r="J15" i="32" s="1"/>
  <c r="AK15" i="32" s="1"/>
  <c r="AL15" i="32" s="1"/>
  <c r="AU14" i="32"/>
  <c r="AV14" i="32" s="1"/>
  <c r="AR14" i="32"/>
  <c r="AJ14" i="32"/>
  <c r="AF14" i="32"/>
  <c r="V14" i="32"/>
  <c r="Q14" i="32"/>
  <c r="R14" i="32" s="1"/>
  <c r="L14" i="32"/>
  <c r="P14" i="32" s="1"/>
  <c r="D14" i="32"/>
  <c r="H14" i="32" s="1"/>
  <c r="AU13" i="32"/>
  <c r="AV13" i="32" s="1"/>
  <c r="AR13" i="32"/>
  <c r="AJ13" i="32"/>
  <c r="AF13" i="32"/>
  <c r="V13" i="32"/>
  <c r="Q13" i="32"/>
  <c r="R13" i="32" s="1"/>
  <c r="L13" i="32"/>
  <c r="P13" i="32" s="1"/>
  <c r="D13" i="32"/>
  <c r="H13" i="32" s="1"/>
  <c r="AU12" i="32"/>
  <c r="AV12" i="32" s="1"/>
  <c r="AR12" i="32"/>
  <c r="AJ12" i="32"/>
  <c r="AF12" i="32"/>
  <c r="V12" i="32"/>
  <c r="Q12" i="32"/>
  <c r="R12" i="32" s="1"/>
  <c r="L12" i="32"/>
  <c r="P12" i="32" s="1"/>
  <c r="D12" i="32"/>
  <c r="H12" i="32" s="1"/>
  <c r="AU11" i="32"/>
  <c r="AV11" i="32" s="1"/>
  <c r="AR11" i="32"/>
  <c r="AF11" i="32"/>
  <c r="V11" i="32"/>
  <c r="Q11" i="32"/>
  <c r="R11" i="32" s="1"/>
  <c r="P11" i="32"/>
  <c r="G11" i="32"/>
  <c r="D11" i="32"/>
  <c r="AU10" i="32"/>
  <c r="AV10" i="32" s="1"/>
  <c r="AQ10" i="32"/>
  <c r="AR10" i="32" s="1"/>
  <c r="AF10" i="32"/>
  <c r="V10" i="32"/>
  <c r="Q10" i="32"/>
  <c r="R10" i="32" s="1"/>
  <c r="P10" i="32"/>
  <c r="H10" i="32"/>
  <c r="AF9" i="32"/>
  <c r="V9" i="32"/>
  <c r="Q9" i="32"/>
  <c r="P9" i="32"/>
  <c r="H9" i="32"/>
  <c r="AF8" i="32"/>
  <c r="V8" i="32"/>
  <c r="Q8" i="32"/>
  <c r="R8" i="32" s="1"/>
  <c r="P8" i="32"/>
  <c r="H8" i="32"/>
  <c r="Q6" i="32"/>
  <c r="M148" i="23"/>
  <c r="C13" i="38" s="1"/>
  <c r="AF33" i="30"/>
  <c r="V33" i="30"/>
  <c r="Q33" i="30"/>
  <c r="R33" i="30" s="1"/>
  <c r="L33" i="30"/>
  <c r="P33" i="30" s="1"/>
  <c r="D33" i="30"/>
  <c r="H33" i="30" s="1"/>
  <c r="J33" i="30" s="1"/>
  <c r="AF32" i="30"/>
  <c r="V32" i="30"/>
  <c r="Q32" i="30"/>
  <c r="R32" i="30" s="1"/>
  <c r="L32" i="30"/>
  <c r="P32" i="30" s="1"/>
  <c r="D32" i="30"/>
  <c r="H32" i="30" s="1"/>
  <c r="AF31" i="30"/>
  <c r="V31" i="30"/>
  <c r="Q31" i="30"/>
  <c r="R31" i="30" s="1"/>
  <c r="L31" i="30"/>
  <c r="P31" i="30" s="1"/>
  <c r="D31" i="30"/>
  <c r="H31" i="30" s="1"/>
  <c r="J31" i="30" s="1"/>
  <c r="AK31" i="30" s="1"/>
  <c r="AL31" i="30" s="1"/>
  <c r="AF30" i="30"/>
  <c r="V30" i="30"/>
  <c r="Q30" i="30"/>
  <c r="R30" i="30" s="1"/>
  <c r="L30" i="30"/>
  <c r="P30" i="30" s="1"/>
  <c r="D30" i="30"/>
  <c r="H30" i="30" s="1"/>
  <c r="AU29" i="30"/>
  <c r="AV29" i="30" s="1"/>
  <c r="AR29" i="30"/>
  <c r="AJ29" i="30"/>
  <c r="AF29" i="30"/>
  <c r="V29" i="30"/>
  <c r="Q29" i="30"/>
  <c r="R29" i="30" s="1"/>
  <c r="L29" i="30"/>
  <c r="P29" i="30" s="1"/>
  <c r="D29" i="30"/>
  <c r="H29" i="30" s="1"/>
  <c r="J29" i="30" s="1"/>
  <c r="AK29" i="30" s="1"/>
  <c r="AL29" i="30" s="1"/>
  <c r="AU28" i="30"/>
  <c r="AV28" i="30" s="1"/>
  <c r="AR28" i="30"/>
  <c r="AJ28" i="30"/>
  <c r="AF28" i="30"/>
  <c r="V28" i="30"/>
  <c r="Q28" i="30"/>
  <c r="R28" i="30" s="1"/>
  <c r="L28" i="30"/>
  <c r="P28" i="30" s="1"/>
  <c r="D28" i="30"/>
  <c r="H28" i="30" s="1"/>
  <c r="AU27" i="30"/>
  <c r="AV27" i="30" s="1"/>
  <c r="AR27" i="30"/>
  <c r="AJ27" i="30"/>
  <c r="AF27" i="30"/>
  <c r="V27" i="30"/>
  <c r="Q27" i="30"/>
  <c r="R27" i="30" s="1"/>
  <c r="L27" i="30"/>
  <c r="P27" i="30" s="1"/>
  <c r="D27" i="30"/>
  <c r="H27" i="30" s="1"/>
  <c r="J27" i="30" s="1"/>
  <c r="AK27" i="30" s="1"/>
  <c r="AL27" i="30" s="1"/>
  <c r="AU26" i="30"/>
  <c r="AV26" i="30" s="1"/>
  <c r="AR26" i="30"/>
  <c r="AJ26" i="30"/>
  <c r="AF26" i="30"/>
  <c r="V26" i="30"/>
  <c r="Q26" i="30"/>
  <c r="R26" i="30" s="1"/>
  <c r="L26" i="30"/>
  <c r="P26" i="30" s="1"/>
  <c r="D26" i="30"/>
  <c r="H26" i="30" s="1"/>
  <c r="J26" i="30" s="1"/>
  <c r="AK26" i="30" s="1"/>
  <c r="AL26" i="30" s="1"/>
  <c r="AU25" i="30"/>
  <c r="AV25" i="30" s="1"/>
  <c r="AR25" i="30"/>
  <c r="AJ25" i="30"/>
  <c r="AF25" i="30"/>
  <c r="V25" i="30"/>
  <c r="Q25" i="30"/>
  <c r="R25" i="30" s="1"/>
  <c r="L25" i="30"/>
  <c r="P25" i="30" s="1"/>
  <c r="D25" i="30"/>
  <c r="H25" i="30" s="1"/>
  <c r="J25" i="30" s="1"/>
  <c r="AK25" i="30" s="1"/>
  <c r="AL25" i="30" s="1"/>
  <c r="AU24" i="30"/>
  <c r="AV24" i="30" s="1"/>
  <c r="AR24" i="30"/>
  <c r="AJ24" i="30"/>
  <c r="AF24" i="30"/>
  <c r="V24" i="30"/>
  <c r="Q24" i="30"/>
  <c r="R24" i="30" s="1"/>
  <c r="L24" i="30"/>
  <c r="P24" i="30" s="1"/>
  <c r="D24" i="30"/>
  <c r="H24" i="30" s="1"/>
  <c r="AU23" i="30"/>
  <c r="AV23" i="30" s="1"/>
  <c r="AR23" i="30"/>
  <c r="AJ23" i="30"/>
  <c r="AF23" i="30"/>
  <c r="V23" i="30"/>
  <c r="Q23" i="30"/>
  <c r="R23" i="30" s="1"/>
  <c r="L23" i="30"/>
  <c r="P23" i="30" s="1"/>
  <c r="D23" i="30"/>
  <c r="H23" i="30" s="1"/>
  <c r="J23" i="30" s="1"/>
  <c r="AK23" i="30" s="1"/>
  <c r="AL23" i="30" s="1"/>
  <c r="AU22" i="30"/>
  <c r="AV22" i="30" s="1"/>
  <c r="AR22" i="30"/>
  <c r="AJ22" i="30"/>
  <c r="AF22" i="30"/>
  <c r="V22" i="30"/>
  <c r="Q22" i="30"/>
  <c r="R22" i="30" s="1"/>
  <c r="L22" i="30"/>
  <c r="P22" i="30" s="1"/>
  <c r="D22" i="30"/>
  <c r="H22" i="30" s="1"/>
  <c r="J22" i="30" s="1"/>
  <c r="AK22" i="30" s="1"/>
  <c r="AL22" i="30" s="1"/>
  <c r="AU21" i="30"/>
  <c r="AV21" i="30" s="1"/>
  <c r="AR21" i="30"/>
  <c r="AJ21" i="30"/>
  <c r="AF21" i="30"/>
  <c r="V21" i="30"/>
  <c r="Q21" i="30"/>
  <c r="R21" i="30" s="1"/>
  <c r="L21" i="30"/>
  <c r="P21" i="30" s="1"/>
  <c r="D21" i="30"/>
  <c r="H21" i="30" s="1"/>
  <c r="J21" i="30" s="1"/>
  <c r="AK21" i="30" s="1"/>
  <c r="AL21" i="30" s="1"/>
  <c r="AU20" i="30"/>
  <c r="AV20" i="30" s="1"/>
  <c r="AR20" i="30"/>
  <c r="AJ20" i="30"/>
  <c r="AF20" i="30"/>
  <c r="V20" i="30"/>
  <c r="Q20" i="30"/>
  <c r="R20" i="30" s="1"/>
  <c r="L20" i="30"/>
  <c r="P20" i="30" s="1"/>
  <c r="D20" i="30"/>
  <c r="H20" i="30" s="1"/>
  <c r="AU19" i="30"/>
  <c r="AV19" i="30" s="1"/>
  <c r="AR19" i="30"/>
  <c r="AJ19" i="30"/>
  <c r="AF19" i="30"/>
  <c r="V19" i="30"/>
  <c r="Q19" i="30"/>
  <c r="R19" i="30" s="1"/>
  <c r="L19" i="30"/>
  <c r="P19" i="30" s="1"/>
  <c r="D19" i="30"/>
  <c r="H19" i="30" s="1"/>
  <c r="J19" i="30" s="1"/>
  <c r="AK19" i="30" s="1"/>
  <c r="AL19" i="30" s="1"/>
  <c r="AU18" i="30"/>
  <c r="AV18" i="30" s="1"/>
  <c r="AR18" i="30"/>
  <c r="AJ18" i="30"/>
  <c r="AF18" i="30"/>
  <c r="V18" i="30"/>
  <c r="Q18" i="30"/>
  <c r="R18" i="30" s="1"/>
  <c r="L18" i="30"/>
  <c r="P18" i="30" s="1"/>
  <c r="D18" i="30"/>
  <c r="H18" i="30" s="1"/>
  <c r="J18" i="30" s="1"/>
  <c r="AK18" i="30" s="1"/>
  <c r="AL18" i="30" s="1"/>
  <c r="AU17" i="30"/>
  <c r="AV17" i="30" s="1"/>
  <c r="AR17" i="30"/>
  <c r="AJ17" i="30"/>
  <c r="AF17" i="30"/>
  <c r="V17" i="30"/>
  <c r="Q17" i="30"/>
  <c r="R17" i="30" s="1"/>
  <c r="L17" i="30"/>
  <c r="P17" i="30" s="1"/>
  <c r="D17" i="30"/>
  <c r="H17" i="30" s="1"/>
  <c r="J17" i="30" s="1"/>
  <c r="AK17" i="30" s="1"/>
  <c r="AL17" i="30" s="1"/>
  <c r="AU16" i="30"/>
  <c r="AV16" i="30" s="1"/>
  <c r="AR16" i="30"/>
  <c r="AJ16" i="30"/>
  <c r="AF16" i="30"/>
  <c r="V16" i="30"/>
  <c r="Q16" i="30"/>
  <c r="R16" i="30" s="1"/>
  <c r="L16" i="30"/>
  <c r="P16" i="30" s="1"/>
  <c r="D16" i="30"/>
  <c r="H16" i="30" s="1"/>
  <c r="AU15" i="30"/>
  <c r="AV15" i="30" s="1"/>
  <c r="AR15" i="30"/>
  <c r="AJ15" i="30"/>
  <c r="AF15" i="30"/>
  <c r="V15" i="30"/>
  <c r="Q15" i="30"/>
  <c r="R15" i="30" s="1"/>
  <c r="L15" i="30"/>
  <c r="P15" i="30" s="1"/>
  <c r="D15" i="30"/>
  <c r="H15" i="30" s="1"/>
  <c r="J15" i="30" s="1"/>
  <c r="AK15" i="30" s="1"/>
  <c r="AL15" i="30" s="1"/>
  <c r="AU14" i="30"/>
  <c r="AV14" i="30" s="1"/>
  <c r="AR14" i="30"/>
  <c r="AJ14" i="30"/>
  <c r="AF14" i="30"/>
  <c r="V14" i="30"/>
  <c r="Q14" i="30"/>
  <c r="R14" i="30" s="1"/>
  <c r="L14" i="30"/>
  <c r="P14" i="30" s="1"/>
  <c r="D14" i="30"/>
  <c r="H14" i="30" s="1"/>
  <c r="J14" i="30" s="1"/>
  <c r="AK14" i="30" s="1"/>
  <c r="AL14" i="30" s="1"/>
  <c r="AU13" i="30"/>
  <c r="AV13" i="30" s="1"/>
  <c r="AR13" i="30"/>
  <c r="AJ13" i="30"/>
  <c r="AF13" i="30"/>
  <c r="V13" i="30"/>
  <c r="Q13" i="30"/>
  <c r="R13" i="30" s="1"/>
  <c r="L13" i="30"/>
  <c r="P13" i="30" s="1"/>
  <c r="D13" i="30"/>
  <c r="H13" i="30" s="1"/>
  <c r="AU12" i="30"/>
  <c r="AV12" i="30" s="1"/>
  <c r="AR12" i="30"/>
  <c r="AJ12" i="30"/>
  <c r="AF12" i="30"/>
  <c r="V12" i="30"/>
  <c r="Q12" i="30"/>
  <c r="R12" i="30" s="1"/>
  <c r="L12" i="30"/>
  <c r="P12" i="30" s="1"/>
  <c r="D12" i="30"/>
  <c r="H12" i="30" s="1"/>
  <c r="J12" i="30" s="1"/>
  <c r="AK12" i="30" s="1"/>
  <c r="AL12" i="30" s="1"/>
  <c r="AU11" i="30"/>
  <c r="AV11" i="30" s="1"/>
  <c r="AR11" i="30"/>
  <c r="AF11" i="30"/>
  <c r="V11" i="30"/>
  <c r="Q11" i="30"/>
  <c r="R11" i="30" s="1"/>
  <c r="P11" i="30"/>
  <c r="G11" i="30"/>
  <c r="D11" i="30"/>
  <c r="AU10" i="30"/>
  <c r="AV10" i="30" s="1"/>
  <c r="AQ10" i="30"/>
  <c r="AR10" i="30" s="1"/>
  <c r="AF10" i="30"/>
  <c r="V10" i="30"/>
  <c r="Q10" i="30"/>
  <c r="R10" i="30" s="1"/>
  <c r="P10" i="30"/>
  <c r="H10" i="30"/>
  <c r="AF9" i="30"/>
  <c r="V9" i="30"/>
  <c r="Q9" i="30"/>
  <c r="R9" i="30" s="1"/>
  <c r="P9" i="30"/>
  <c r="H9" i="30"/>
  <c r="AF8" i="30"/>
  <c r="V8" i="30"/>
  <c r="Q8" i="30"/>
  <c r="R8" i="30" s="1"/>
  <c r="P8" i="30"/>
  <c r="H8" i="30"/>
  <c r="Q6" i="30"/>
  <c r="M123" i="23"/>
  <c r="C12" i="38" s="1"/>
  <c r="H11" i="30" l="1"/>
  <c r="AG9" i="30"/>
  <c r="S9" i="32"/>
  <c r="AG12" i="32"/>
  <c r="H11" i="32"/>
  <c r="J11" i="32" s="1"/>
  <c r="S14" i="32"/>
  <c r="AG33" i="32"/>
  <c r="J9" i="30"/>
  <c r="S8" i="30"/>
  <c r="AG14" i="30"/>
  <c r="S20" i="30"/>
  <c r="AG21" i="30"/>
  <c r="AG27" i="30"/>
  <c r="AG10" i="32"/>
  <c r="S21" i="30"/>
  <c r="S16" i="30"/>
  <c r="AG33" i="30"/>
  <c r="AG31" i="32"/>
  <c r="AG9" i="32"/>
  <c r="AG17" i="32"/>
  <c r="AG21" i="32"/>
  <c r="AG25" i="32"/>
  <c r="AG29" i="32"/>
  <c r="AG23" i="32"/>
  <c r="AG27" i="32"/>
  <c r="S25" i="30"/>
  <c r="AG25" i="30"/>
  <c r="S17" i="30"/>
  <c r="J9" i="32"/>
  <c r="AG17" i="30"/>
  <c r="AG19" i="32"/>
  <c r="S24" i="30"/>
  <c r="S10" i="30"/>
  <c r="AG12" i="30"/>
  <c r="AG29" i="30"/>
  <c r="AG31" i="30"/>
  <c r="AG8" i="32"/>
  <c r="S12" i="32"/>
  <c r="AG14" i="32"/>
  <c r="S11" i="32"/>
  <c r="AG13" i="32"/>
  <c r="J13" i="32"/>
  <c r="AK13" i="32" s="1"/>
  <c r="AL13" i="32" s="1"/>
  <c r="S13" i="32"/>
  <c r="J8" i="32"/>
  <c r="S8" i="32"/>
  <c r="R9" i="32"/>
  <c r="J10" i="32"/>
  <c r="S10" i="32"/>
  <c r="J12" i="32"/>
  <c r="AK12" i="32" s="1"/>
  <c r="AL12" i="32" s="1"/>
  <c r="J14" i="32"/>
  <c r="AK14" i="32" s="1"/>
  <c r="AL14" i="32" s="1"/>
  <c r="S15" i="32"/>
  <c r="AG15" i="32"/>
  <c r="S18" i="32"/>
  <c r="AG18" i="32"/>
  <c r="J18" i="32"/>
  <c r="AK18" i="32" s="1"/>
  <c r="AL18" i="32" s="1"/>
  <c r="S20" i="32"/>
  <c r="AG20" i="32"/>
  <c r="J20" i="32"/>
  <c r="AK20" i="32" s="1"/>
  <c r="AL20" i="32" s="1"/>
  <c r="S22" i="32"/>
  <c r="AG22" i="32"/>
  <c r="J22" i="32"/>
  <c r="AK22" i="32" s="1"/>
  <c r="AL22" i="32" s="1"/>
  <c r="S24" i="32"/>
  <c r="AG24" i="32"/>
  <c r="J24" i="32"/>
  <c r="AK24" i="32" s="1"/>
  <c r="AL24" i="32" s="1"/>
  <c r="S26" i="32"/>
  <c r="AG26" i="32"/>
  <c r="J26" i="32"/>
  <c r="AK26" i="32" s="1"/>
  <c r="AL26" i="32" s="1"/>
  <c r="S28" i="32"/>
  <c r="AG28" i="32"/>
  <c r="J28" i="32"/>
  <c r="AK28" i="32" s="1"/>
  <c r="AL28" i="32" s="1"/>
  <c r="S30" i="32"/>
  <c r="AG30" i="32"/>
  <c r="J30" i="32"/>
  <c r="AK30" i="32" s="1"/>
  <c r="AL30" i="32" s="1"/>
  <c r="S16" i="32"/>
  <c r="AG16" i="32"/>
  <c r="S32" i="32"/>
  <c r="AG32" i="32"/>
  <c r="J32" i="32"/>
  <c r="AK32" i="32" s="1"/>
  <c r="AL32" i="32" s="1"/>
  <c r="S17" i="32"/>
  <c r="S19" i="32"/>
  <c r="S21" i="32"/>
  <c r="S23" i="32"/>
  <c r="S25" i="32"/>
  <c r="S27" i="32"/>
  <c r="S29" i="32"/>
  <c r="S31" i="32"/>
  <c r="S33" i="32"/>
  <c r="AG11" i="30"/>
  <c r="S11" i="30"/>
  <c r="J11" i="30"/>
  <c r="S13" i="30"/>
  <c r="AG13" i="30"/>
  <c r="J13" i="30"/>
  <c r="AK13" i="30" s="1"/>
  <c r="AL13" i="30" s="1"/>
  <c r="AG8" i="30"/>
  <c r="S9" i="30"/>
  <c r="AG10" i="30"/>
  <c r="S12" i="30"/>
  <c r="S14" i="30"/>
  <c r="AG16" i="30"/>
  <c r="AG20" i="30"/>
  <c r="AG24" i="30"/>
  <c r="S28" i="30"/>
  <c r="AG28" i="30"/>
  <c r="J28" i="30"/>
  <c r="AK28" i="30" s="1"/>
  <c r="AL28" i="30" s="1"/>
  <c r="S30" i="30"/>
  <c r="AG30" i="30"/>
  <c r="J30" i="30"/>
  <c r="AK30" i="30" s="1"/>
  <c r="AL30" i="30" s="1"/>
  <c r="J8" i="30"/>
  <c r="J10" i="30"/>
  <c r="S15" i="30"/>
  <c r="AG15" i="30"/>
  <c r="J16" i="30"/>
  <c r="AK16" i="30" s="1"/>
  <c r="AL16" i="30" s="1"/>
  <c r="S18" i="30"/>
  <c r="AG18" i="30"/>
  <c r="S19" i="30"/>
  <c r="AG19" i="30"/>
  <c r="J20" i="30"/>
  <c r="AK20" i="30" s="1"/>
  <c r="AL20" i="30" s="1"/>
  <c r="S22" i="30"/>
  <c r="AG22" i="30"/>
  <c r="S23" i="30"/>
  <c r="AG23" i="30"/>
  <c r="J24" i="30"/>
  <c r="AK24" i="30" s="1"/>
  <c r="AL24" i="30" s="1"/>
  <c r="S26" i="30"/>
  <c r="AG26" i="30"/>
  <c r="S32" i="30"/>
  <c r="AG32" i="30"/>
  <c r="J32" i="30"/>
  <c r="AK32" i="30" s="1"/>
  <c r="AL32" i="30" s="1"/>
  <c r="S27" i="30"/>
  <c r="S29" i="30"/>
  <c r="S31" i="30"/>
  <c r="S33" i="30"/>
  <c r="AG11" i="32" l="1"/>
  <c r="E72" i="23"/>
  <c r="M98" i="23"/>
  <c r="C11" i="38" s="1"/>
  <c r="AF14" i="27"/>
  <c r="AF33" i="27"/>
  <c r="V33" i="27"/>
  <c r="Q33" i="27"/>
  <c r="R33" i="27" s="1"/>
  <c r="L33" i="27"/>
  <c r="P33" i="27" s="1"/>
  <c r="D33" i="27"/>
  <c r="H33" i="27" s="1"/>
  <c r="AF32" i="27"/>
  <c r="V32" i="27"/>
  <c r="Q32" i="27"/>
  <c r="R32" i="27" s="1"/>
  <c r="L32" i="27"/>
  <c r="P32" i="27" s="1"/>
  <c r="D32" i="27"/>
  <c r="H32" i="27" s="1"/>
  <c r="AF31" i="27"/>
  <c r="V31" i="27"/>
  <c r="Q31" i="27"/>
  <c r="R31" i="27" s="1"/>
  <c r="L31" i="27"/>
  <c r="P31" i="27" s="1"/>
  <c r="D31" i="27"/>
  <c r="H31" i="27" s="1"/>
  <c r="AF30" i="27"/>
  <c r="V30" i="27"/>
  <c r="Q30" i="27"/>
  <c r="R30" i="27" s="1"/>
  <c r="L30" i="27"/>
  <c r="P30" i="27" s="1"/>
  <c r="D30" i="27"/>
  <c r="H30" i="27" s="1"/>
  <c r="AV29" i="27"/>
  <c r="AW29" i="27" s="1"/>
  <c r="AF29" i="27"/>
  <c r="V29" i="27"/>
  <c r="Q29" i="27"/>
  <c r="R29" i="27" s="1"/>
  <c r="L29" i="27"/>
  <c r="P29" i="27" s="1"/>
  <c r="D29" i="27"/>
  <c r="H29" i="27" s="1"/>
  <c r="AV28" i="27"/>
  <c r="AW28" i="27" s="1"/>
  <c r="AF28" i="27"/>
  <c r="V28" i="27"/>
  <c r="Q28" i="27"/>
  <c r="R28" i="27" s="1"/>
  <c r="L28" i="27"/>
  <c r="P28" i="27" s="1"/>
  <c r="D28" i="27"/>
  <c r="H28" i="27" s="1"/>
  <c r="AV27" i="27"/>
  <c r="AW27" i="27" s="1"/>
  <c r="AF27" i="27"/>
  <c r="V27" i="27"/>
  <c r="Q27" i="27"/>
  <c r="R27" i="27" s="1"/>
  <c r="L27" i="27"/>
  <c r="P27" i="27" s="1"/>
  <c r="D27" i="27"/>
  <c r="H27" i="27" s="1"/>
  <c r="AV26" i="27"/>
  <c r="AW26" i="27" s="1"/>
  <c r="AF26" i="27"/>
  <c r="V26" i="27"/>
  <c r="Q26" i="27"/>
  <c r="R26" i="27" s="1"/>
  <c r="L26" i="27"/>
  <c r="P26" i="27" s="1"/>
  <c r="D26" i="27"/>
  <c r="H26" i="27" s="1"/>
  <c r="AV25" i="27"/>
  <c r="AW25" i="27" s="1"/>
  <c r="AF25" i="27"/>
  <c r="V25" i="27"/>
  <c r="Q25" i="27"/>
  <c r="R25" i="27" s="1"/>
  <c r="L25" i="27"/>
  <c r="P25" i="27" s="1"/>
  <c r="D25" i="27"/>
  <c r="H25" i="27" s="1"/>
  <c r="AV24" i="27"/>
  <c r="AW24" i="27" s="1"/>
  <c r="AF24" i="27"/>
  <c r="V24" i="27"/>
  <c r="Q24" i="27"/>
  <c r="R24" i="27" s="1"/>
  <c r="L24" i="27"/>
  <c r="P24" i="27" s="1"/>
  <c r="D24" i="27"/>
  <c r="H24" i="27" s="1"/>
  <c r="AV23" i="27"/>
  <c r="AW23" i="27" s="1"/>
  <c r="AF23" i="27"/>
  <c r="V23" i="27"/>
  <c r="Q23" i="27"/>
  <c r="R23" i="27" s="1"/>
  <c r="L23" i="27"/>
  <c r="P23" i="27" s="1"/>
  <c r="D23" i="27"/>
  <c r="H23" i="27" s="1"/>
  <c r="AV22" i="27"/>
  <c r="AW22" i="27" s="1"/>
  <c r="AF22" i="27"/>
  <c r="V22" i="27"/>
  <c r="Q22" i="27"/>
  <c r="R22" i="27" s="1"/>
  <c r="L22" i="27"/>
  <c r="P22" i="27" s="1"/>
  <c r="D22" i="27"/>
  <c r="H22" i="27" s="1"/>
  <c r="AV21" i="27"/>
  <c r="AW21" i="27" s="1"/>
  <c r="AF21" i="27"/>
  <c r="V21" i="27"/>
  <c r="Q21" i="27"/>
  <c r="R21" i="27" s="1"/>
  <c r="L21" i="27"/>
  <c r="P21" i="27" s="1"/>
  <c r="D21" i="27"/>
  <c r="H21" i="27" s="1"/>
  <c r="AV20" i="27"/>
  <c r="AW20" i="27" s="1"/>
  <c r="AF20" i="27"/>
  <c r="V20" i="27"/>
  <c r="Q20" i="27"/>
  <c r="R20" i="27" s="1"/>
  <c r="L20" i="27"/>
  <c r="P20" i="27" s="1"/>
  <c r="D20" i="27"/>
  <c r="H20" i="27" s="1"/>
  <c r="AV19" i="27"/>
  <c r="AW19" i="27" s="1"/>
  <c r="AF19" i="27"/>
  <c r="V19" i="27"/>
  <c r="Q19" i="27"/>
  <c r="R19" i="27" s="1"/>
  <c r="L19" i="27"/>
  <c r="P19" i="27" s="1"/>
  <c r="D19" i="27"/>
  <c r="H19" i="27" s="1"/>
  <c r="AV18" i="27"/>
  <c r="AW18" i="27" s="1"/>
  <c r="AF18" i="27"/>
  <c r="V18" i="27"/>
  <c r="Q18" i="27"/>
  <c r="R18" i="27" s="1"/>
  <c r="L18" i="27"/>
  <c r="P18" i="27" s="1"/>
  <c r="D18" i="27"/>
  <c r="H18" i="27" s="1"/>
  <c r="AV17" i="27"/>
  <c r="AW17" i="27" s="1"/>
  <c r="AF17" i="27"/>
  <c r="V17" i="27"/>
  <c r="Q17" i="27"/>
  <c r="R17" i="27" s="1"/>
  <c r="L17" i="27"/>
  <c r="P17" i="27" s="1"/>
  <c r="D17" i="27"/>
  <c r="H17" i="27" s="1"/>
  <c r="AV16" i="27"/>
  <c r="AW16" i="27" s="1"/>
  <c r="AF16" i="27"/>
  <c r="V16" i="27"/>
  <c r="Q16" i="27"/>
  <c r="R16" i="27" s="1"/>
  <c r="L16" i="27"/>
  <c r="P16" i="27" s="1"/>
  <c r="D16" i="27"/>
  <c r="H16" i="27" s="1"/>
  <c r="AV15" i="27"/>
  <c r="AW15" i="27" s="1"/>
  <c r="AF15" i="27"/>
  <c r="V15" i="27"/>
  <c r="Q15" i="27"/>
  <c r="R15" i="27" s="1"/>
  <c r="L15" i="27"/>
  <c r="P15" i="27" s="1"/>
  <c r="D15" i="27"/>
  <c r="H15" i="27" s="1"/>
  <c r="AV14" i="27"/>
  <c r="AW14" i="27" s="1"/>
  <c r="V14" i="27"/>
  <c r="Q14" i="27"/>
  <c r="R14" i="27" s="1"/>
  <c r="L14" i="27"/>
  <c r="P14" i="27" s="1"/>
  <c r="D14" i="27"/>
  <c r="H14" i="27" s="1"/>
  <c r="AV13" i="27"/>
  <c r="AW13" i="27" s="1"/>
  <c r="AS13" i="27"/>
  <c r="AK13" i="27"/>
  <c r="AF13" i="27"/>
  <c r="V13" i="27"/>
  <c r="Q13" i="27"/>
  <c r="R13" i="27" s="1"/>
  <c r="L13" i="27"/>
  <c r="P13" i="27" s="1"/>
  <c r="D13" i="27"/>
  <c r="H13" i="27" s="1"/>
  <c r="AV12" i="27"/>
  <c r="AW12" i="27" s="1"/>
  <c r="AS12" i="27"/>
  <c r="AK12" i="27"/>
  <c r="AF12" i="27"/>
  <c r="V12" i="27"/>
  <c r="Q12" i="27"/>
  <c r="R12" i="27" s="1"/>
  <c r="L12" i="27"/>
  <c r="P12" i="27" s="1"/>
  <c r="D12" i="27"/>
  <c r="H12" i="27" s="1"/>
  <c r="J12" i="27" s="1"/>
  <c r="AL12" i="27" s="1"/>
  <c r="AM12" i="27" s="1"/>
  <c r="AV11" i="27"/>
  <c r="AW11" i="27" s="1"/>
  <c r="AS11" i="27"/>
  <c r="AF11" i="27"/>
  <c r="V11" i="27"/>
  <c r="Q11" i="27"/>
  <c r="R11" i="27" s="1"/>
  <c r="P11" i="27"/>
  <c r="G11" i="27"/>
  <c r="D11" i="27"/>
  <c r="AV10" i="27"/>
  <c r="AW10" i="27" s="1"/>
  <c r="AR10" i="27"/>
  <c r="AS10" i="27" s="1"/>
  <c r="AF10" i="27"/>
  <c r="V10" i="27"/>
  <c r="Q10" i="27"/>
  <c r="R10" i="27" s="1"/>
  <c r="P10" i="27"/>
  <c r="H10" i="27"/>
  <c r="AF9" i="27"/>
  <c r="V9" i="27"/>
  <c r="Q9" i="27"/>
  <c r="R9" i="27" s="1"/>
  <c r="P9" i="27"/>
  <c r="H9" i="27"/>
  <c r="AF8" i="27"/>
  <c r="V8" i="27"/>
  <c r="Q8" i="27"/>
  <c r="R8" i="27" s="1"/>
  <c r="P8" i="27"/>
  <c r="H8" i="27"/>
  <c r="Q6" i="27"/>
  <c r="M72" i="23"/>
  <c r="E23" i="23"/>
  <c r="H11" i="27" l="1"/>
  <c r="C4" i="38"/>
  <c r="T73" i="23"/>
  <c r="AG15" i="27"/>
  <c r="AG23" i="27"/>
  <c r="AG29" i="27"/>
  <c r="AG21" i="27"/>
  <c r="AG30" i="27"/>
  <c r="AG16" i="27"/>
  <c r="AG24" i="27"/>
  <c r="AG33" i="27"/>
  <c r="AG9" i="27"/>
  <c r="AG17" i="27"/>
  <c r="AG25" i="27"/>
  <c r="AG14" i="27"/>
  <c r="J9" i="27"/>
  <c r="AG18" i="27"/>
  <c r="AG26" i="27"/>
  <c r="AG32" i="27"/>
  <c r="AG22" i="27"/>
  <c r="AG12" i="27"/>
  <c r="S10" i="27"/>
  <c r="AG19" i="27"/>
  <c r="AG27" i="27"/>
  <c r="S8" i="27"/>
  <c r="AG20" i="27"/>
  <c r="AG28" i="27"/>
  <c r="AG31" i="27"/>
  <c r="M99" i="23"/>
  <c r="M149" i="23"/>
  <c r="M124" i="23"/>
  <c r="M73" i="23"/>
  <c r="E73" i="23"/>
  <c r="S16" i="27"/>
  <c r="S18" i="27"/>
  <c r="S20" i="27"/>
  <c r="S22" i="27"/>
  <c r="S24" i="27"/>
  <c r="S26" i="27"/>
  <c r="S28" i="27"/>
  <c r="S30" i="27"/>
  <c r="S32" i="27"/>
  <c r="AG11" i="27"/>
  <c r="S11" i="27"/>
  <c r="J11" i="27"/>
  <c r="AG13" i="27"/>
  <c r="S13" i="27"/>
  <c r="J13" i="27"/>
  <c r="AL13" i="27" s="1"/>
  <c r="AM13" i="27" s="1"/>
  <c r="S14" i="27"/>
  <c r="J14" i="27"/>
  <c r="AL14" i="27" s="1"/>
  <c r="AM14" i="27" s="1"/>
  <c r="AG8" i="27"/>
  <c r="S9" i="27"/>
  <c r="AG10" i="27"/>
  <c r="S12" i="27"/>
  <c r="J31" i="27"/>
  <c r="AL31" i="27" s="1"/>
  <c r="AM31" i="27" s="1"/>
  <c r="S31" i="27"/>
  <c r="J8" i="27"/>
  <c r="J10" i="27"/>
  <c r="J15" i="27"/>
  <c r="AL15" i="27" s="1"/>
  <c r="AM15" i="27" s="1"/>
  <c r="S15" i="27"/>
  <c r="J17" i="27"/>
  <c r="AL17" i="27" s="1"/>
  <c r="AM17" i="27" s="1"/>
  <c r="S17" i="27"/>
  <c r="J19" i="27"/>
  <c r="AL19" i="27" s="1"/>
  <c r="AM19" i="27" s="1"/>
  <c r="S19" i="27"/>
  <c r="J21" i="27"/>
  <c r="AL21" i="27" s="1"/>
  <c r="AM21" i="27" s="1"/>
  <c r="S21" i="27"/>
  <c r="J23" i="27"/>
  <c r="AL23" i="27" s="1"/>
  <c r="AM23" i="27" s="1"/>
  <c r="S23" i="27"/>
  <c r="J25" i="27"/>
  <c r="AL25" i="27" s="1"/>
  <c r="AM25" i="27" s="1"/>
  <c r="S25" i="27"/>
  <c r="J27" i="27"/>
  <c r="AL27" i="27" s="1"/>
  <c r="AM27" i="27" s="1"/>
  <c r="S27" i="27"/>
  <c r="J29" i="27"/>
  <c r="AL29" i="27" s="1"/>
  <c r="AM29" i="27" s="1"/>
  <c r="S29" i="27"/>
  <c r="J33" i="27"/>
  <c r="S33" i="27"/>
  <c r="J16" i="27"/>
  <c r="AL16" i="27" s="1"/>
  <c r="AM16" i="27" s="1"/>
  <c r="J18" i="27"/>
  <c r="AL18" i="27" s="1"/>
  <c r="AM18" i="27" s="1"/>
  <c r="J20" i="27"/>
  <c r="AL20" i="27" s="1"/>
  <c r="AM20" i="27" s="1"/>
  <c r="J22" i="27"/>
  <c r="AL22" i="27" s="1"/>
  <c r="AM22" i="27" s="1"/>
  <c r="J24" i="27"/>
  <c r="AL24" i="27" s="1"/>
  <c r="AM24" i="27" s="1"/>
  <c r="J26" i="27"/>
  <c r="AL26" i="27" s="1"/>
  <c r="AM26" i="27" s="1"/>
  <c r="J28" i="27"/>
  <c r="AL28" i="27" s="1"/>
  <c r="AM28" i="27" s="1"/>
  <c r="J30" i="27"/>
  <c r="AL30" i="27" s="1"/>
  <c r="AM30" i="27" s="1"/>
  <c r="J32" i="27"/>
  <c r="AL32" i="27" s="1"/>
  <c r="AM32" i="27" s="1"/>
  <c r="T47" i="23" l="1"/>
  <c r="C7" i="38" s="1"/>
  <c r="T23" i="23"/>
  <c r="C6" i="38" s="1"/>
  <c r="M47" i="23"/>
  <c r="M48" i="23" s="1"/>
  <c r="M23" i="23"/>
  <c r="C5" i="38" s="1"/>
  <c r="Q15" i="6" l="1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14" i="6"/>
  <c r="E47" i="23" l="1"/>
  <c r="G46" i="23"/>
  <c r="G45" i="23"/>
  <c r="G44" i="23"/>
  <c r="G43" i="23"/>
  <c r="G42" i="23"/>
  <c r="G41" i="23"/>
  <c r="G40" i="23"/>
  <c r="G39" i="23"/>
  <c r="G38" i="23"/>
  <c r="G37" i="23"/>
  <c r="G36" i="23"/>
  <c r="G35" i="23"/>
  <c r="G34" i="23"/>
  <c r="G33" i="23"/>
  <c r="G32" i="23"/>
  <c r="G31" i="23"/>
  <c r="G30" i="23"/>
  <c r="G29" i="23"/>
  <c r="G28" i="23"/>
  <c r="G27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G5" i="23"/>
  <c r="G4" i="23"/>
  <c r="G3" i="23"/>
  <c r="M24" i="23" l="1"/>
  <c r="T24" i="23"/>
  <c r="T48" i="23"/>
  <c r="E48" i="23"/>
  <c r="G23" i="23"/>
  <c r="G47" i="23"/>
  <c r="AF33" i="22" l="1"/>
  <c r="V33" i="22"/>
  <c r="Q33" i="22"/>
  <c r="R33" i="22" s="1"/>
  <c r="L33" i="22"/>
  <c r="P33" i="22" s="1"/>
  <c r="H33" i="22"/>
  <c r="AF32" i="22"/>
  <c r="V32" i="22"/>
  <c r="Q32" i="22"/>
  <c r="R32" i="22" s="1"/>
  <c r="L32" i="22"/>
  <c r="P32" i="22" s="1"/>
  <c r="H32" i="22"/>
  <c r="AF31" i="22"/>
  <c r="V31" i="22"/>
  <c r="Q31" i="22"/>
  <c r="R31" i="22" s="1"/>
  <c r="L31" i="22"/>
  <c r="P31" i="22" s="1"/>
  <c r="H31" i="22"/>
  <c r="AF30" i="22"/>
  <c r="V30" i="22"/>
  <c r="Q30" i="22"/>
  <c r="R30" i="22" s="1"/>
  <c r="L30" i="22"/>
  <c r="P30" i="22" s="1"/>
  <c r="H30" i="22"/>
  <c r="AU29" i="22"/>
  <c r="AV29" i="22" s="1"/>
  <c r="AR29" i="22"/>
  <c r="AJ29" i="22"/>
  <c r="AF29" i="22"/>
  <c r="V29" i="22"/>
  <c r="Q29" i="22"/>
  <c r="R29" i="22" s="1"/>
  <c r="L29" i="22"/>
  <c r="P29" i="22" s="1"/>
  <c r="H29" i="22"/>
  <c r="AU28" i="22"/>
  <c r="AV28" i="22" s="1"/>
  <c r="AR28" i="22"/>
  <c r="AJ28" i="22"/>
  <c r="AF28" i="22"/>
  <c r="V28" i="22"/>
  <c r="Q28" i="22"/>
  <c r="R28" i="22" s="1"/>
  <c r="L28" i="22"/>
  <c r="P28" i="22" s="1"/>
  <c r="H28" i="22"/>
  <c r="J28" i="22" s="1"/>
  <c r="AK28" i="22" s="1"/>
  <c r="AL28" i="22" s="1"/>
  <c r="AU27" i="22"/>
  <c r="AV27" i="22" s="1"/>
  <c r="AR27" i="22"/>
  <c r="AJ27" i="22"/>
  <c r="AF27" i="22"/>
  <c r="V27" i="22"/>
  <c r="Q27" i="22"/>
  <c r="R27" i="22" s="1"/>
  <c r="L27" i="22"/>
  <c r="P27" i="22" s="1"/>
  <c r="H27" i="22"/>
  <c r="AU26" i="22"/>
  <c r="AV26" i="22" s="1"/>
  <c r="AR26" i="22"/>
  <c r="AJ26" i="22"/>
  <c r="AF26" i="22"/>
  <c r="V26" i="22"/>
  <c r="Q26" i="22"/>
  <c r="R26" i="22" s="1"/>
  <c r="L26" i="22"/>
  <c r="P26" i="22" s="1"/>
  <c r="H26" i="22"/>
  <c r="AU25" i="22"/>
  <c r="AV25" i="22" s="1"/>
  <c r="AR25" i="22"/>
  <c r="AJ25" i="22"/>
  <c r="AF25" i="22"/>
  <c r="V25" i="22"/>
  <c r="Q25" i="22"/>
  <c r="R25" i="22" s="1"/>
  <c r="L25" i="22"/>
  <c r="P25" i="22" s="1"/>
  <c r="H25" i="22"/>
  <c r="AU24" i="22"/>
  <c r="AV24" i="22" s="1"/>
  <c r="AR24" i="22"/>
  <c r="AJ24" i="22"/>
  <c r="AF24" i="22"/>
  <c r="V24" i="22"/>
  <c r="Q24" i="22"/>
  <c r="R24" i="22" s="1"/>
  <c r="L24" i="22"/>
  <c r="P24" i="22" s="1"/>
  <c r="H24" i="22"/>
  <c r="AU23" i="22"/>
  <c r="AV23" i="22" s="1"/>
  <c r="AR23" i="22"/>
  <c r="AJ23" i="22"/>
  <c r="AF23" i="22"/>
  <c r="V23" i="22"/>
  <c r="Q23" i="22"/>
  <c r="R23" i="22" s="1"/>
  <c r="L23" i="22"/>
  <c r="P23" i="22" s="1"/>
  <c r="H23" i="22"/>
  <c r="J23" i="22" s="1"/>
  <c r="AK23" i="22" s="1"/>
  <c r="AL23" i="22" s="1"/>
  <c r="AU22" i="22"/>
  <c r="AV22" i="22" s="1"/>
  <c r="AR22" i="22"/>
  <c r="AJ22" i="22"/>
  <c r="AF22" i="22"/>
  <c r="V22" i="22"/>
  <c r="Q22" i="22"/>
  <c r="R22" i="22" s="1"/>
  <c r="L22" i="22"/>
  <c r="P22" i="22" s="1"/>
  <c r="H22" i="22"/>
  <c r="AU21" i="22"/>
  <c r="AV21" i="22" s="1"/>
  <c r="AR21" i="22"/>
  <c r="AJ21" i="22"/>
  <c r="AF21" i="22"/>
  <c r="V21" i="22"/>
  <c r="Q21" i="22"/>
  <c r="R21" i="22" s="1"/>
  <c r="L21" i="22"/>
  <c r="P21" i="22" s="1"/>
  <c r="H21" i="22"/>
  <c r="AU20" i="22"/>
  <c r="AV20" i="22" s="1"/>
  <c r="AR20" i="22"/>
  <c r="AJ20" i="22"/>
  <c r="AF20" i="22"/>
  <c r="V20" i="22"/>
  <c r="Q20" i="22"/>
  <c r="R20" i="22" s="1"/>
  <c r="L20" i="22"/>
  <c r="P20" i="22" s="1"/>
  <c r="H20" i="22"/>
  <c r="J20" i="22" s="1"/>
  <c r="AK20" i="22" s="1"/>
  <c r="AL20" i="22" s="1"/>
  <c r="AU19" i="22"/>
  <c r="AV19" i="22" s="1"/>
  <c r="AR19" i="22"/>
  <c r="AJ19" i="22"/>
  <c r="AF19" i="22"/>
  <c r="V19" i="22"/>
  <c r="Q19" i="22"/>
  <c r="R19" i="22" s="1"/>
  <c r="L19" i="22"/>
  <c r="P19" i="22" s="1"/>
  <c r="H19" i="22"/>
  <c r="AU18" i="22"/>
  <c r="AV18" i="22" s="1"/>
  <c r="AR18" i="22"/>
  <c r="AJ18" i="22"/>
  <c r="AF18" i="22"/>
  <c r="V18" i="22"/>
  <c r="Q18" i="22"/>
  <c r="R18" i="22" s="1"/>
  <c r="L18" i="22"/>
  <c r="P18" i="22" s="1"/>
  <c r="H18" i="22"/>
  <c r="J18" i="22" s="1"/>
  <c r="AK18" i="22" s="1"/>
  <c r="AL18" i="22" s="1"/>
  <c r="AU17" i="22"/>
  <c r="AV17" i="22" s="1"/>
  <c r="AR17" i="22"/>
  <c r="AJ17" i="22"/>
  <c r="AF17" i="22"/>
  <c r="V17" i="22"/>
  <c r="Q17" i="22"/>
  <c r="R17" i="22" s="1"/>
  <c r="L17" i="22"/>
  <c r="P17" i="22" s="1"/>
  <c r="H17" i="22"/>
  <c r="AU16" i="22"/>
  <c r="AV16" i="22" s="1"/>
  <c r="AR16" i="22"/>
  <c r="AJ16" i="22"/>
  <c r="AF16" i="22"/>
  <c r="V16" i="22"/>
  <c r="Q16" i="22"/>
  <c r="R16" i="22" s="1"/>
  <c r="L16" i="22"/>
  <c r="P16" i="22" s="1"/>
  <c r="H16" i="22"/>
  <c r="AU15" i="22"/>
  <c r="AV15" i="22" s="1"/>
  <c r="AR15" i="22"/>
  <c r="AJ15" i="22"/>
  <c r="AF15" i="22"/>
  <c r="V15" i="22"/>
  <c r="Q15" i="22"/>
  <c r="R15" i="22" s="1"/>
  <c r="L15" i="22"/>
  <c r="P15" i="22" s="1"/>
  <c r="H15" i="22"/>
  <c r="J15" i="22" s="1"/>
  <c r="AK15" i="22" s="1"/>
  <c r="AL15" i="22" s="1"/>
  <c r="AU14" i="22"/>
  <c r="AV14" i="22" s="1"/>
  <c r="AR14" i="22"/>
  <c r="AJ14" i="22"/>
  <c r="AF14" i="22"/>
  <c r="V14" i="22"/>
  <c r="Q14" i="22"/>
  <c r="R14" i="22" s="1"/>
  <c r="L14" i="22"/>
  <c r="P14" i="22" s="1"/>
  <c r="H14" i="22"/>
  <c r="J14" i="22" s="1"/>
  <c r="AK14" i="22" s="1"/>
  <c r="AL14" i="22" s="1"/>
  <c r="AU13" i="22"/>
  <c r="AV13" i="22" s="1"/>
  <c r="AR13" i="22"/>
  <c r="AJ13" i="22"/>
  <c r="AF13" i="22"/>
  <c r="V13" i="22"/>
  <c r="Q13" i="22"/>
  <c r="R13" i="22" s="1"/>
  <c r="L13" i="22"/>
  <c r="P13" i="22" s="1"/>
  <c r="D13" i="22"/>
  <c r="H13" i="22" s="1"/>
  <c r="AU12" i="22"/>
  <c r="AV12" i="22" s="1"/>
  <c r="AR12" i="22"/>
  <c r="AJ12" i="22"/>
  <c r="AF12" i="22"/>
  <c r="V12" i="22"/>
  <c r="Q12" i="22"/>
  <c r="R12" i="22" s="1"/>
  <c r="L12" i="22"/>
  <c r="P12" i="22" s="1"/>
  <c r="D12" i="22"/>
  <c r="H12" i="22" s="1"/>
  <c r="J12" i="22" s="1"/>
  <c r="AK12" i="22" s="1"/>
  <c r="AL12" i="22" s="1"/>
  <c r="AU11" i="22"/>
  <c r="AV11" i="22" s="1"/>
  <c r="AR11" i="22"/>
  <c r="AF11" i="22"/>
  <c r="V11" i="22"/>
  <c r="Q11" i="22"/>
  <c r="R11" i="22" s="1"/>
  <c r="P11" i="22"/>
  <c r="G11" i="22"/>
  <c r="D11" i="22"/>
  <c r="AU10" i="22"/>
  <c r="AV10" i="22" s="1"/>
  <c r="AQ10" i="22"/>
  <c r="AR10" i="22" s="1"/>
  <c r="AF10" i="22"/>
  <c r="V10" i="22"/>
  <c r="Q10" i="22"/>
  <c r="R10" i="22" s="1"/>
  <c r="P10" i="22"/>
  <c r="H10" i="22"/>
  <c r="AF9" i="22"/>
  <c r="V9" i="22"/>
  <c r="Q9" i="22"/>
  <c r="R9" i="22" s="1"/>
  <c r="P9" i="22"/>
  <c r="H9" i="22"/>
  <c r="AF8" i="22"/>
  <c r="V8" i="22"/>
  <c r="Q8" i="22"/>
  <c r="R8" i="22" s="1"/>
  <c r="P8" i="22"/>
  <c r="H8" i="22"/>
  <c r="J8" i="22" s="1"/>
  <c r="Q6" i="22"/>
  <c r="S16" i="22" l="1"/>
  <c r="S10" i="22"/>
  <c r="H11" i="22"/>
  <c r="AG23" i="22"/>
  <c r="AG11" i="22"/>
  <c r="J11" i="22"/>
  <c r="S11" i="22"/>
  <c r="AG9" i="22"/>
  <c r="AG8" i="22"/>
  <c r="J9" i="22"/>
  <c r="AG20" i="22"/>
  <c r="AG12" i="22"/>
  <c r="AG28" i="22"/>
  <c r="AG14" i="22"/>
  <c r="AG21" i="22"/>
  <c r="S9" i="22"/>
  <c r="AG29" i="22"/>
  <c r="S18" i="22"/>
  <c r="AG15" i="22"/>
  <c r="AG16" i="22"/>
  <c r="AG33" i="22"/>
  <c r="AG24" i="22"/>
  <c r="S14" i="22"/>
  <c r="AG18" i="22"/>
  <c r="AG32" i="22"/>
  <c r="S15" i="22"/>
  <c r="S32" i="22"/>
  <c r="S23" i="22"/>
  <c r="AG19" i="22"/>
  <c r="J19" i="22"/>
  <c r="AK19" i="22" s="1"/>
  <c r="AL19" i="22" s="1"/>
  <c r="S19" i="22"/>
  <c r="J26" i="22"/>
  <c r="AK26" i="22" s="1"/>
  <c r="AL26" i="22" s="1"/>
  <c r="S26" i="22"/>
  <c r="AG27" i="22"/>
  <c r="J27" i="22"/>
  <c r="AK27" i="22" s="1"/>
  <c r="AL27" i="22" s="1"/>
  <c r="S27" i="22"/>
  <c r="J33" i="22"/>
  <c r="S33" i="22"/>
  <c r="S30" i="22"/>
  <c r="AG30" i="22"/>
  <c r="J30" i="22"/>
  <c r="AK30" i="22" s="1"/>
  <c r="AL30" i="22" s="1"/>
  <c r="AG17" i="22"/>
  <c r="J17" i="22"/>
  <c r="AK17" i="22" s="1"/>
  <c r="AL17" i="22" s="1"/>
  <c r="S17" i="22"/>
  <c r="AG25" i="22"/>
  <c r="J25" i="22"/>
  <c r="AK25" i="22" s="1"/>
  <c r="AL25" i="22" s="1"/>
  <c r="S25" i="22"/>
  <c r="S22" i="22"/>
  <c r="AG22" i="22"/>
  <c r="J22" i="22"/>
  <c r="AK22" i="22" s="1"/>
  <c r="AL22" i="22" s="1"/>
  <c r="AG13" i="22"/>
  <c r="J13" i="22"/>
  <c r="AK13" i="22" s="1"/>
  <c r="AL13" i="22" s="1"/>
  <c r="S13" i="22"/>
  <c r="J21" i="22"/>
  <c r="AK21" i="22" s="1"/>
  <c r="AL21" i="22" s="1"/>
  <c r="S21" i="22"/>
  <c r="S24" i="22"/>
  <c r="AG26" i="22"/>
  <c r="J29" i="22"/>
  <c r="AK29" i="22" s="1"/>
  <c r="AL29" i="22" s="1"/>
  <c r="S29" i="22"/>
  <c r="AG31" i="22"/>
  <c r="J31" i="22"/>
  <c r="AK31" i="22" s="1"/>
  <c r="AL31" i="22" s="1"/>
  <c r="S31" i="22"/>
  <c r="J10" i="22"/>
  <c r="J16" i="22"/>
  <c r="AK16" i="22" s="1"/>
  <c r="AL16" i="22" s="1"/>
  <c r="J24" i="22"/>
  <c r="AK24" i="22" s="1"/>
  <c r="AL24" i="22" s="1"/>
  <c r="J32" i="22"/>
  <c r="AK32" i="22" s="1"/>
  <c r="AL32" i="22" s="1"/>
  <c r="AG10" i="22"/>
  <c r="S12" i="22"/>
  <c r="S20" i="22"/>
  <c r="S28" i="22"/>
  <c r="S8" i="22"/>
  <c r="AF33" i="21" l="1"/>
  <c r="V33" i="21"/>
  <c r="Q33" i="21"/>
  <c r="R33" i="21" s="1"/>
  <c r="L33" i="21"/>
  <c r="P33" i="21" s="1"/>
  <c r="D33" i="21"/>
  <c r="H33" i="21" s="1"/>
  <c r="AF32" i="21"/>
  <c r="V32" i="21"/>
  <c r="Q32" i="21"/>
  <c r="R32" i="21" s="1"/>
  <c r="L32" i="21"/>
  <c r="P32" i="21" s="1"/>
  <c r="D32" i="21"/>
  <c r="H32" i="21" s="1"/>
  <c r="AF31" i="21"/>
  <c r="V31" i="21"/>
  <c r="Q31" i="21"/>
  <c r="R31" i="21" s="1"/>
  <c r="L31" i="21"/>
  <c r="P31" i="21" s="1"/>
  <c r="D31" i="21"/>
  <c r="H31" i="21" s="1"/>
  <c r="AF30" i="21"/>
  <c r="V30" i="21"/>
  <c r="Q30" i="21"/>
  <c r="R30" i="21" s="1"/>
  <c r="L30" i="21"/>
  <c r="P30" i="21" s="1"/>
  <c r="D30" i="21"/>
  <c r="H30" i="21" s="1"/>
  <c r="AU29" i="21"/>
  <c r="AV29" i="21" s="1"/>
  <c r="AR29" i="21"/>
  <c r="AJ29" i="21"/>
  <c r="AF29" i="21"/>
  <c r="V29" i="21"/>
  <c r="Q29" i="21"/>
  <c r="R29" i="21" s="1"/>
  <c r="L29" i="21"/>
  <c r="P29" i="21" s="1"/>
  <c r="D29" i="21"/>
  <c r="H29" i="21" s="1"/>
  <c r="AU28" i="21"/>
  <c r="AV28" i="21" s="1"/>
  <c r="AR28" i="21"/>
  <c r="AJ28" i="21"/>
  <c r="AF28" i="21"/>
  <c r="V28" i="21"/>
  <c r="Q28" i="21"/>
  <c r="R28" i="21" s="1"/>
  <c r="L28" i="21"/>
  <c r="P28" i="21" s="1"/>
  <c r="D28" i="21"/>
  <c r="H28" i="21" s="1"/>
  <c r="J28" i="21" s="1"/>
  <c r="AK28" i="21" s="1"/>
  <c r="AL28" i="21" s="1"/>
  <c r="AU27" i="21"/>
  <c r="AV27" i="21" s="1"/>
  <c r="AR27" i="21"/>
  <c r="AJ27" i="21"/>
  <c r="AF27" i="21"/>
  <c r="V27" i="21"/>
  <c r="Q27" i="21"/>
  <c r="R27" i="21" s="1"/>
  <c r="L27" i="21"/>
  <c r="P27" i="21" s="1"/>
  <c r="D27" i="21"/>
  <c r="H27" i="21" s="1"/>
  <c r="AU26" i="21"/>
  <c r="AV26" i="21" s="1"/>
  <c r="AR26" i="21"/>
  <c r="AJ26" i="21"/>
  <c r="AF26" i="21"/>
  <c r="V26" i="21"/>
  <c r="Q26" i="21"/>
  <c r="R26" i="21" s="1"/>
  <c r="L26" i="21"/>
  <c r="P26" i="21" s="1"/>
  <c r="D26" i="21"/>
  <c r="H26" i="21" s="1"/>
  <c r="J26" i="21" s="1"/>
  <c r="AK26" i="21" s="1"/>
  <c r="AL26" i="21" s="1"/>
  <c r="AU25" i="21"/>
  <c r="AV25" i="21" s="1"/>
  <c r="AR25" i="21"/>
  <c r="AJ25" i="21"/>
  <c r="AF25" i="21"/>
  <c r="V25" i="21"/>
  <c r="Q25" i="21"/>
  <c r="R25" i="21" s="1"/>
  <c r="L25" i="21"/>
  <c r="P25" i="21" s="1"/>
  <c r="D25" i="21"/>
  <c r="H25" i="21" s="1"/>
  <c r="AU24" i="21"/>
  <c r="AV24" i="21" s="1"/>
  <c r="AR24" i="21"/>
  <c r="AJ24" i="21"/>
  <c r="AF24" i="21"/>
  <c r="V24" i="21"/>
  <c r="Q24" i="21"/>
  <c r="R24" i="21" s="1"/>
  <c r="L24" i="21"/>
  <c r="P24" i="21" s="1"/>
  <c r="D24" i="21"/>
  <c r="H24" i="21" s="1"/>
  <c r="AU23" i="21"/>
  <c r="AV23" i="21" s="1"/>
  <c r="AR23" i="21"/>
  <c r="AJ23" i="21"/>
  <c r="AF23" i="21"/>
  <c r="V23" i="21"/>
  <c r="Q23" i="21"/>
  <c r="R23" i="21" s="1"/>
  <c r="L23" i="21"/>
  <c r="P23" i="21" s="1"/>
  <c r="D23" i="21"/>
  <c r="H23" i="21" s="1"/>
  <c r="AU22" i="21"/>
  <c r="AV22" i="21" s="1"/>
  <c r="AR22" i="21"/>
  <c r="AJ22" i="21"/>
  <c r="AF22" i="21"/>
  <c r="V22" i="21"/>
  <c r="Q22" i="21"/>
  <c r="R22" i="21" s="1"/>
  <c r="L22" i="21"/>
  <c r="P22" i="21" s="1"/>
  <c r="D22" i="21"/>
  <c r="H22" i="21" s="1"/>
  <c r="AU21" i="21"/>
  <c r="AV21" i="21" s="1"/>
  <c r="AR21" i="21"/>
  <c r="AJ21" i="21"/>
  <c r="AF21" i="21"/>
  <c r="V21" i="21"/>
  <c r="Q21" i="21"/>
  <c r="R21" i="21" s="1"/>
  <c r="L21" i="21"/>
  <c r="P21" i="21" s="1"/>
  <c r="D21" i="21"/>
  <c r="H21" i="21" s="1"/>
  <c r="AU20" i="21"/>
  <c r="AV20" i="21" s="1"/>
  <c r="AR20" i="21"/>
  <c r="AJ20" i="21"/>
  <c r="AF20" i="21"/>
  <c r="V20" i="21"/>
  <c r="Q20" i="21"/>
  <c r="R20" i="21" s="1"/>
  <c r="L20" i="21"/>
  <c r="P20" i="21" s="1"/>
  <c r="D20" i="21"/>
  <c r="H20" i="21" s="1"/>
  <c r="J20" i="21" s="1"/>
  <c r="AK20" i="21" s="1"/>
  <c r="AL20" i="21" s="1"/>
  <c r="AU19" i="21"/>
  <c r="AV19" i="21" s="1"/>
  <c r="AR19" i="21"/>
  <c r="AJ19" i="21"/>
  <c r="AF19" i="21"/>
  <c r="V19" i="21"/>
  <c r="Q19" i="21"/>
  <c r="R19" i="21" s="1"/>
  <c r="L19" i="21"/>
  <c r="P19" i="21" s="1"/>
  <c r="D19" i="21"/>
  <c r="H19" i="21" s="1"/>
  <c r="AU18" i="21"/>
  <c r="AV18" i="21" s="1"/>
  <c r="AR18" i="21"/>
  <c r="AJ18" i="21"/>
  <c r="AF18" i="21"/>
  <c r="V18" i="21"/>
  <c r="Q18" i="21"/>
  <c r="R18" i="21" s="1"/>
  <c r="L18" i="21"/>
  <c r="P18" i="21" s="1"/>
  <c r="D18" i="21"/>
  <c r="H18" i="21" s="1"/>
  <c r="J18" i="21" s="1"/>
  <c r="AK18" i="21" s="1"/>
  <c r="AL18" i="21" s="1"/>
  <c r="AU17" i="21"/>
  <c r="AV17" i="21" s="1"/>
  <c r="AR17" i="21"/>
  <c r="AJ17" i="21"/>
  <c r="AF17" i="21"/>
  <c r="V17" i="21"/>
  <c r="Q17" i="21"/>
  <c r="R17" i="21" s="1"/>
  <c r="L17" i="21"/>
  <c r="P17" i="21" s="1"/>
  <c r="D17" i="21"/>
  <c r="H17" i="21" s="1"/>
  <c r="AU16" i="21"/>
  <c r="AV16" i="21" s="1"/>
  <c r="AR16" i="21"/>
  <c r="AJ16" i="21"/>
  <c r="AF16" i="21"/>
  <c r="V16" i="21"/>
  <c r="Q16" i="21"/>
  <c r="R16" i="21" s="1"/>
  <c r="L16" i="21"/>
  <c r="P16" i="21" s="1"/>
  <c r="D16" i="21"/>
  <c r="H16" i="21" s="1"/>
  <c r="AU15" i="21"/>
  <c r="AV15" i="21" s="1"/>
  <c r="AR15" i="21"/>
  <c r="AJ15" i="21"/>
  <c r="AF15" i="21"/>
  <c r="V15" i="21"/>
  <c r="Q15" i="21"/>
  <c r="R15" i="21" s="1"/>
  <c r="L15" i="21"/>
  <c r="P15" i="21" s="1"/>
  <c r="D15" i="21"/>
  <c r="H15" i="21" s="1"/>
  <c r="AU14" i="21"/>
  <c r="AV14" i="21" s="1"/>
  <c r="AR14" i="21"/>
  <c r="AJ14" i="21"/>
  <c r="AF14" i="21"/>
  <c r="V14" i="21"/>
  <c r="Q14" i="21"/>
  <c r="R14" i="21" s="1"/>
  <c r="L14" i="21"/>
  <c r="P14" i="21" s="1"/>
  <c r="D14" i="21"/>
  <c r="H14" i="21" s="1"/>
  <c r="AU13" i="21"/>
  <c r="AV13" i="21" s="1"/>
  <c r="AR13" i="21"/>
  <c r="AJ13" i="21"/>
  <c r="AF13" i="21"/>
  <c r="V13" i="21"/>
  <c r="Q13" i="21"/>
  <c r="R13" i="21" s="1"/>
  <c r="L13" i="21"/>
  <c r="P13" i="21" s="1"/>
  <c r="D13" i="21"/>
  <c r="H13" i="21" s="1"/>
  <c r="AU12" i="21"/>
  <c r="AV12" i="21" s="1"/>
  <c r="AR12" i="21"/>
  <c r="AJ12" i="21"/>
  <c r="AF12" i="21"/>
  <c r="V12" i="21"/>
  <c r="Q12" i="21"/>
  <c r="R12" i="21" s="1"/>
  <c r="L12" i="21"/>
  <c r="P12" i="21" s="1"/>
  <c r="D12" i="21"/>
  <c r="H12" i="21" s="1"/>
  <c r="J12" i="21" s="1"/>
  <c r="AK12" i="21" s="1"/>
  <c r="AL12" i="21" s="1"/>
  <c r="AU11" i="21"/>
  <c r="AV11" i="21" s="1"/>
  <c r="AR11" i="21"/>
  <c r="AF11" i="21"/>
  <c r="V11" i="21"/>
  <c r="Q11" i="21"/>
  <c r="R11" i="21" s="1"/>
  <c r="P11" i="21"/>
  <c r="G11" i="21"/>
  <c r="D11" i="21"/>
  <c r="AU10" i="21"/>
  <c r="AV10" i="21" s="1"/>
  <c r="AQ10" i="21"/>
  <c r="AR10" i="21" s="1"/>
  <c r="AF10" i="21"/>
  <c r="V10" i="21"/>
  <c r="Q10" i="21"/>
  <c r="R10" i="21" s="1"/>
  <c r="P10" i="21"/>
  <c r="H10" i="21"/>
  <c r="AF9" i="21"/>
  <c r="V9" i="21"/>
  <c r="Q9" i="21"/>
  <c r="R9" i="21" s="1"/>
  <c r="P9" i="21"/>
  <c r="H9" i="21"/>
  <c r="AF8" i="21"/>
  <c r="V8" i="21"/>
  <c r="Q8" i="21"/>
  <c r="R8" i="21" s="1"/>
  <c r="P8" i="21"/>
  <c r="H8" i="21"/>
  <c r="Q6" i="21"/>
  <c r="AF33" i="20"/>
  <c r="V33" i="20"/>
  <c r="Q33" i="20"/>
  <c r="R33" i="20" s="1"/>
  <c r="L33" i="20"/>
  <c r="P33" i="20" s="1"/>
  <c r="D33" i="20"/>
  <c r="H33" i="20" s="1"/>
  <c r="AF32" i="20"/>
  <c r="V32" i="20"/>
  <c r="Q32" i="20"/>
  <c r="R32" i="20" s="1"/>
  <c r="L32" i="20"/>
  <c r="P32" i="20" s="1"/>
  <c r="D32" i="20"/>
  <c r="H32" i="20" s="1"/>
  <c r="AF31" i="20"/>
  <c r="V31" i="20"/>
  <c r="Q31" i="20"/>
  <c r="R31" i="20" s="1"/>
  <c r="L31" i="20"/>
  <c r="P31" i="20" s="1"/>
  <c r="D31" i="20"/>
  <c r="H31" i="20" s="1"/>
  <c r="AF30" i="20"/>
  <c r="V30" i="20"/>
  <c r="Q30" i="20"/>
  <c r="R30" i="20" s="1"/>
  <c r="L30" i="20"/>
  <c r="P30" i="20" s="1"/>
  <c r="D30" i="20"/>
  <c r="H30" i="20" s="1"/>
  <c r="AU29" i="20"/>
  <c r="AV29" i="20" s="1"/>
  <c r="AR29" i="20"/>
  <c r="AJ29" i="20"/>
  <c r="AF29" i="20"/>
  <c r="V29" i="20"/>
  <c r="Q29" i="20"/>
  <c r="R29" i="20" s="1"/>
  <c r="L29" i="20"/>
  <c r="P29" i="20" s="1"/>
  <c r="D29" i="20"/>
  <c r="H29" i="20" s="1"/>
  <c r="J29" i="20" s="1"/>
  <c r="AK29" i="20" s="1"/>
  <c r="AL29" i="20" s="1"/>
  <c r="AU28" i="20"/>
  <c r="AV28" i="20" s="1"/>
  <c r="AR28" i="20"/>
  <c r="AJ28" i="20"/>
  <c r="AF28" i="20"/>
  <c r="V28" i="20"/>
  <c r="Q28" i="20"/>
  <c r="R28" i="20" s="1"/>
  <c r="L28" i="20"/>
  <c r="P28" i="20" s="1"/>
  <c r="D28" i="20"/>
  <c r="H28" i="20" s="1"/>
  <c r="AU27" i="20"/>
  <c r="AV27" i="20" s="1"/>
  <c r="AR27" i="20"/>
  <c r="AJ27" i="20"/>
  <c r="AF27" i="20"/>
  <c r="V27" i="20"/>
  <c r="Q27" i="20"/>
  <c r="R27" i="20" s="1"/>
  <c r="L27" i="20"/>
  <c r="P27" i="20" s="1"/>
  <c r="D27" i="20"/>
  <c r="H27" i="20" s="1"/>
  <c r="AU26" i="20"/>
  <c r="AV26" i="20" s="1"/>
  <c r="AR26" i="20"/>
  <c r="AJ26" i="20"/>
  <c r="AF26" i="20"/>
  <c r="V26" i="20"/>
  <c r="Q26" i="20"/>
  <c r="R26" i="20" s="1"/>
  <c r="L26" i="20"/>
  <c r="P26" i="20" s="1"/>
  <c r="D26" i="20"/>
  <c r="H26" i="20" s="1"/>
  <c r="AU25" i="20"/>
  <c r="AV25" i="20" s="1"/>
  <c r="AR25" i="20"/>
  <c r="AJ25" i="20"/>
  <c r="AF25" i="20"/>
  <c r="V25" i="20"/>
  <c r="Q25" i="20"/>
  <c r="R25" i="20" s="1"/>
  <c r="L25" i="20"/>
  <c r="P25" i="20" s="1"/>
  <c r="D25" i="20"/>
  <c r="H25" i="20" s="1"/>
  <c r="AU24" i="20"/>
  <c r="AV24" i="20" s="1"/>
  <c r="AR24" i="20"/>
  <c r="AJ24" i="20"/>
  <c r="AF24" i="20"/>
  <c r="V24" i="20"/>
  <c r="Q24" i="20"/>
  <c r="R24" i="20" s="1"/>
  <c r="L24" i="20"/>
  <c r="P24" i="20" s="1"/>
  <c r="D24" i="20"/>
  <c r="H24" i="20" s="1"/>
  <c r="AU23" i="20"/>
  <c r="AV23" i="20" s="1"/>
  <c r="AR23" i="20"/>
  <c r="AJ23" i="20"/>
  <c r="AF23" i="20"/>
  <c r="V23" i="20"/>
  <c r="Q23" i="20"/>
  <c r="R23" i="20" s="1"/>
  <c r="L23" i="20"/>
  <c r="P23" i="20" s="1"/>
  <c r="D23" i="20"/>
  <c r="H23" i="20" s="1"/>
  <c r="AU22" i="20"/>
  <c r="AV22" i="20" s="1"/>
  <c r="AR22" i="20"/>
  <c r="AJ22" i="20"/>
  <c r="AF22" i="20"/>
  <c r="V22" i="20"/>
  <c r="Q22" i="20"/>
  <c r="R22" i="20" s="1"/>
  <c r="L22" i="20"/>
  <c r="P22" i="20" s="1"/>
  <c r="D22" i="20"/>
  <c r="H22" i="20" s="1"/>
  <c r="AU21" i="20"/>
  <c r="AV21" i="20" s="1"/>
  <c r="AR21" i="20"/>
  <c r="AJ21" i="20"/>
  <c r="AF21" i="20"/>
  <c r="V21" i="20"/>
  <c r="Q21" i="20"/>
  <c r="R21" i="20" s="1"/>
  <c r="L21" i="20"/>
  <c r="P21" i="20" s="1"/>
  <c r="D21" i="20"/>
  <c r="H21" i="20" s="1"/>
  <c r="AU20" i="20"/>
  <c r="AV20" i="20" s="1"/>
  <c r="AR20" i="20"/>
  <c r="AJ20" i="20"/>
  <c r="AF20" i="20"/>
  <c r="V20" i="20"/>
  <c r="Q20" i="20"/>
  <c r="R20" i="20" s="1"/>
  <c r="L20" i="20"/>
  <c r="P20" i="20" s="1"/>
  <c r="D20" i="20"/>
  <c r="H20" i="20" s="1"/>
  <c r="J20" i="20" s="1"/>
  <c r="AK20" i="20" s="1"/>
  <c r="AL20" i="20" s="1"/>
  <c r="AU19" i="20"/>
  <c r="AV19" i="20" s="1"/>
  <c r="AR19" i="20"/>
  <c r="AJ19" i="20"/>
  <c r="AF19" i="20"/>
  <c r="V19" i="20"/>
  <c r="Q19" i="20"/>
  <c r="R19" i="20" s="1"/>
  <c r="L19" i="20"/>
  <c r="P19" i="20" s="1"/>
  <c r="D19" i="20"/>
  <c r="H19" i="20" s="1"/>
  <c r="AU18" i="20"/>
  <c r="AV18" i="20" s="1"/>
  <c r="AR18" i="20"/>
  <c r="AJ18" i="20"/>
  <c r="AF18" i="20"/>
  <c r="V18" i="20"/>
  <c r="Q18" i="20"/>
  <c r="R18" i="20" s="1"/>
  <c r="L18" i="20"/>
  <c r="P18" i="20" s="1"/>
  <c r="D18" i="20"/>
  <c r="H18" i="20" s="1"/>
  <c r="AU17" i="20"/>
  <c r="AV17" i="20" s="1"/>
  <c r="AR17" i="20"/>
  <c r="AJ17" i="20"/>
  <c r="AF17" i="20"/>
  <c r="V17" i="20"/>
  <c r="Q17" i="20"/>
  <c r="R17" i="20" s="1"/>
  <c r="L17" i="20"/>
  <c r="P17" i="20" s="1"/>
  <c r="D17" i="20"/>
  <c r="H17" i="20" s="1"/>
  <c r="AU16" i="20"/>
  <c r="AV16" i="20" s="1"/>
  <c r="AR16" i="20"/>
  <c r="AJ16" i="20"/>
  <c r="AF16" i="20"/>
  <c r="V16" i="20"/>
  <c r="Q16" i="20"/>
  <c r="R16" i="20" s="1"/>
  <c r="L16" i="20"/>
  <c r="P16" i="20" s="1"/>
  <c r="D16" i="20"/>
  <c r="H16" i="20" s="1"/>
  <c r="AU15" i="20"/>
  <c r="AV15" i="20" s="1"/>
  <c r="AR15" i="20"/>
  <c r="AJ15" i="20"/>
  <c r="AF15" i="20"/>
  <c r="V15" i="20"/>
  <c r="Q15" i="20"/>
  <c r="R15" i="20" s="1"/>
  <c r="L15" i="20"/>
  <c r="P15" i="20" s="1"/>
  <c r="D15" i="20"/>
  <c r="H15" i="20" s="1"/>
  <c r="J15" i="20" s="1"/>
  <c r="AK15" i="20" s="1"/>
  <c r="AL15" i="20" s="1"/>
  <c r="AU14" i="20"/>
  <c r="AV14" i="20" s="1"/>
  <c r="AR14" i="20"/>
  <c r="AJ14" i="20"/>
  <c r="AF14" i="20"/>
  <c r="V14" i="20"/>
  <c r="Q14" i="20"/>
  <c r="R14" i="20" s="1"/>
  <c r="L14" i="20"/>
  <c r="P14" i="20" s="1"/>
  <c r="D14" i="20"/>
  <c r="H14" i="20" s="1"/>
  <c r="AU13" i="20"/>
  <c r="AV13" i="20" s="1"/>
  <c r="AR13" i="20"/>
  <c r="AJ13" i="20"/>
  <c r="AF13" i="20"/>
  <c r="V13" i="20"/>
  <c r="Q13" i="20"/>
  <c r="R13" i="20" s="1"/>
  <c r="L13" i="20"/>
  <c r="P13" i="20" s="1"/>
  <c r="D13" i="20"/>
  <c r="H13" i="20" s="1"/>
  <c r="AU12" i="20"/>
  <c r="AV12" i="20" s="1"/>
  <c r="AR12" i="20"/>
  <c r="AJ12" i="20"/>
  <c r="AF12" i="20"/>
  <c r="V12" i="20"/>
  <c r="Q12" i="20"/>
  <c r="R12" i="20" s="1"/>
  <c r="L12" i="20"/>
  <c r="P12" i="20" s="1"/>
  <c r="D12" i="20"/>
  <c r="H12" i="20" s="1"/>
  <c r="J12" i="20" s="1"/>
  <c r="AK12" i="20" s="1"/>
  <c r="AL12" i="20" s="1"/>
  <c r="AU11" i="20"/>
  <c r="AV11" i="20" s="1"/>
  <c r="AR11" i="20"/>
  <c r="AF11" i="20"/>
  <c r="V11" i="20"/>
  <c r="Q11" i="20"/>
  <c r="R11" i="20" s="1"/>
  <c r="P11" i="20"/>
  <c r="G11" i="20"/>
  <c r="D11" i="20"/>
  <c r="AU10" i="20"/>
  <c r="AV10" i="20" s="1"/>
  <c r="AQ10" i="20"/>
  <c r="AR10" i="20" s="1"/>
  <c r="AF10" i="20"/>
  <c r="V10" i="20"/>
  <c r="Q10" i="20"/>
  <c r="R10" i="20" s="1"/>
  <c r="P10" i="20"/>
  <c r="H10" i="20"/>
  <c r="AF9" i="20"/>
  <c r="V9" i="20"/>
  <c r="Q9" i="20"/>
  <c r="R9" i="20" s="1"/>
  <c r="P9" i="20"/>
  <c r="H9" i="20"/>
  <c r="AF8" i="20"/>
  <c r="V8" i="20"/>
  <c r="Q8" i="20"/>
  <c r="R8" i="20" s="1"/>
  <c r="P8" i="20"/>
  <c r="H8" i="20"/>
  <c r="Q6" i="20"/>
  <c r="AG17" i="20" l="1"/>
  <c r="AG27" i="20"/>
  <c r="AG32" i="21"/>
  <c r="H11" i="21"/>
  <c r="AG11" i="21" s="1"/>
  <c r="S12" i="21"/>
  <c r="AG8" i="21"/>
  <c r="AG8" i="20"/>
  <c r="J8" i="21"/>
  <c r="S26" i="21"/>
  <c r="H11" i="20"/>
  <c r="J11" i="20" s="1"/>
  <c r="AG23" i="21"/>
  <c r="S16" i="20"/>
  <c r="AG16" i="21"/>
  <c r="S20" i="21"/>
  <c r="S23" i="20"/>
  <c r="J23" i="20"/>
  <c r="AK23" i="20" s="1"/>
  <c r="AL23" i="20" s="1"/>
  <c r="S10" i="21"/>
  <c r="J8" i="20"/>
  <c r="AG15" i="20"/>
  <c r="S24" i="20"/>
  <c r="S18" i="21"/>
  <c r="S10" i="20"/>
  <c r="AG23" i="20"/>
  <c r="AG29" i="20"/>
  <c r="S28" i="21"/>
  <c r="AG16" i="20"/>
  <c r="AG15" i="21"/>
  <c r="AG12" i="20"/>
  <c r="AG13" i="20"/>
  <c r="AG18" i="20"/>
  <c r="AG24" i="20"/>
  <c r="AG12" i="21"/>
  <c r="AG18" i="21"/>
  <c r="S9" i="20"/>
  <c r="S9" i="21"/>
  <c r="AG26" i="21"/>
  <c r="J9" i="20"/>
  <c r="AG20" i="21"/>
  <c r="AG28" i="21"/>
  <c r="AG20" i="20"/>
  <c r="AG32" i="20"/>
  <c r="AG10" i="21"/>
  <c r="AG21" i="21"/>
  <c r="S23" i="21"/>
  <c r="S15" i="21"/>
  <c r="S32" i="20"/>
  <c r="AG31" i="21"/>
  <c r="J31" i="21"/>
  <c r="AK31" i="21" s="1"/>
  <c r="AL31" i="21" s="1"/>
  <c r="S31" i="21"/>
  <c r="S14" i="21"/>
  <c r="J14" i="21"/>
  <c r="AK14" i="21" s="1"/>
  <c r="AL14" i="21" s="1"/>
  <c r="AG14" i="21"/>
  <c r="S25" i="21"/>
  <c r="AG25" i="21"/>
  <c r="J25" i="21"/>
  <c r="AK25" i="21" s="1"/>
  <c r="AL25" i="21" s="1"/>
  <c r="J30" i="21"/>
  <c r="AK30" i="21" s="1"/>
  <c r="AL30" i="21" s="1"/>
  <c r="S30" i="21"/>
  <c r="AG30" i="21"/>
  <c r="J29" i="21"/>
  <c r="AK29" i="21" s="1"/>
  <c r="AL29" i="21" s="1"/>
  <c r="S29" i="21"/>
  <c r="J33" i="21"/>
  <c r="S33" i="21"/>
  <c r="AG19" i="21"/>
  <c r="J19" i="21"/>
  <c r="AK19" i="21" s="1"/>
  <c r="AL19" i="21" s="1"/>
  <c r="S19" i="21"/>
  <c r="S24" i="21"/>
  <c r="J24" i="21"/>
  <c r="AK24" i="21" s="1"/>
  <c r="AL24" i="21" s="1"/>
  <c r="J21" i="21"/>
  <c r="AK21" i="21" s="1"/>
  <c r="AL21" i="21" s="1"/>
  <c r="S21" i="21"/>
  <c r="S32" i="21"/>
  <c r="J32" i="21"/>
  <c r="AK32" i="21" s="1"/>
  <c r="AL32" i="21" s="1"/>
  <c r="J13" i="21"/>
  <c r="AK13" i="21" s="1"/>
  <c r="AL13" i="21" s="1"/>
  <c r="S13" i="21"/>
  <c r="AG13" i="21"/>
  <c r="S16" i="21"/>
  <c r="J16" i="21"/>
  <c r="AK16" i="21" s="1"/>
  <c r="AL16" i="21" s="1"/>
  <c r="AG24" i="21"/>
  <c r="AG27" i="21"/>
  <c r="J27" i="21"/>
  <c r="AK27" i="21" s="1"/>
  <c r="AL27" i="21" s="1"/>
  <c r="S27" i="21"/>
  <c r="AG29" i="21"/>
  <c r="S17" i="21"/>
  <c r="AG17" i="21"/>
  <c r="J17" i="21"/>
  <c r="AK17" i="21" s="1"/>
  <c r="AL17" i="21" s="1"/>
  <c r="S22" i="21"/>
  <c r="J22" i="21"/>
  <c r="AK22" i="21" s="1"/>
  <c r="AL22" i="21" s="1"/>
  <c r="AG22" i="21"/>
  <c r="AG33" i="21"/>
  <c r="AG9" i="21"/>
  <c r="J15" i="21"/>
  <c r="AK15" i="21" s="1"/>
  <c r="AL15" i="21" s="1"/>
  <c r="J10" i="21"/>
  <c r="J11" i="21"/>
  <c r="J9" i="21"/>
  <c r="J23" i="21"/>
  <c r="AK23" i="21" s="1"/>
  <c r="AL23" i="21" s="1"/>
  <c r="S8" i="21"/>
  <c r="AG33" i="20"/>
  <c r="J21" i="20"/>
  <c r="AK21" i="20" s="1"/>
  <c r="AL21" i="20" s="1"/>
  <c r="S21" i="20"/>
  <c r="J25" i="20"/>
  <c r="AK25" i="20" s="1"/>
  <c r="AL25" i="20" s="1"/>
  <c r="S25" i="20"/>
  <c r="AG26" i="20"/>
  <c r="S30" i="20"/>
  <c r="AG30" i="20"/>
  <c r="J30" i="20"/>
  <c r="AK30" i="20" s="1"/>
  <c r="AL30" i="20" s="1"/>
  <c r="J13" i="20"/>
  <c r="AK13" i="20" s="1"/>
  <c r="AL13" i="20" s="1"/>
  <c r="S13" i="20"/>
  <c r="J17" i="20"/>
  <c r="AK17" i="20" s="1"/>
  <c r="AL17" i="20" s="1"/>
  <c r="S17" i="20"/>
  <c r="S22" i="20"/>
  <c r="AG22" i="20"/>
  <c r="J22" i="20"/>
  <c r="AK22" i="20" s="1"/>
  <c r="AL22" i="20" s="1"/>
  <c r="J26" i="20"/>
  <c r="AK26" i="20" s="1"/>
  <c r="AL26" i="20" s="1"/>
  <c r="S26" i="20"/>
  <c r="J33" i="20"/>
  <c r="S33" i="20"/>
  <c r="J27" i="20"/>
  <c r="AK27" i="20" s="1"/>
  <c r="AL27" i="20" s="1"/>
  <c r="S27" i="20"/>
  <c r="S19" i="20"/>
  <c r="AG19" i="20"/>
  <c r="J19" i="20"/>
  <c r="AK19" i="20" s="1"/>
  <c r="AL19" i="20" s="1"/>
  <c r="AG21" i="20"/>
  <c r="AG25" i="20"/>
  <c r="AG28" i="20"/>
  <c r="J28" i="20"/>
  <c r="AK28" i="20" s="1"/>
  <c r="AL28" i="20" s="1"/>
  <c r="S28" i="20"/>
  <c r="S14" i="20"/>
  <c r="AG14" i="20"/>
  <c r="J14" i="20"/>
  <c r="AK14" i="20" s="1"/>
  <c r="AL14" i="20" s="1"/>
  <c r="J18" i="20"/>
  <c r="AK18" i="20" s="1"/>
  <c r="AL18" i="20" s="1"/>
  <c r="S18" i="20"/>
  <c r="S15" i="20"/>
  <c r="AG31" i="20"/>
  <c r="J31" i="20"/>
  <c r="AK31" i="20" s="1"/>
  <c r="AL31" i="20" s="1"/>
  <c r="S31" i="20"/>
  <c r="AG9" i="20"/>
  <c r="AG10" i="20"/>
  <c r="J10" i="20"/>
  <c r="J24" i="20"/>
  <c r="AK24" i="20" s="1"/>
  <c r="AL24" i="20" s="1"/>
  <c r="J32" i="20"/>
  <c r="AK32" i="20" s="1"/>
  <c r="AL32" i="20" s="1"/>
  <c r="S12" i="20"/>
  <c r="S20" i="20"/>
  <c r="S8" i="20"/>
  <c r="S29" i="20"/>
  <c r="J16" i="20"/>
  <c r="AK16" i="20" s="1"/>
  <c r="AL16" i="20" s="1"/>
  <c r="AE33" i="19"/>
  <c r="V33" i="19"/>
  <c r="Q33" i="19"/>
  <c r="R33" i="19" s="1"/>
  <c r="L33" i="19"/>
  <c r="P33" i="19" s="1"/>
  <c r="D33" i="19"/>
  <c r="H33" i="19" s="1"/>
  <c r="AE32" i="19"/>
  <c r="V32" i="19"/>
  <c r="Q32" i="19"/>
  <c r="R32" i="19" s="1"/>
  <c r="L32" i="19"/>
  <c r="P32" i="19" s="1"/>
  <c r="D32" i="19"/>
  <c r="H32" i="19" s="1"/>
  <c r="J32" i="19" s="1"/>
  <c r="AE31" i="19"/>
  <c r="V31" i="19"/>
  <c r="Q31" i="19"/>
  <c r="R31" i="19" s="1"/>
  <c r="L31" i="19"/>
  <c r="P31" i="19" s="1"/>
  <c r="D31" i="19"/>
  <c r="H31" i="19" s="1"/>
  <c r="AE30" i="19"/>
  <c r="V30" i="19"/>
  <c r="Q30" i="19"/>
  <c r="R30" i="19" s="1"/>
  <c r="L30" i="19"/>
  <c r="P30" i="19" s="1"/>
  <c r="D30" i="19"/>
  <c r="H30" i="19" s="1"/>
  <c r="AE29" i="19"/>
  <c r="V29" i="19"/>
  <c r="Q29" i="19"/>
  <c r="R29" i="19" s="1"/>
  <c r="L29" i="19"/>
  <c r="P29" i="19" s="1"/>
  <c r="D29" i="19"/>
  <c r="H29" i="19" s="1"/>
  <c r="AE28" i="19"/>
  <c r="V28" i="19"/>
  <c r="Q28" i="19"/>
  <c r="R28" i="19" s="1"/>
  <c r="L28" i="19"/>
  <c r="P28" i="19" s="1"/>
  <c r="D28" i="19"/>
  <c r="H28" i="19" s="1"/>
  <c r="AE27" i="19"/>
  <c r="V27" i="19"/>
  <c r="Q27" i="19"/>
  <c r="R27" i="19" s="1"/>
  <c r="L27" i="19"/>
  <c r="P27" i="19" s="1"/>
  <c r="D27" i="19"/>
  <c r="H27" i="19" s="1"/>
  <c r="AE26" i="19"/>
  <c r="V26" i="19"/>
  <c r="Q26" i="19"/>
  <c r="R26" i="19" s="1"/>
  <c r="L26" i="19"/>
  <c r="P26" i="19" s="1"/>
  <c r="D26" i="19"/>
  <c r="H26" i="19" s="1"/>
  <c r="J26" i="19" s="1"/>
  <c r="AE25" i="19"/>
  <c r="V25" i="19"/>
  <c r="Q25" i="19"/>
  <c r="R25" i="19" s="1"/>
  <c r="L25" i="19"/>
  <c r="P25" i="19" s="1"/>
  <c r="D25" i="19"/>
  <c r="H25" i="19" s="1"/>
  <c r="J25" i="19" s="1"/>
  <c r="AE24" i="19"/>
  <c r="V24" i="19"/>
  <c r="Q24" i="19"/>
  <c r="R24" i="19" s="1"/>
  <c r="L24" i="19"/>
  <c r="P24" i="19" s="1"/>
  <c r="D24" i="19"/>
  <c r="H24" i="19" s="1"/>
  <c r="J24" i="19" s="1"/>
  <c r="AE23" i="19"/>
  <c r="V23" i="19"/>
  <c r="Q23" i="19"/>
  <c r="R23" i="19" s="1"/>
  <c r="L23" i="19"/>
  <c r="P23" i="19" s="1"/>
  <c r="D23" i="19"/>
  <c r="H23" i="19" s="1"/>
  <c r="J23" i="19" s="1"/>
  <c r="AE22" i="19"/>
  <c r="V22" i="19"/>
  <c r="Q22" i="19"/>
  <c r="R22" i="19" s="1"/>
  <c r="L22" i="19"/>
  <c r="P22" i="19" s="1"/>
  <c r="D22" i="19"/>
  <c r="H22" i="19" s="1"/>
  <c r="AE21" i="19"/>
  <c r="V21" i="19"/>
  <c r="Q21" i="19"/>
  <c r="R21" i="19" s="1"/>
  <c r="L21" i="19"/>
  <c r="P21" i="19" s="1"/>
  <c r="D21" i="19"/>
  <c r="H21" i="19" s="1"/>
  <c r="AE20" i="19"/>
  <c r="V20" i="19"/>
  <c r="Q20" i="19"/>
  <c r="R20" i="19" s="1"/>
  <c r="L20" i="19"/>
  <c r="P20" i="19" s="1"/>
  <c r="D20" i="19"/>
  <c r="H20" i="19" s="1"/>
  <c r="AE19" i="19"/>
  <c r="V19" i="19"/>
  <c r="Q19" i="19"/>
  <c r="R19" i="19" s="1"/>
  <c r="L19" i="19"/>
  <c r="P19" i="19" s="1"/>
  <c r="D19" i="19"/>
  <c r="H19" i="19" s="1"/>
  <c r="AE18" i="19"/>
  <c r="V18" i="19"/>
  <c r="Q18" i="19"/>
  <c r="R18" i="19" s="1"/>
  <c r="L18" i="19"/>
  <c r="P18" i="19" s="1"/>
  <c r="D18" i="19"/>
  <c r="H18" i="19" s="1"/>
  <c r="AE17" i="19"/>
  <c r="V17" i="19"/>
  <c r="Q17" i="19"/>
  <c r="R17" i="19" s="1"/>
  <c r="L17" i="19"/>
  <c r="P17" i="19" s="1"/>
  <c r="D17" i="19"/>
  <c r="H17" i="19" s="1"/>
  <c r="J17" i="19" s="1"/>
  <c r="AE16" i="19"/>
  <c r="V16" i="19"/>
  <c r="Q16" i="19"/>
  <c r="R16" i="19" s="1"/>
  <c r="L16" i="19"/>
  <c r="P16" i="19" s="1"/>
  <c r="D16" i="19"/>
  <c r="H16" i="19" s="1"/>
  <c r="J16" i="19" s="1"/>
  <c r="AE15" i="19"/>
  <c r="V15" i="19"/>
  <c r="Q15" i="19"/>
  <c r="R15" i="19" s="1"/>
  <c r="L15" i="19"/>
  <c r="P15" i="19" s="1"/>
  <c r="D15" i="19"/>
  <c r="H15" i="19" s="1"/>
  <c r="J15" i="19" s="1"/>
  <c r="AE14" i="19"/>
  <c r="V14" i="19"/>
  <c r="Q14" i="19"/>
  <c r="R14" i="19" s="1"/>
  <c r="L14" i="19"/>
  <c r="P14" i="19" s="1"/>
  <c r="D14" i="19"/>
  <c r="H14" i="19" s="1"/>
  <c r="AE13" i="19"/>
  <c r="V13" i="19"/>
  <c r="Q13" i="19"/>
  <c r="R13" i="19" s="1"/>
  <c r="L13" i="19"/>
  <c r="P13" i="19" s="1"/>
  <c r="D13" i="19"/>
  <c r="H13" i="19" s="1"/>
  <c r="AE12" i="19"/>
  <c r="V12" i="19"/>
  <c r="Q12" i="19"/>
  <c r="R12" i="19" s="1"/>
  <c r="L12" i="19"/>
  <c r="P12" i="19" s="1"/>
  <c r="D12" i="19"/>
  <c r="H12" i="19" s="1"/>
  <c r="AE11" i="19"/>
  <c r="V11" i="19"/>
  <c r="Q11" i="19"/>
  <c r="R11" i="19" s="1"/>
  <c r="P11" i="19"/>
  <c r="G11" i="19"/>
  <c r="D11" i="19"/>
  <c r="AE10" i="19"/>
  <c r="V10" i="19"/>
  <c r="Q10" i="19"/>
  <c r="R10" i="19" s="1"/>
  <c r="P10" i="19"/>
  <c r="H10" i="19"/>
  <c r="AE9" i="19"/>
  <c r="V9" i="19"/>
  <c r="Q9" i="19"/>
  <c r="R9" i="19" s="1"/>
  <c r="P9" i="19"/>
  <c r="H9" i="19"/>
  <c r="J9" i="19" s="1"/>
  <c r="AE8" i="19"/>
  <c r="V8" i="19"/>
  <c r="Q8" i="19"/>
  <c r="R8" i="19" s="1"/>
  <c r="P8" i="19"/>
  <c r="H8" i="19"/>
  <c r="Q6" i="19"/>
  <c r="H11" i="19" l="1"/>
  <c r="S11" i="21"/>
  <c r="E31" i="40" a="1"/>
  <c r="AG11" i="20"/>
  <c r="S11" i="20"/>
  <c r="AF27" i="19"/>
  <c r="AF29" i="19"/>
  <c r="AF8" i="19"/>
  <c r="AF12" i="19"/>
  <c r="AF13" i="19"/>
  <c r="AF21" i="19"/>
  <c r="AF10" i="19"/>
  <c r="AF17" i="19"/>
  <c r="AF25" i="19"/>
  <c r="J10" i="19"/>
  <c r="AF32" i="19"/>
  <c r="AF9" i="19"/>
  <c r="AF18" i="19"/>
  <c r="AF26" i="19"/>
  <c r="S10" i="19"/>
  <c r="J8" i="19"/>
  <c r="S9" i="19"/>
  <c r="AF23" i="19"/>
  <c r="AF15" i="19"/>
  <c r="S8" i="19"/>
  <c r="AF16" i="19"/>
  <c r="AF24" i="19"/>
  <c r="S15" i="19"/>
  <c r="S23" i="19"/>
  <c r="S25" i="19"/>
  <c r="S32" i="19"/>
  <c r="S17" i="19"/>
  <c r="S24" i="19"/>
  <c r="S18" i="19"/>
  <c r="S19" i="19"/>
  <c r="J19" i="19"/>
  <c r="J20" i="19"/>
  <c r="S20" i="19"/>
  <c r="J29" i="19"/>
  <c r="S29" i="19"/>
  <c r="J31" i="19"/>
  <c r="S31" i="19"/>
  <c r="J11" i="19"/>
  <c r="S11" i="19"/>
  <c r="AF11" i="19"/>
  <c r="AF30" i="19"/>
  <c r="J30" i="19"/>
  <c r="S30" i="19"/>
  <c r="J28" i="19"/>
  <c r="S28" i="19"/>
  <c r="J33" i="19"/>
  <c r="S33" i="19"/>
  <c r="J13" i="19"/>
  <c r="S13" i="19"/>
  <c r="AF19" i="19"/>
  <c r="J12" i="19"/>
  <c r="S12" i="19"/>
  <c r="S16" i="19"/>
  <c r="S27" i="19"/>
  <c r="J27" i="19"/>
  <c r="AF28" i="19"/>
  <c r="J21" i="19"/>
  <c r="S21" i="19"/>
  <c r="AF22" i="19"/>
  <c r="J22" i="19"/>
  <c r="S22" i="19"/>
  <c r="S14" i="19"/>
  <c r="AF14" i="19"/>
  <c r="J14" i="19"/>
  <c r="AF20" i="19"/>
  <c r="AF31" i="19"/>
  <c r="AF33" i="19"/>
  <c r="J18" i="19"/>
  <c r="S26" i="19"/>
  <c r="AE33" i="17"/>
  <c r="V33" i="17"/>
  <c r="Q33" i="17"/>
  <c r="R33" i="17" s="1"/>
  <c r="L33" i="17"/>
  <c r="P33" i="17" s="1"/>
  <c r="D33" i="17"/>
  <c r="H33" i="17" s="1"/>
  <c r="AE32" i="17"/>
  <c r="V32" i="17"/>
  <c r="Q32" i="17"/>
  <c r="R32" i="17" s="1"/>
  <c r="L32" i="17"/>
  <c r="P32" i="17" s="1"/>
  <c r="D32" i="17"/>
  <c r="H32" i="17" s="1"/>
  <c r="AE31" i="17"/>
  <c r="V31" i="17"/>
  <c r="Q31" i="17"/>
  <c r="R31" i="17" s="1"/>
  <c r="L31" i="17"/>
  <c r="P31" i="17" s="1"/>
  <c r="D31" i="17"/>
  <c r="H31" i="17" s="1"/>
  <c r="AE30" i="17"/>
  <c r="V30" i="17"/>
  <c r="Q30" i="17"/>
  <c r="R30" i="17" s="1"/>
  <c r="L30" i="17"/>
  <c r="P30" i="17" s="1"/>
  <c r="D30" i="17"/>
  <c r="H30" i="17" s="1"/>
  <c r="AE29" i="17"/>
  <c r="V29" i="17"/>
  <c r="Q29" i="17"/>
  <c r="R29" i="17" s="1"/>
  <c r="L29" i="17"/>
  <c r="P29" i="17" s="1"/>
  <c r="D29" i="17"/>
  <c r="H29" i="17" s="1"/>
  <c r="AE28" i="17"/>
  <c r="V28" i="17"/>
  <c r="Q28" i="17"/>
  <c r="R28" i="17" s="1"/>
  <c r="L28" i="17"/>
  <c r="P28" i="17" s="1"/>
  <c r="D28" i="17"/>
  <c r="H28" i="17" s="1"/>
  <c r="AE27" i="17"/>
  <c r="V27" i="17"/>
  <c r="Q27" i="17"/>
  <c r="R27" i="17" s="1"/>
  <c r="L27" i="17"/>
  <c r="P27" i="17" s="1"/>
  <c r="D27" i="17"/>
  <c r="H27" i="17" s="1"/>
  <c r="AE26" i="17"/>
  <c r="V26" i="17"/>
  <c r="Q26" i="17"/>
  <c r="R26" i="17" s="1"/>
  <c r="L26" i="17"/>
  <c r="P26" i="17" s="1"/>
  <c r="D26" i="17"/>
  <c r="H26" i="17" s="1"/>
  <c r="AE25" i="17"/>
  <c r="V25" i="17"/>
  <c r="Q25" i="17"/>
  <c r="R25" i="17" s="1"/>
  <c r="L25" i="17"/>
  <c r="P25" i="17" s="1"/>
  <c r="D25" i="17"/>
  <c r="H25" i="17" s="1"/>
  <c r="AE24" i="17"/>
  <c r="V24" i="17"/>
  <c r="Q24" i="17"/>
  <c r="R24" i="17" s="1"/>
  <c r="L24" i="17"/>
  <c r="P24" i="17" s="1"/>
  <c r="D24" i="17"/>
  <c r="H24" i="17" s="1"/>
  <c r="AE23" i="17"/>
  <c r="V23" i="17"/>
  <c r="Q23" i="17"/>
  <c r="R23" i="17" s="1"/>
  <c r="L23" i="17"/>
  <c r="P23" i="17" s="1"/>
  <c r="D23" i="17"/>
  <c r="H23" i="17" s="1"/>
  <c r="AE22" i="17"/>
  <c r="V22" i="17"/>
  <c r="Q22" i="17"/>
  <c r="R22" i="17" s="1"/>
  <c r="L22" i="17"/>
  <c r="P22" i="17" s="1"/>
  <c r="D22" i="17"/>
  <c r="H22" i="17" s="1"/>
  <c r="AE21" i="17"/>
  <c r="V21" i="17"/>
  <c r="Q21" i="17"/>
  <c r="R21" i="17" s="1"/>
  <c r="L21" i="17"/>
  <c r="P21" i="17" s="1"/>
  <c r="D21" i="17"/>
  <c r="H21" i="17" s="1"/>
  <c r="AE20" i="17"/>
  <c r="V20" i="17"/>
  <c r="Q20" i="17"/>
  <c r="R20" i="17" s="1"/>
  <c r="L20" i="17"/>
  <c r="P20" i="17" s="1"/>
  <c r="D20" i="17"/>
  <c r="H20" i="17" s="1"/>
  <c r="AE19" i="17"/>
  <c r="V19" i="17"/>
  <c r="Q19" i="17"/>
  <c r="R19" i="17" s="1"/>
  <c r="L19" i="17"/>
  <c r="P19" i="17" s="1"/>
  <c r="D19" i="17"/>
  <c r="H19" i="17" s="1"/>
  <c r="AE18" i="17"/>
  <c r="V18" i="17"/>
  <c r="Q18" i="17"/>
  <c r="R18" i="17" s="1"/>
  <c r="L18" i="17"/>
  <c r="P18" i="17" s="1"/>
  <c r="D18" i="17"/>
  <c r="H18" i="17" s="1"/>
  <c r="AE17" i="17"/>
  <c r="V17" i="17"/>
  <c r="Q17" i="17"/>
  <c r="R17" i="17" s="1"/>
  <c r="L17" i="17"/>
  <c r="P17" i="17" s="1"/>
  <c r="D17" i="17"/>
  <c r="H17" i="17" s="1"/>
  <c r="AE16" i="17"/>
  <c r="V16" i="17"/>
  <c r="Q16" i="17"/>
  <c r="R16" i="17" s="1"/>
  <c r="L16" i="17"/>
  <c r="P16" i="17" s="1"/>
  <c r="D16" i="17"/>
  <c r="H16" i="17" s="1"/>
  <c r="J16" i="17" s="1"/>
  <c r="AE15" i="17"/>
  <c r="V15" i="17"/>
  <c r="Q15" i="17"/>
  <c r="R15" i="17" s="1"/>
  <c r="L15" i="17"/>
  <c r="P15" i="17" s="1"/>
  <c r="D15" i="17"/>
  <c r="H15" i="17" s="1"/>
  <c r="AE14" i="17"/>
  <c r="V14" i="17"/>
  <c r="Q14" i="17"/>
  <c r="R14" i="17" s="1"/>
  <c r="L14" i="17"/>
  <c r="P14" i="17" s="1"/>
  <c r="D14" i="17"/>
  <c r="H14" i="17" s="1"/>
  <c r="AE13" i="17"/>
  <c r="V13" i="17"/>
  <c r="Q13" i="17"/>
  <c r="R13" i="17" s="1"/>
  <c r="L13" i="17"/>
  <c r="P13" i="17" s="1"/>
  <c r="D13" i="17"/>
  <c r="H13" i="17" s="1"/>
  <c r="AE12" i="17"/>
  <c r="V12" i="17"/>
  <c r="Q12" i="17"/>
  <c r="R12" i="17" s="1"/>
  <c r="L12" i="17"/>
  <c r="P12" i="17" s="1"/>
  <c r="D12" i="17"/>
  <c r="H12" i="17" s="1"/>
  <c r="AE11" i="17"/>
  <c r="V11" i="17"/>
  <c r="Q11" i="17"/>
  <c r="R11" i="17" s="1"/>
  <c r="P11" i="17"/>
  <c r="G11" i="17"/>
  <c r="D11" i="17"/>
  <c r="AE10" i="17"/>
  <c r="V10" i="17"/>
  <c r="Q10" i="17"/>
  <c r="R10" i="17" s="1"/>
  <c r="P10" i="17"/>
  <c r="H10" i="17"/>
  <c r="AE9" i="17"/>
  <c r="V9" i="17"/>
  <c r="Q9" i="17"/>
  <c r="R9" i="17" s="1"/>
  <c r="P9" i="17"/>
  <c r="H9" i="17"/>
  <c r="AE8" i="17"/>
  <c r="V8" i="17"/>
  <c r="Q8" i="17"/>
  <c r="R8" i="17" s="1"/>
  <c r="P8" i="17"/>
  <c r="H8" i="17"/>
  <c r="Q6" i="17"/>
  <c r="E41" i="40" l="1" a="1"/>
  <c r="E41" i="40" s="1"/>
  <c r="F31" i="40"/>
  <c r="Q38" i="40"/>
  <c r="T33" i="40"/>
  <c r="O10" i="40" s="1"/>
  <c r="M39" i="40"/>
  <c r="H36" i="40"/>
  <c r="F13" i="40" s="1"/>
  <c r="Q32" i="40"/>
  <c r="H38" i="40"/>
  <c r="F15" i="40" s="1"/>
  <c r="S39" i="40"/>
  <c r="O36" i="40"/>
  <c r="K33" i="40"/>
  <c r="J37" i="40"/>
  <c r="M38" i="40"/>
  <c r="U34" i="40"/>
  <c r="Q31" i="40"/>
  <c r="P37" i="40"/>
  <c r="L14" i="40" s="1"/>
  <c r="L34" i="40"/>
  <c r="I11" i="40" s="1"/>
  <c r="H31" i="40"/>
  <c r="V34" i="40"/>
  <c r="E38" i="40"/>
  <c r="C15" i="40" s="1"/>
  <c r="G37" i="40"/>
  <c r="W33" i="40"/>
  <c r="V39" i="40"/>
  <c r="R36" i="40"/>
  <c r="N33" i="40"/>
  <c r="H34" i="40"/>
  <c r="F11" i="40" s="1"/>
  <c r="S37" i="40"/>
  <c r="U32" i="40"/>
  <c r="F32" i="40"/>
  <c r="R34" i="40"/>
  <c r="M33" i="40"/>
  <c r="I39" i="40"/>
  <c r="F36" i="40"/>
  <c r="J34" i="40"/>
  <c r="E37" i="40"/>
  <c r="C14" i="40" s="1"/>
  <c r="H32" i="40"/>
  <c r="F9" i="40" s="1"/>
  <c r="U37" i="40"/>
  <c r="P34" i="40"/>
  <c r="L11" i="40" s="1"/>
  <c r="E31" i="40"/>
  <c r="P36" i="40"/>
  <c r="L13" i="40" s="1"/>
  <c r="K39" i="40"/>
  <c r="G36" i="40"/>
  <c r="W32" i="40"/>
  <c r="N36" i="40"/>
  <c r="Q37" i="40"/>
  <c r="M34" i="40"/>
  <c r="I31" i="40"/>
  <c r="H37" i="40"/>
  <c r="F14" i="40" s="1"/>
  <c r="X33" i="40"/>
  <c r="R10" i="40" s="1"/>
  <c r="R39" i="40"/>
  <c r="N34" i="40"/>
  <c r="W39" i="40"/>
  <c r="S36" i="40"/>
  <c r="O33" i="40"/>
  <c r="N39" i="40"/>
  <c r="J36" i="40"/>
  <c r="F33" i="40"/>
  <c r="R37" i="40"/>
  <c r="K32" i="40"/>
  <c r="V31" i="40"/>
  <c r="E35" i="40"/>
  <c r="C12" i="40" s="1"/>
  <c r="R31" i="40"/>
  <c r="K38" i="40"/>
  <c r="P32" i="40"/>
  <c r="L9" i="40" s="1"/>
  <c r="G34" i="40"/>
  <c r="H35" i="40"/>
  <c r="F12" i="40" s="1"/>
  <c r="O31" i="40"/>
  <c r="M35" i="40"/>
  <c r="U39" i="40"/>
  <c r="I36" i="40"/>
  <c r="X32" i="40"/>
  <c r="X38" i="40"/>
  <c r="X34" i="40"/>
  <c r="W38" i="40"/>
  <c r="S35" i="40"/>
  <c r="O32" i="40"/>
  <c r="J35" i="40"/>
  <c r="I37" i="40"/>
  <c r="E34" i="40"/>
  <c r="C11" i="40" s="1"/>
  <c r="X39" i="40"/>
  <c r="T36" i="40"/>
  <c r="O13" i="40" s="1"/>
  <c r="P33" i="40"/>
  <c r="L10" i="40" s="1"/>
  <c r="J39" i="40"/>
  <c r="R33" i="40"/>
  <c r="O39" i="40"/>
  <c r="K36" i="40"/>
  <c r="G33" i="40"/>
  <c r="F39" i="40"/>
  <c r="V35" i="40"/>
  <c r="R32" i="40"/>
  <c r="T32" i="40"/>
  <c r="O9" i="40" s="1"/>
  <c r="O35" i="40"/>
  <c r="F35" i="40"/>
  <c r="P38" i="40"/>
  <c r="L15" i="40" s="1"/>
  <c r="K31" i="40"/>
  <c r="P35" i="40"/>
  <c r="L12" i="40" s="1"/>
  <c r="G35" i="40"/>
  <c r="N31" i="40"/>
  <c r="L39" i="40"/>
  <c r="I16" i="40" s="1"/>
  <c r="M32" i="40"/>
  <c r="W37" i="40"/>
  <c r="U33" i="40"/>
  <c r="I38" i="40"/>
  <c r="Q34" i="40"/>
  <c r="L31" i="40"/>
  <c r="L37" i="40"/>
  <c r="I14" i="40" s="1"/>
  <c r="L33" i="40"/>
  <c r="I10" i="40" s="1"/>
  <c r="O38" i="40"/>
  <c r="K35" i="40"/>
  <c r="G32" i="40"/>
  <c r="F34" i="40"/>
  <c r="U36" i="40"/>
  <c r="Q33" i="40"/>
  <c r="P39" i="40"/>
  <c r="L16" i="40" s="1"/>
  <c r="L36" i="40"/>
  <c r="I13" i="40" s="1"/>
  <c r="H33" i="40"/>
  <c r="F10" i="40" s="1"/>
  <c r="N38" i="40"/>
  <c r="J33" i="40"/>
  <c r="G39" i="40"/>
  <c r="W35" i="40"/>
  <c r="S32" i="40"/>
  <c r="R38" i="40"/>
  <c r="N35" i="40"/>
  <c r="J32" i="40"/>
  <c r="N32" i="40"/>
  <c r="J38" i="40"/>
  <c r="M31" i="40"/>
  <c r="O34" i="40"/>
  <c r="T38" i="40"/>
  <c r="O15" i="40" s="1"/>
  <c r="V36" i="40"/>
  <c r="V37" i="40"/>
  <c r="U35" i="40"/>
  <c r="K37" i="40"/>
  <c r="L38" i="40"/>
  <c r="I15" i="40" s="1"/>
  <c r="S34" i="40"/>
  <c r="I32" i="40"/>
  <c r="Q36" i="40"/>
  <c r="E33" i="40"/>
  <c r="C10" i="40" s="1"/>
  <c r="E39" i="40"/>
  <c r="C16" i="40" s="1"/>
  <c r="T35" i="40"/>
  <c r="O12" i="40" s="1"/>
  <c r="T31" i="40"/>
  <c r="G38" i="40"/>
  <c r="W34" i="40"/>
  <c r="S31" i="40"/>
  <c r="V32" i="40"/>
  <c r="M36" i="40"/>
  <c r="I33" i="40"/>
  <c r="H39" i="40"/>
  <c r="F16" i="40" s="1"/>
  <c r="X35" i="40"/>
  <c r="S38" i="40"/>
  <c r="M37" i="40"/>
  <c r="E36" i="40"/>
  <c r="C13" i="40" s="1"/>
  <c r="L32" i="40"/>
  <c r="I9" i="40" s="1"/>
  <c r="W31" i="40"/>
  <c r="X36" i="40"/>
  <c r="Q35" i="40"/>
  <c r="X31" i="40"/>
  <c r="AC7" i="40" s="1"/>
  <c r="N37" i="40"/>
  <c r="L35" i="40"/>
  <c r="I12" i="40" s="1"/>
  <c r="U31" i="40"/>
  <c r="T37" i="40"/>
  <c r="O14" i="40" s="1"/>
  <c r="I34" i="40"/>
  <c r="T39" i="40"/>
  <c r="O16" i="40" s="1"/>
  <c r="W36" i="40"/>
  <c r="S33" i="40"/>
  <c r="F38" i="40"/>
  <c r="U38" i="40"/>
  <c r="I35" i="40"/>
  <c r="E32" i="40"/>
  <c r="C9" i="40" s="1"/>
  <c r="X37" i="40"/>
  <c r="T34" i="40"/>
  <c r="O11" i="40" s="1"/>
  <c r="P31" i="40"/>
  <c r="R35" i="40"/>
  <c r="Q39" i="40"/>
  <c r="O37" i="40"/>
  <c r="K34" i="40"/>
  <c r="G31" i="40"/>
  <c r="F37" i="40"/>
  <c r="V33" i="40"/>
  <c r="V38" i="40"/>
  <c r="J31" i="40"/>
  <c r="S12" i="17"/>
  <c r="AF9" i="17"/>
  <c r="S22" i="17"/>
  <c r="S24" i="17"/>
  <c r="S28" i="17"/>
  <c r="S30" i="17"/>
  <c r="S20" i="17"/>
  <c r="S18" i="17"/>
  <c r="J9" i="17"/>
  <c r="S26" i="17"/>
  <c r="AF26" i="17"/>
  <c r="AF16" i="17"/>
  <c r="AF20" i="17"/>
  <c r="AF24" i="17"/>
  <c r="AF28" i="17"/>
  <c r="S10" i="17"/>
  <c r="AF12" i="17"/>
  <c r="S14" i="17"/>
  <c r="AF32" i="17"/>
  <c r="H11" i="17"/>
  <c r="J11" i="17" s="1"/>
  <c r="AF18" i="17"/>
  <c r="AF22" i="17"/>
  <c r="AF30" i="17"/>
  <c r="S8" i="17"/>
  <c r="S15" i="17"/>
  <c r="S16" i="17"/>
  <c r="AF13" i="17"/>
  <c r="J13" i="17"/>
  <c r="S13" i="17"/>
  <c r="AF8" i="17"/>
  <c r="S9" i="17"/>
  <c r="AF10" i="17"/>
  <c r="J8" i="17"/>
  <c r="J10" i="17"/>
  <c r="J12" i="17"/>
  <c r="J14" i="17"/>
  <c r="AF14" i="17"/>
  <c r="J15" i="17"/>
  <c r="AF31" i="17"/>
  <c r="J31" i="17"/>
  <c r="S31" i="17"/>
  <c r="S32" i="17"/>
  <c r="AF15" i="17"/>
  <c r="AF17" i="17"/>
  <c r="J17" i="17"/>
  <c r="S17" i="17"/>
  <c r="AF19" i="17"/>
  <c r="J19" i="17"/>
  <c r="S19" i="17"/>
  <c r="AF21" i="17"/>
  <c r="J21" i="17"/>
  <c r="S21" i="17"/>
  <c r="AF23" i="17"/>
  <c r="J23" i="17"/>
  <c r="S23" i="17"/>
  <c r="AF25" i="17"/>
  <c r="J25" i="17"/>
  <c r="S25" i="17"/>
  <c r="AF27" i="17"/>
  <c r="J27" i="17"/>
  <c r="S27" i="17"/>
  <c r="AF29" i="17"/>
  <c r="J29" i="17"/>
  <c r="S29" i="17"/>
  <c r="J33" i="17"/>
  <c r="S33" i="17"/>
  <c r="AF33" i="17"/>
  <c r="J18" i="17"/>
  <c r="J20" i="17"/>
  <c r="J22" i="17"/>
  <c r="J24" i="17"/>
  <c r="J26" i="17"/>
  <c r="J28" i="17"/>
  <c r="J30" i="17"/>
  <c r="J32" i="17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P32" i="6" s="1"/>
  <c r="L33" i="6"/>
  <c r="P33" i="6" s="1"/>
  <c r="L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14" i="6"/>
  <c r="X41" i="40" l="1"/>
  <c r="AD7" i="40" s="1"/>
  <c r="P45" i="40"/>
  <c r="M12" i="40" s="1"/>
  <c r="K41" i="40"/>
  <c r="S44" i="40"/>
  <c r="W41" i="40"/>
  <c r="I41" i="40"/>
  <c r="L47" i="40"/>
  <c r="J14" i="40" s="1"/>
  <c r="W44" i="40"/>
  <c r="G45" i="40"/>
  <c r="S42" i="40"/>
  <c r="N41" i="40"/>
  <c r="J42" i="40"/>
  <c r="J41" i="40"/>
  <c r="N46" i="40"/>
  <c r="W47" i="40"/>
  <c r="M44" i="40"/>
  <c r="L43" i="40"/>
  <c r="J10" i="40" s="1"/>
  <c r="I49" i="40"/>
  <c r="J49" i="40"/>
  <c r="G46" i="40"/>
  <c r="K48" i="40"/>
  <c r="M42" i="40"/>
  <c r="K43" i="40"/>
  <c r="U43" i="40"/>
  <c r="I44" i="40"/>
  <c r="R41" i="40"/>
  <c r="V46" i="40"/>
  <c r="V47" i="40"/>
  <c r="T47" i="40"/>
  <c r="P14" i="40" s="1"/>
  <c r="G41" i="40"/>
  <c r="Q44" i="40"/>
  <c r="L45" i="40"/>
  <c r="J12" i="40" s="1"/>
  <c r="Q41" i="40"/>
  <c r="H41" i="40"/>
  <c r="W43" i="40"/>
  <c r="K44" i="40"/>
  <c r="U47" i="40"/>
  <c r="Q42" i="40"/>
  <c r="O46" i="40"/>
  <c r="V45" i="40"/>
  <c r="S43" i="40"/>
  <c r="S45" i="40"/>
  <c r="R45" i="40"/>
  <c r="J45" i="40"/>
  <c r="Q47" i="40"/>
  <c r="R47" i="40"/>
  <c r="U45" i="40"/>
  <c r="W45" i="40"/>
  <c r="R49" i="40"/>
  <c r="N45" i="40"/>
  <c r="H45" i="40"/>
  <c r="G12" i="40" s="1"/>
  <c r="X48" i="40"/>
  <c r="S15" i="40" s="1"/>
  <c r="I45" i="40"/>
  <c r="X44" i="40"/>
  <c r="AD11" i="40" s="1"/>
  <c r="W42" i="40"/>
  <c r="E47" i="40"/>
  <c r="D14" i="40" s="1"/>
  <c r="G47" i="40"/>
  <c r="Q43" i="40"/>
  <c r="T43" i="40"/>
  <c r="P10" i="40" s="1"/>
  <c r="M47" i="40"/>
  <c r="O47" i="40"/>
  <c r="E44" i="40"/>
  <c r="D11" i="40" s="1"/>
  <c r="F49" i="40"/>
  <c r="T48" i="40"/>
  <c r="P15" i="40" s="1"/>
  <c r="I48" i="40"/>
  <c r="K49" i="40"/>
  <c r="T49" i="40"/>
  <c r="P16" i="40" s="1"/>
  <c r="P46" i="40"/>
  <c r="M13" i="40" s="1"/>
  <c r="F46" i="40"/>
  <c r="I42" i="40"/>
  <c r="E49" i="40"/>
  <c r="D16" i="40" s="1"/>
  <c r="G49" i="40"/>
  <c r="Q45" i="40"/>
  <c r="O45" i="40"/>
  <c r="R48" i="40"/>
  <c r="L48" i="40"/>
  <c r="J15" i="40" s="1"/>
  <c r="E45" i="40"/>
  <c r="D12" i="40" s="1"/>
  <c r="M43" i="40"/>
  <c r="O43" i="40"/>
  <c r="H46" i="40"/>
  <c r="G13" i="40" s="1"/>
  <c r="H47" i="40"/>
  <c r="G14" i="40" s="1"/>
  <c r="N42" i="40"/>
  <c r="F42" i="40"/>
  <c r="U46" i="40"/>
  <c r="F44" i="40"/>
  <c r="R43" i="40"/>
  <c r="I47" i="40"/>
  <c r="J44" i="40"/>
  <c r="V43" i="40"/>
  <c r="P43" i="40"/>
  <c r="M10" i="40" s="1"/>
  <c r="X42" i="40"/>
  <c r="AD9" i="40" s="1"/>
  <c r="R44" i="40"/>
  <c r="G44" i="40"/>
  <c r="O44" i="40"/>
  <c r="U48" i="40"/>
  <c r="P42" i="40"/>
  <c r="M9" i="40" s="1"/>
  <c r="K47" i="40"/>
  <c r="V48" i="40"/>
  <c r="J47" i="40"/>
  <c r="Q46" i="40"/>
  <c r="S46" i="40"/>
  <c r="I43" i="40"/>
  <c r="E48" i="40"/>
  <c r="D15" i="40" s="1"/>
  <c r="T45" i="40"/>
  <c r="P12" i="40" s="1"/>
  <c r="S49" i="40"/>
  <c r="J43" i="40"/>
  <c r="G42" i="40"/>
  <c r="H48" i="40"/>
  <c r="G15" i="40" s="1"/>
  <c r="H44" i="40"/>
  <c r="G11" i="40" s="1"/>
  <c r="V44" i="40"/>
  <c r="L49" i="40"/>
  <c r="J16" i="40" s="1"/>
  <c r="X43" i="40"/>
  <c r="S10" i="40" s="1"/>
  <c r="F47" i="40"/>
  <c r="T46" i="40"/>
  <c r="P13" i="40" s="1"/>
  <c r="T41" i="40"/>
  <c r="S48" i="40"/>
  <c r="V41" i="40"/>
  <c r="P41" i="40"/>
  <c r="O42" i="40"/>
  <c r="E43" i="40"/>
  <c r="D10" i="40" s="1"/>
  <c r="G43" i="40"/>
  <c r="P44" i="40"/>
  <c r="M11" i="40" s="1"/>
  <c r="P48" i="40"/>
  <c r="M15" i="40" s="1"/>
  <c r="U49" i="40"/>
  <c r="W49" i="40"/>
  <c r="M46" i="40"/>
  <c r="Q48" i="40"/>
  <c r="F43" i="40"/>
  <c r="T42" i="40"/>
  <c r="P9" i="40" s="1"/>
  <c r="W46" i="40"/>
  <c r="N48" i="40"/>
  <c r="N43" i="40"/>
  <c r="H43" i="40"/>
  <c r="G10" i="40" s="1"/>
  <c r="W48" i="40"/>
  <c r="H42" i="40"/>
  <c r="G9" i="40" s="1"/>
  <c r="V42" i="40"/>
  <c r="X49" i="40"/>
  <c r="AD16" i="40" s="1"/>
  <c r="U41" i="40"/>
  <c r="L44" i="40"/>
  <c r="J11" i="40" s="1"/>
  <c r="F45" i="40"/>
  <c r="T44" i="40"/>
  <c r="P11" i="40" s="1"/>
  <c r="X46" i="40"/>
  <c r="AD13" i="40" s="1"/>
  <c r="I46" i="40"/>
  <c r="K46" i="40"/>
  <c r="U42" i="40"/>
  <c r="U44" i="40"/>
  <c r="O48" i="40"/>
  <c r="G48" i="40"/>
  <c r="Q49" i="40"/>
  <c r="K42" i="40"/>
  <c r="J46" i="40"/>
  <c r="X45" i="40"/>
  <c r="AD12" i="40" s="1"/>
  <c r="L41" i="40"/>
  <c r="N44" i="40"/>
  <c r="R46" i="40"/>
  <c r="L46" i="40"/>
  <c r="J13" i="40" s="1"/>
  <c r="S41" i="40"/>
  <c r="M41" i="40"/>
  <c r="O41" i="40"/>
  <c r="S47" i="40"/>
  <c r="N47" i="40"/>
  <c r="E42" i="40"/>
  <c r="D9" i="40" s="1"/>
  <c r="J48" i="40"/>
  <c r="X47" i="40"/>
  <c r="AD14" i="40" s="1"/>
  <c r="F41" i="40"/>
  <c r="M49" i="40"/>
  <c r="O49" i="40"/>
  <c r="E46" i="40"/>
  <c r="D13" i="40" s="1"/>
  <c r="M45" i="40"/>
  <c r="R42" i="40"/>
  <c r="L42" i="40"/>
  <c r="J9" i="40" s="1"/>
  <c r="K45" i="40"/>
  <c r="P47" i="40"/>
  <c r="M14" i="40" s="1"/>
  <c r="N49" i="40"/>
  <c r="H49" i="40"/>
  <c r="G16" i="40" s="1"/>
  <c r="F48" i="40"/>
  <c r="M48" i="40"/>
  <c r="V49" i="40"/>
  <c r="P49" i="40"/>
  <c r="M16" i="40" s="1"/>
  <c r="F17" i="40"/>
  <c r="AC12" i="40"/>
  <c r="R12" i="40"/>
  <c r="I17" i="40"/>
  <c r="R11" i="40"/>
  <c r="AC11" i="40"/>
  <c r="AC14" i="40"/>
  <c r="R14" i="40"/>
  <c r="AC16" i="40"/>
  <c r="R16" i="40"/>
  <c r="L17" i="40"/>
  <c r="AC13" i="40"/>
  <c r="R13" i="40"/>
  <c r="O17" i="40"/>
  <c r="AC15" i="40"/>
  <c r="R15" i="40"/>
  <c r="AC9" i="40"/>
  <c r="R9" i="40"/>
  <c r="S13" i="40"/>
  <c r="S11" i="17"/>
  <c r="AF11" i="17"/>
  <c r="R33" i="6"/>
  <c r="S11" i="40" l="1"/>
  <c r="J17" i="40"/>
  <c r="S12" i="40"/>
  <c r="G17" i="40"/>
  <c r="M17" i="40"/>
  <c r="AD15" i="40"/>
  <c r="AD17" i="40" s="1"/>
  <c r="P17" i="40"/>
  <c r="S9" i="40"/>
  <c r="S14" i="40"/>
  <c r="AC17" i="40"/>
  <c r="S16" i="40"/>
  <c r="R17" i="40"/>
  <c r="D33" i="6"/>
  <c r="H33" i="6" s="1"/>
  <c r="V33" i="6"/>
  <c r="S17" i="40" l="1"/>
  <c r="AF33" i="6"/>
  <c r="J33" i="6"/>
  <c r="S33" i="6"/>
  <c r="AE13" i="6" l="1"/>
  <c r="AE12" i="6"/>
  <c r="V32" i="6" l="1"/>
  <c r="R32" i="6"/>
  <c r="D32" i="6"/>
  <c r="V31" i="6"/>
  <c r="R31" i="6"/>
  <c r="P31" i="6"/>
  <c r="D31" i="6"/>
  <c r="V30" i="6"/>
  <c r="R30" i="6"/>
  <c r="P30" i="6"/>
  <c r="D30" i="6"/>
  <c r="V29" i="6"/>
  <c r="R29" i="6"/>
  <c r="P29" i="6"/>
  <c r="D29" i="6"/>
  <c r="V28" i="6"/>
  <c r="R28" i="6"/>
  <c r="P28" i="6"/>
  <c r="D28" i="6"/>
  <c r="V27" i="6"/>
  <c r="R27" i="6"/>
  <c r="P27" i="6"/>
  <c r="D27" i="6"/>
  <c r="V26" i="6"/>
  <c r="R26" i="6"/>
  <c r="P26" i="6"/>
  <c r="D26" i="6"/>
  <c r="V25" i="6"/>
  <c r="R25" i="6"/>
  <c r="P25" i="6"/>
  <c r="D25" i="6"/>
  <c r="V24" i="6"/>
  <c r="R24" i="6"/>
  <c r="D24" i="6"/>
  <c r="V23" i="6"/>
  <c r="R23" i="6"/>
  <c r="P23" i="6"/>
  <c r="D23" i="6"/>
  <c r="V22" i="6"/>
  <c r="R22" i="6"/>
  <c r="P22" i="6"/>
  <c r="D22" i="6"/>
  <c r="V21" i="6"/>
  <c r="R21" i="6"/>
  <c r="P21" i="6"/>
  <c r="D21" i="6"/>
  <c r="V20" i="6"/>
  <c r="R20" i="6"/>
  <c r="D20" i="6"/>
  <c r="V19" i="6"/>
  <c r="R19" i="6"/>
  <c r="P19" i="6"/>
  <c r="D19" i="6"/>
  <c r="V18" i="6"/>
  <c r="R18" i="6"/>
  <c r="P18" i="6"/>
  <c r="D18" i="6"/>
  <c r="H18" i="6" s="1"/>
  <c r="V17" i="6"/>
  <c r="R17" i="6"/>
  <c r="P17" i="6"/>
  <c r="D17" i="6"/>
  <c r="H17" i="6" s="1"/>
  <c r="V16" i="6"/>
  <c r="R16" i="6"/>
  <c r="D16" i="6"/>
  <c r="H16" i="6" s="1"/>
  <c r="V15" i="6"/>
  <c r="R15" i="6"/>
  <c r="P15" i="6"/>
  <c r="D15" i="6"/>
  <c r="H15" i="6" s="1"/>
  <c r="V14" i="6"/>
  <c r="R14" i="6"/>
  <c r="P14" i="6"/>
  <c r="D14" i="6"/>
  <c r="H14" i="6" s="1"/>
  <c r="V13" i="6"/>
  <c r="Q13" i="6"/>
  <c r="R13" i="6" s="1"/>
  <c r="L13" i="6"/>
  <c r="P13" i="6" s="1"/>
  <c r="D13" i="6"/>
  <c r="H13" i="6" s="1"/>
  <c r="AF13" i="6" s="1"/>
  <c r="V12" i="6"/>
  <c r="Q12" i="6"/>
  <c r="R12" i="6" s="1"/>
  <c r="L12" i="6"/>
  <c r="P12" i="6" s="1"/>
  <c r="D12" i="6"/>
  <c r="H12" i="6" s="1"/>
  <c r="AF12" i="6" s="1"/>
  <c r="AE11" i="6"/>
  <c r="V11" i="6"/>
  <c r="Q11" i="6"/>
  <c r="R11" i="6" s="1"/>
  <c r="P11" i="6"/>
  <c r="G11" i="6"/>
  <c r="D11" i="6"/>
  <c r="AE10" i="6"/>
  <c r="V10" i="6"/>
  <c r="Q10" i="6"/>
  <c r="R10" i="6" s="1"/>
  <c r="P10" i="6"/>
  <c r="H10" i="6"/>
  <c r="AE9" i="6"/>
  <c r="V9" i="6"/>
  <c r="Q9" i="6"/>
  <c r="R9" i="6" s="1"/>
  <c r="P9" i="6"/>
  <c r="H9" i="6"/>
  <c r="AE8" i="6"/>
  <c r="V8" i="6"/>
  <c r="Q8" i="6"/>
  <c r="R8" i="6" s="1"/>
  <c r="P8" i="6"/>
  <c r="H8" i="6"/>
  <c r="J8" i="6" s="1"/>
  <c r="Q6" i="6"/>
  <c r="E21" i="40" l="1" a="1"/>
  <c r="AF14" i="6"/>
  <c r="J14" i="6"/>
  <c r="AF18" i="6"/>
  <c r="J18" i="6"/>
  <c r="AF17" i="6"/>
  <c r="J17" i="6"/>
  <c r="AF16" i="6"/>
  <c r="J16" i="6"/>
  <c r="AF15" i="6"/>
  <c r="J15" i="6"/>
  <c r="AF9" i="6"/>
  <c r="S10" i="6"/>
  <c r="H11" i="6"/>
  <c r="J11" i="6" s="1"/>
  <c r="S9" i="6"/>
  <c r="J9" i="6"/>
  <c r="AF10" i="6"/>
  <c r="J10" i="6"/>
  <c r="S18" i="6"/>
  <c r="H19" i="6"/>
  <c r="H20" i="6"/>
  <c r="S15" i="6"/>
  <c r="S14" i="6"/>
  <c r="S12" i="6"/>
  <c r="J12" i="6"/>
  <c r="S8" i="6"/>
  <c r="S13" i="6"/>
  <c r="S17" i="6"/>
  <c r="AF8" i="6"/>
  <c r="P16" i="6"/>
  <c r="S16" i="6" s="1"/>
  <c r="P20" i="6"/>
  <c r="J13" i="6"/>
  <c r="P24" i="6"/>
  <c r="E21" i="40" l="1"/>
  <c r="L25" i="40"/>
  <c r="H12" i="40" s="1"/>
  <c r="K25" i="40"/>
  <c r="R29" i="40"/>
  <c r="N26" i="40"/>
  <c r="J23" i="40"/>
  <c r="U28" i="40"/>
  <c r="Q25" i="40"/>
  <c r="M22" i="40"/>
  <c r="K29" i="40"/>
  <c r="L21" i="40"/>
  <c r="X27" i="40"/>
  <c r="O29" i="40"/>
  <c r="G23" i="40"/>
  <c r="V27" i="40"/>
  <c r="R24" i="40"/>
  <c r="N21" i="40"/>
  <c r="T21" i="40"/>
  <c r="T26" i="40"/>
  <c r="N13" i="40" s="1"/>
  <c r="W29" i="40"/>
  <c r="S22" i="40"/>
  <c r="U27" i="40"/>
  <c r="Q24" i="40"/>
  <c r="M21" i="40"/>
  <c r="H24" i="40"/>
  <c r="E11" i="40" s="1"/>
  <c r="W24" i="40"/>
  <c r="J29" i="40"/>
  <c r="F26" i="40"/>
  <c r="V22" i="40"/>
  <c r="M28" i="40"/>
  <c r="I25" i="40"/>
  <c r="E22" i="40"/>
  <c r="B9" i="40" s="1"/>
  <c r="G24" i="40"/>
  <c r="S29" i="40"/>
  <c r="H27" i="40"/>
  <c r="E14" i="40" s="1"/>
  <c r="S28" i="40"/>
  <c r="K22" i="40"/>
  <c r="N27" i="40"/>
  <c r="J24" i="40"/>
  <c r="F21" i="40"/>
  <c r="G28" i="40"/>
  <c r="P25" i="40"/>
  <c r="K12" i="40" s="1"/>
  <c r="G29" i="40"/>
  <c r="W21" i="40"/>
  <c r="M27" i="40"/>
  <c r="I24" i="40"/>
  <c r="L23" i="40"/>
  <c r="H10" i="40" s="1"/>
  <c r="O24" i="40"/>
  <c r="V28" i="40"/>
  <c r="R25" i="40"/>
  <c r="N22" i="40"/>
  <c r="E28" i="40"/>
  <c r="B15" i="40" s="1"/>
  <c r="U24" i="40"/>
  <c r="Q21" i="40"/>
  <c r="X25" i="40"/>
  <c r="W28" i="40"/>
  <c r="L26" i="40"/>
  <c r="H13" i="40" s="1"/>
  <c r="O27" i="40"/>
  <c r="G21" i="40"/>
  <c r="F27" i="40"/>
  <c r="V23" i="40"/>
  <c r="X28" i="40"/>
  <c r="S25" i="40"/>
  <c r="T24" i="40"/>
  <c r="N11" i="40" s="1"/>
  <c r="K28" i="40"/>
  <c r="O21" i="40"/>
  <c r="E27" i="40"/>
  <c r="B14" i="40" s="1"/>
  <c r="U23" i="40"/>
  <c r="H22" i="40"/>
  <c r="E9" i="40" s="1"/>
  <c r="S23" i="40"/>
  <c r="N28" i="40"/>
  <c r="J25" i="40"/>
  <c r="F22" i="40"/>
  <c r="Q27" i="40"/>
  <c r="M24" i="40"/>
  <c r="I21" i="40"/>
  <c r="W27" i="40"/>
  <c r="S27" i="40"/>
  <c r="H25" i="40"/>
  <c r="E12" i="40" s="1"/>
  <c r="S26" i="40"/>
  <c r="V29" i="40"/>
  <c r="R26" i="40"/>
  <c r="N23" i="40"/>
  <c r="T27" i="40"/>
  <c r="N14" i="40" s="1"/>
  <c r="G22" i="40"/>
  <c r="X23" i="40"/>
  <c r="Q10" i="40" s="1"/>
  <c r="G27" i="40"/>
  <c r="U29" i="40"/>
  <c r="Q26" i="40"/>
  <c r="M23" i="40"/>
  <c r="O22" i="40"/>
  <c r="R27" i="40"/>
  <c r="J21" i="40"/>
  <c r="Q23" i="40"/>
  <c r="H28" i="40"/>
  <c r="E15" i="40" s="1"/>
  <c r="P23" i="40"/>
  <c r="K10" i="40" s="1"/>
  <c r="F29" i="40"/>
  <c r="V25" i="40"/>
  <c r="T25" i="40"/>
  <c r="N12" i="40" s="1"/>
  <c r="L22" i="40"/>
  <c r="H9" i="40" s="1"/>
  <c r="E29" i="40"/>
  <c r="B16" i="40" s="1"/>
  <c r="Q22" i="40"/>
  <c r="W26" i="40"/>
  <c r="J27" i="40"/>
  <c r="Q29" i="40"/>
  <c r="I23" i="40"/>
  <c r="H26" i="40"/>
  <c r="E13" i="40" s="1"/>
  <c r="T22" i="40"/>
  <c r="N9" i="40" s="1"/>
  <c r="R28" i="40"/>
  <c r="J22" i="40"/>
  <c r="L28" i="40"/>
  <c r="H15" i="40" s="1"/>
  <c r="K24" i="40"/>
  <c r="M25" i="40"/>
  <c r="X26" i="40"/>
  <c r="K21" i="40"/>
  <c r="V26" i="40"/>
  <c r="R23" i="40"/>
  <c r="E26" i="40"/>
  <c r="B13" i="40" s="1"/>
  <c r="U22" i="40"/>
  <c r="T23" i="40"/>
  <c r="N10" i="40" s="1"/>
  <c r="T28" i="40"/>
  <c r="N15" i="40" s="1"/>
  <c r="W23" i="40"/>
  <c r="F25" i="40"/>
  <c r="X22" i="40"/>
  <c r="P21" i="40"/>
  <c r="I28" i="40"/>
  <c r="U21" i="40"/>
  <c r="O28" i="40"/>
  <c r="K23" i="40"/>
  <c r="F28" i="40"/>
  <c r="V24" i="40"/>
  <c r="R21" i="40"/>
  <c r="I27" i="40"/>
  <c r="E24" i="40"/>
  <c r="B11" i="40" s="1"/>
  <c r="L29" i="40"/>
  <c r="H16" i="40" s="1"/>
  <c r="AD3" i="40" s="1"/>
  <c r="T29" i="40"/>
  <c r="N16" i="40" s="1"/>
  <c r="AZ3" i="40" s="1"/>
  <c r="O26" i="40"/>
  <c r="L24" i="40"/>
  <c r="H11" i="40" s="1"/>
  <c r="W25" i="40"/>
  <c r="N29" i="40"/>
  <c r="J26" i="40"/>
  <c r="F23" i="40"/>
  <c r="P26" i="40"/>
  <c r="K13" i="40" s="1"/>
  <c r="X29" i="40"/>
  <c r="H23" i="40"/>
  <c r="E10" i="40" s="1"/>
  <c r="K26" i="40"/>
  <c r="M29" i="40"/>
  <c r="I26" i="40"/>
  <c r="E23" i="40"/>
  <c r="B10" i="40" s="1"/>
  <c r="K27" i="40"/>
  <c r="N24" i="40"/>
  <c r="U26" i="40"/>
  <c r="L27" i="40"/>
  <c r="H14" i="40" s="1"/>
  <c r="W22" i="40"/>
  <c r="O25" i="40"/>
  <c r="R22" i="40"/>
  <c r="H29" i="40"/>
  <c r="E16" i="40" s="1"/>
  <c r="S3" i="40" s="1"/>
  <c r="G25" i="40"/>
  <c r="U25" i="40"/>
  <c r="P28" i="40"/>
  <c r="K15" i="40" s="1"/>
  <c r="S21" i="40"/>
  <c r="F24" i="40"/>
  <c r="M26" i="40"/>
  <c r="X24" i="40"/>
  <c r="P29" i="40"/>
  <c r="K16" i="40" s="1"/>
  <c r="AO3" i="40" s="1"/>
  <c r="S24" i="40"/>
  <c r="N25" i="40"/>
  <c r="P24" i="40"/>
  <c r="K11" i="40" s="1"/>
  <c r="X21" i="40"/>
  <c r="Q28" i="40"/>
  <c r="I22" i="40"/>
  <c r="G26" i="40"/>
  <c r="I29" i="40"/>
  <c r="P22" i="40"/>
  <c r="K9" i="40" s="1"/>
  <c r="H21" i="40"/>
  <c r="J28" i="40"/>
  <c r="V21" i="40"/>
  <c r="P27" i="40"/>
  <c r="K14" i="40" s="1"/>
  <c r="O23" i="40"/>
  <c r="E25" i="40"/>
  <c r="B12" i="40" s="1"/>
  <c r="AF20" i="6"/>
  <c r="J20" i="6"/>
  <c r="J19" i="6"/>
  <c r="AF19" i="6"/>
  <c r="S11" i="6"/>
  <c r="AF11" i="6"/>
  <c r="S20" i="6"/>
  <c r="S19" i="6"/>
  <c r="H21" i="6"/>
  <c r="Q16" i="40" l="1"/>
  <c r="BK3" i="40" s="1"/>
  <c r="AB16" i="40"/>
  <c r="BV3" i="40" s="1"/>
  <c r="AB12" i="40"/>
  <c r="Q12" i="40"/>
  <c r="AB15" i="40"/>
  <c r="Q15" i="40"/>
  <c r="K17" i="40"/>
  <c r="AB11" i="40"/>
  <c r="Q11" i="40"/>
  <c r="Q9" i="40"/>
  <c r="AB9" i="40"/>
  <c r="Q14" i="40"/>
  <c r="AB14" i="40"/>
  <c r="H17" i="40"/>
  <c r="N17" i="40"/>
  <c r="E17" i="40"/>
  <c r="AB13" i="40"/>
  <c r="Q13" i="40"/>
  <c r="AB7" i="40"/>
  <c r="D17" i="40"/>
  <c r="C17" i="40"/>
  <c r="AF21" i="6"/>
  <c r="J21" i="6"/>
  <c r="H22" i="6"/>
  <c r="S21" i="6"/>
  <c r="AB17" i="40" l="1"/>
  <c r="Q17" i="40"/>
  <c r="B17" i="40"/>
  <c r="J22" i="6"/>
  <c r="AF22" i="6"/>
  <c r="S22" i="6"/>
  <c r="H23" i="6"/>
  <c r="AF23" i="6" l="1"/>
  <c r="J23" i="6"/>
  <c r="S23" i="6"/>
  <c r="H24" i="6"/>
  <c r="AF24" i="6" l="1"/>
  <c r="J24" i="6"/>
  <c r="S24" i="6"/>
  <c r="H25" i="6"/>
  <c r="J25" i="6" l="1"/>
  <c r="AF25" i="6"/>
  <c r="S25" i="6"/>
  <c r="H26" i="6"/>
  <c r="AF26" i="6" l="1"/>
  <c r="J26" i="6"/>
  <c r="S26" i="6"/>
  <c r="H27" i="6"/>
  <c r="J27" i="6" l="1"/>
  <c r="AF27" i="6"/>
  <c r="S27" i="6"/>
  <c r="H28" i="6"/>
  <c r="J28" i="6" l="1"/>
  <c r="AF28" i="6"/>
  <c r="H29" i="6"/>
  <c r="S28" i="6"/>
  <c r="J29" i="6" l="1"/>
  <c r="AF29" i="6"/>
  <c r="H32" i="6"/>
  <c r="H31" i="6"/>
  <c r="H30" i="6"/>
  <c r="S29" i="6"/>
  <c r="AF30" i="6" l="1"/>
  <c r="J30" i="6"/>
  <c r="J31" i="6"/>
  <c r="AF31" i="6"/>
  <c r="J32" i="6"/>
  <c r="AF32" i="6"/>
  <c r="S32" i="6"/>
  <c r="S30" i="6"/>
  <c r="S31" i="6"/>
</calcChain>
</file>

<file path=xl/comments1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10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11.xml><?xml version="1.0" encoding="utf-8"?>
<comments xmlns="http://schemas.openxmlformats.org/spreadsheetml/2006/main">
  <authors>
    <author>Puget Sound Energy</author>
  </authors>
  <commentList>
    <comment ref="J25" authorId="0" shapeId="0">
      <text>
        <r>
          <rPr>
            <b/>
            <sz val="9"/>
            <color indexed="81"/>
            <rFont val="Tahoma"/>
            <family val="2"/>
          </rPr>
          <t>Puget Sound Energy:</t>
        </r>
        <r>
          <rPr>
            <sz val="9"/>
            <color indexed="81"/>
            <rFont val="Tahoma"/>
            <family val="2"/>
          </rPr>
          <t xml:space="preserve">
Partial SWARR and Ply LNG.Sendout opimized.</t>
        </r>
      </text>
    </comment>
    <comment ref="J50" authorId="0" shapeId="0">
      <text>
        <r>
          <rPr>
            <b/>
            <sz val="9"/>
            <color indexed="81"/>
            <rFont val="Tahoma"/>
            <family val="2"/>
          </rPr>
          <t>Puget Sound Energy:</t>
        </r>
        <r>
          <rPr>
            <sz val="9"/>
            <color indexed="81"/>
            <rFont val="Tahoma"/>
            <family val="2"/>
          </rPr>
          <t xml:space="preserve">
SWARR and PLY LNG are fixed at 30 in 2037 and 15 in 2023 respectively.</t>
        </r>
      </text>
    </comment>
  </commentList>
</comments>
</file>

<file path=xl/comments2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3.xml><?xml version="1.0" encoding="utf-8"?>
<comments xmlns="http://schemas.openxmlformats.org/spreadsheetml/2006/main">
  <authors>
    <author>Singh, Gurvinder</author>
    <author>Bill Donahue, PSE</author>
  </authors>
  <commentList>
    <comment ref="AJ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4.xml><?xml version="1.0" encoding="utf-8"?>
<comments xmlns="http://schemas.openxmlformats.org/spreadsheetml/2006/main">
  <authors>
    <author>Singh, Gurvinder</author>
    <author>Bill Donahue, PSE</author>
    <author>Puget Sound Energy</author>
  </authors>
  <commentList>
    <comment ref="AH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  <comment ref="AC29" authorId="2" shapeId="0">
      <text>
        <r>
          <rPr>
            <b/>
            <sz val="12"/>
            <color indexed="81"/>
            <rFont val="Tahoma"/>
            <family val="2"/>
          </rPr>
          <t>Puget Sound Energy:</t>
        </r>
        <r>
          <rPr>
            <sz val="12"/>
            <color indexed="81"/>
            <rFont val="Tahoma"/>
            <family val="2"/>
          </rPr>
          <t xml:space="preserve">
Sendout only needed:
3,5,5,15,16 starting in 2037.  But since we can only build the plant to full capacity, sendout was rerun with Swarr fixed at 30 starting in 2037.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Singh, Gurvinder</author>
    <author>Bill Donahue, PSE</author>
  </authors>
  <commentList>
    <comment ref="AH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6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7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8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comments9.xml><?xml version="1.0" encoding="utf-8"?>
<comments xmlns="http://schemas.openxmlformats.org/spreadsheetml/2006/main">
  <authors>
    <author>Singh, Gurvinder</author>
    <author>Bill Donahue, PSE</author>
  </authors>
  <commentList>
    <comment ref="AI6" authorId="0" shapeId="0">
      <text>
        <r>
          <rPr>
            <b/>
            <sz val="9"/>
            <color indexed="81"/>
            <rFont val="Tahoma"/>
            <family val="2"/>
          </rPr>
          <t>Singh, Gurvinder:</t>
        </r>
        <r>
          <rPr>
            <sz val="9"/>
            <color indexed="81"/>
            <rFont val="Tahoma"/>
            <family val="2"/>
          </rPr>
          <t xml:space="preserve">
Based on F2018</t>
        </r>
      </text>
    </comment>
    <comment ref="D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10,000 Dth/d transferred to Puget LNG to serve TOTE, as originally planned</t>
        </r>
      </text>
    </comment>
    <comment ref="G11" authorId="1" shapeId="0">
      <text>
        <r>
          <rPr>
            <b/>
            <sz val="9"/>
            <color indexed="81"/>
            <rFont val="Tahoma"/>
            <family val="2"/>
          </rPr>
          <t>Bill Donahue, PSE:</t>
        </r>
        <r>
          <rPr>
            <sz val="9"/>
            <color indexed="81"/>
            <rFont val="Tahoma"/>
            <family val="2"/>
          </rPr>
          <t xml:space="preserve">
50,000 capacity of Tacoma distribution system (before upgrade) plus 9,500 diversion of TOTE supply.  Future adds= 9,500 added diversion and 16,000 for distribution expansion.</t>
        </r>
      </text>
    </comment>
  </commentList>
</comments>
</file>

<file path=xl/sharedStrings.xml><?xml version="1.0" encoding="utf-8"?>
<sst xmlns="http://schemas.openxmlformats.org/spreadsheetml/2006/main" count="2769" uniqueCount="201">
  <si>
    <t>These columns are linked to graphs.</t>
  </si>
  <si>
    <t>LOAD RESOURCE BALANCE DRAFT:  08/23/2020</t>
  </si>
  <si>
    <t>BASED ON F2020 Approved IRP Load Forecast</t>
  </si>
  <si>
    <t>Peak Day demand is based on Design-Peak Planning Standard of 13 degree average temperature.  December peak.</t>
  </si>
  <si>
    <t>EXISTING LOADS &amp; RESOURCES - (FOR IRP)</t>
  </si>
  <si>
    <t>BASE - SCENARIO AS OPTIMIZED</t>
  </si>
  <si>
    <t>Winter Period</t>
  </si>
  <si>
    <t>NWP Firm Transportation</t>
  </si>
  <si>
    <t>Jackson Prairie &amp; Redelivery Service</t>
  </si>
  <si>
    <t>Gig Harbor LNG (2.5 Mdth/day)</t>
  </si>
  <si>
    <t>Tacoma LNG</t>
  </si>
  <si>
    <t>Existing Supply Side Resources</t>
  </si>
  <si>
    <t>IRP Resource Surplus/ (Need)</t>
  </si>
  <si>
    <t>DSR in 2019 IRP</t>
  </si>
  <si>
    <t>Swarr</t>
  </si>
  <si>
    <t>Tacoma LNG Distribution Upgrade</t>
  </si>
  <si>
    <t>ShortTerm Firm Capacity from Market</t>
  </si>
  <si>
    <t>Total DSR &amp; Near-term Resource Alternatives</t>
  </si>
  <si>
    <t>Resource Surplus/(Need) With DSR &amp; Near-Term Alternatives</t>
  </si>
  <si>
    <t>NWP Additions + Westcoast</t>
  </si>
  <si>
    <t>Short Term NWP</t>
  </si>
  <si>
    <t>KORP</t>
  </si>
  <si>
    <t>Mist Storage</t>
  </si>
  <si>
    <t>Ply LNG</t>
  </si>
  <si>
    <t>LNG Tacoma Distr</t>
  </si>
  <si>
    <t>Total New Resources</t>
  </si>
  <si>
    <t>Sendout Resource Surplus/(Need)</t>
  </si>
  <si>
    <t>delta load forecast (F2018 minus F2016)</t>
  </si>
  <si>
    <t>Resource Need</t>
  </si>
  <si>
    <t>Option</t>
  </si>
  <si>
    <t>#1</t>
  </si>
  <si>
    <t>#1a</t>
  </si>
  <si>
    <t>#2</t>
  </si>
  <si>
    <t>#3</t>
  </si>
  <si>
    <t>#4</t>
  </si>
  <si>
    <t>#5</t>
  </si>
  <si>
    <t>#6</t>
  </si>
  <si>
    <t>#7</t>
  </si>
  <si>
    <t>Date</t>
  </si>
  <si>
    <t>Sum</t>
  </si>
  <si>
    <t>2015-16</t>
  </si>
  <si>
    <t>Grand Max</t>
  </si>
  <si>
    <t>2016-17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</si>
  <si>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</si>
  <si>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</si>
  <si>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</si>
  <si>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</si>
  <si>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</si>
  <si>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</si>
  <si>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</si>
  <si>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</si>
  <si>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</si>
  <si>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</si>
  <si>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</si>
  <si>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</si>
  <si>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</si>
  <si>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</si>
  <si>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</si>
  <si>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</si>
  <si>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</si>
  <si>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</si>
  <si>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</si>
  <si>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</si>
  <si>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</si>
  <si>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</si>
  <si>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</si>
  <si>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Notes:</t>
  </si>
  <si>
    <t>1. Annual peak loads are in December of each year</t>
  </si>
  <si>
    <t>2. Existing resources, assumed to be extended.  50/d of JP from Gas Book to Power Book has 50/d recallable.</t>
  </si>
  <si>
    <t>4.  Tacoma LNG available winter 2021/22 at 69/day.</t>
  </si>
  <si>
    <t>5. PSE will supply gas and capacity to Tacoma LNG for Tote and PSE System (not an incremental peak load to gas book).</t>
  </si>
  <si>
    <t>Resource Need - NO LNG</t>
  </si>
  <si>
    <r>
      <t xml:space="preserve">2021 IRP BASE Demand </t>
    </r>
    <r>
      <rPr>
        <b/>
        <u/>
        <sz val="10"/>
        <rFont val="Arial"/>
        <family val="2"/>
      </rPr>
      <t>Before</t>
    </r>
    <r>
      <rPr>
        <b/>
        <sz val="10"/>
        <rFont val="Arial"/>
        <family val="2"/>
      </rPr>
      <t xml:space="preserve"> DSR</t>
    </r>
  </si>
  <si>
    <t>2019 IRP BASE Demand before DSR</t>
  </si>
  <si>
    <t>Year</t>
  </si>
  <si>
    <t>Sendout</t>
  </si>
  <si>
    <t>LFG</t>
  </si>
  <si>
    <t>LRB</t>
  </si>
  <si>
    <t>Total System Cost w/ Unserved Cost</t>
  </si>
  <si>
    <t>Total Cost w/o DSM</t>
  </si>
  <si>
    <t>Total System Cost</t>
  </si>
  <si>
    <t>2041-42</t>
  </si>
  <si>
    <t>-</t>
  </si>
  <si>
    <t>DSR</t>
  </si>
  <si>
    <t>3.  Demand Forecast = 2021 IRP Load Forecast (F2020 based).</t>
  </si>
  <si>
    <t>NWP from AECO</t>
  </si>
  <si>
    <t>DSR (Incl Standard Bundle) in MDth/day</t>
  </si>
  <si>
    <r>
      <t xml:space="preserve">2021 IRP HIGH Demand </t>
    </r>
    <r>
      <rPr>
        <b/>
        <u/>
        <sz val="10"/>
        <rFont val="Arial"/>
        <family val="2"/>
      </rPr>
      <t>Before</t>
    </r>
    <r>
      <rPr>
        <b/>
        <sz val="10"/>
        <rFont val="Arial"/>
        <family val="2"/>
      </rPr>
      <t xml:space="preserve"> DSR</t>
    </r>
  </si>
  <si>
    <r>
      <t xml:space="preserve">2021 IRP HIGH Demand </t>
    </r>
    <r>
      <rPr>
        <b/>
        <u/>
        <sz val="10"/>
        <rFont val="Arial"/>
        <family val="2"/>
      </rPr>
      <t>After</t>
    </r>
    <r>
      <rPr>
        <b/>
        <sz val="10"/>
        <rFont val="Arial"/>
        <family val="2"/>
      </rPr>
      <t xml:space="preserve"> DSR</t>
    </r>
  </si>
  <si>
    <t>DSR in 2021 IRP</t>
  </si>
  <si>
    <t>HIGH - SCENARIO AS OPTIMIZED</t>
  </si>
  <si>
    <r>
      <t xml:space="preserve">2021 IRP LOW Demand </t>
    </r>
    <r>
      <rPr>
        <b/>
        <u/>
        <sz val="10"/>
        <rFont val="Arial"/>
        <family val="2"/>
      </rPr>
      <t>Before</t>
    </r>
    <r>
      <rPr>
        <b/>
        <sz val="10"/>
        <rFont val="Arial"/>
        <family val="2"/>
      </rPr>
      <t xml:space="preserve"> DSR</t>
    </r>
  </si>
  <si>
    <r>
      <t xml:space="preserve">2021 IRP LOW Demand </t>
    </r>
    <r>
      <rPr>
        <b/>
        <u/>
        <sz val="10"/>
        <rFont val="Arial"/>
        <family val="2"/>
      </rPr>
      <t>After</t>
    </r>
    <r>
      <rPr>
        <b/>
        <sz val="10"/>
        <rFont val="Arial"/>
        <family val="2"/>
      </rPr>
      <t xml:space="preserve"> DSR</t>
    </r>
  </si>
  <si>
    <t>LOW - SCENARIO AS OPTIMIZED</t>
  </si>
  <si>
    <r>
      <t xml:space="preserve">2021 IRP Mid Demand </t>
    </r>
    <r>
      <rPr>
        <b/>
        <u/>
        <sz val="10"/>
        <rFont val="Arial"/>
        <family val="2"/>
      </rPr>
      <t>Before</t>
    </r>
    <r>
      <rPr>
        <b/>
        <sz val="10"/>
        <rFont val="Arial"/>
        <family val="2"/>
      </rPr>
      <t xml:space="preserve"> DSR</t>
    </r>
  </si>
  <si>
    <r>
      <t xml:space="preserve">2021 IRP Mid Demand </t>
    </r>
    <r>
      <rPr>
        <b/>
        <u/>
        <sz val="10"/>
        <rFont val="Arial"/>
        <family val="2"/>
      </rPr>
      <t>After</t>
    </r>
    <r>
      <rPr>
        <b/>
        <sz val="10"/>
        <rFont val="Arial"/>
        <family val="2"/>
      </rPr>
      <t xml:space="preserve"> DSR</t>
    </r>
  </si>
  <si>
    <t>$/Dth</t>
  </si>
  <si>
    <t>billion</t>
  </si>
  <si>
    <t>Served Demand by Area/Class</t>
  </si>
  <si>
    <t>Unserved Demand by Area/Class</t>
  </si>
  <si>
    <t>Scenario</t>
  </si>
  <si>
    <t>DSR in MDth/day</t>
  </si>
  <si>
    <t>Low</t>
  </si>
  <si>
    <t>Sensitivity</t>
  </si>
  <si>
    <t>Mid with AR5</t>
  </si>
  <si>
    <t>Mid with SDR</t>
  </si>
  <si>
    <t>Mid with 6 Year Ramp</t>
  </si>
  <si>
    <t>Portfolio NPV, $ billion</t>
  </si>
  <si>
    <t>Objective Function Value:  -9608934924.217136</t>
  </si>
  <si>
    <t>#1368</t>
  </si>
  <si>
    <t>Objective Function Value:  -11628820001.574104</t>
  </si>
  <si>
    <t>#1369</t>
  </si>
  <si>
    <t>delta from Mid</t>
  </si>
  <si>
    <t>Objective Function Value:  -11628822618.322269</t>
  </si>
  <si>
    <t>Value of DSR</t>
  </si>
  <si>
    <t>Objective Function Value:  -9608526147.529295</t>
  </si>
  <si>
    <t>Mid No DSR</t>
  </si>
  <si>
    <t>Mid with DSR</t>
  </si>
  <si>
    <t>Mid No Carbon</t>
  </si>
  <si>
    <t>Objective Function Value:  -9615965267.847595</t>
  </si>
  <si>
    <t>Low No DSR</t>
  </si>
  <si>
    <t>#1377</t>
  </si>
  <si>
    <t>Low No Carbon</t>
  </si>
  <si>
    <r>
      <t xml:space="preserve">2021 IRP LOW Demand  (No Carbon) </t>
    </r>
    <r>
      <rPr>
        <b/>
        <u/>
        <sz val="10"/>
        <rFont val="Arial"/>
        <family val="2"/>
      </rPr>
      <t>After</t>
    </r>
    <r>
      <rPr>
        <b/>
        <sz val="10"/>
        <rFont val="Arial"/>
        <family val="2"/>
      </rPr>
      <t xml:space="preserve"> DSR</t>
    </r>
  </si>
  <si>
    <t>Objective Function Value:  -9608850499.292505</t>
  </si>
  <si>
    <t>#1370</t>
  </si>
  <si>
    <t>Billion</t>
  </si>
  <si>
    <t>Delta from Mid</t>
  </si>
  <si>
    <t>Objective Function Value:  -9608966343.197094</t>
  </si>
  <si>
    <t>#1371</t>
  </si>
  <si>
    <t>#1372</t>
  </si>
  <si>
    <t>High</t>
  </si>
  <si>
    <t>Objective Function Value:  -9608923876.395342</t>
  </si>
  <si>
    <t xml:space="preserve">2021 IRP Mid with SDR </t>
  </si>
  <si>
    <t>2021 IRP Mid w 6 Year Ramp</t>
  </si>
  <si>
    <t>2021 IRP Mid with AR5</t>
  </si>
  <si>
    <r>
      <t xml:space="preserve">2021 IRP LOW Demand </t>
    </r>
    <r>
      <rPr>
        <b/>
        <u/>
        <sz val="10"/>
        <rFont val="Arial"/>
        <family val="2"/>
      </rPr>
      <t xml:space="preserve">No </t>
    </r>
    <r>
      <rPr>
        <b/>
        <sz val="10"/>
        <rFont val="Arial"/>
        <family val="2"/>
      </rPr>
      <t>DSR</t>
    </r>
  </si>
  <si>
    <t>Social Discount Rate</t>
  </si>
  <si>
    <t>2022-2025</t>
  </si>
  <si>
    <t>2026-2030</t>
  </si>
  <si>
    <t>2031-2041</t>
  </si>
  <si>
    <t>Resource Type</t>
  </si>
  <si>
    <t>Plymouth LNG</t>
  </si>
  <si>
    <t>NWP + Westcoast</t>
  </si>
  <si>
    <t>Mid</t>
  </si>
  <si>
    <t>6 year ramp</t>
  </si>
  <si>
    <t xml:space="preserve">AR5 </t>
  </si>
  <si>
    <t>Objective Function Value:  -7607016360.069260</t>
  </si>
  <si>
    <t>Objective Function Value:  -7606658854.844871</t>
  </si>
  <si>
    <t>Objective Function Value:  -7612488024.022051</t>
  </si>
  <si>
    <t xml:space="preserve">Check Total </t>
  </si>
  <si>
    <t>BASE</t>
  </si>
  <si>
    <t>2014-15</t>
  </si>
  <si>
    <t>LOW</t>
  </si>
  <si>
    <t>HIGH</t>
  </si>
  <si>
    <r>
      <t xml:space="preserve">2021 IRP Mid No Carbon Demand </t>
    </r>
    <r>
      <rPr>
        <b/>
        <u/>
        <sz val="10"/>
        <rFont val="Arial"/>
        <family val="2"/>
      </rPr>
      <t>After</t>
    </r>
    <r>
      <rPr>
        <b/>
        <sz val="10"/>
        <rFont val="Arial"/>
        <family val="2"/>
      </rPr>
      <t xml:space="preserve"> DSR</t>
    </r>
  </si>
  <si>
    <t>2025/26</t>
  </si>
  <si>
    <t>2030/31</t>
  </si>
  <si>
    <t>2041/42</t>
  </si>
  <si>
    <t>Total in MDth/day</t>
  </si>
  <si>
    <t>Resource Alternative</t>
  </si>
  <si>
    <t>energy therms/yr</t>
  </si>
  <si>
    <t>Energy Therms/yr</t>
  </si>
  <si>
    <t>Objective Function Value:  -8662275406.596628</t>
  </si>
  <si>
    <t>#1378</t>
  </si>
  <si>
    <t>Low w DSR</t>
  </si>
  <si>
    <t>High w DSR</t>
  </si>
  <si>
    <t>Load Temp Sensitivity w DSR</t>
  </si>
  <si>
    <t>SENDOUT RESULTS</t>
  </si>
  <si>
    <t>This worksheet contains the 2021 IRP SENDOUT modeling results.</t>
  </si>
  <si>
    <t>Summary Tables</t>
  </si>
  <si>
    <t>SENDOUT Outputs</t>
  </si>
  <si>
    <t>Charts</t>
  </si>
  <si>
    <t>These summary tables contain an overview of cost and build information across the gas system sensitivities.</t>
  </si>
  <si>
    <t>These tables contain the SENDOUT outputs of the gas system sensitivities.</t>
  </si>
  <si>
    <t>These charts contain visualizations of the gas system sensitivity results.</t>
  </si>
  <si>
    <t>Electric Portfolio</t>
  </si>
  <si>
    <t>Mid Scenario</t>
  </si>
  <si>
    <t>Revenue Requirement</t>
  </si>
  <si>
    <t>SCGHG Costs</t>
  </si>
  <si>
    <t>Sensitivity Q</t>
  </si>
  <si>
    <t>Emissions with market</t>
  </si>
  <si>
    <t>Gas Portfolio</t>
  </si>
  <si>
    <t>NPV 20-YR</t>
  </si>
  <si>
    <t>NPV 24-Yr</t>
  </si>
  <si>
    <t>Change (Q  - Mid)</t>
  </si>
  <si>
    <t>(Metric Tons)</t>
  </si>
  <si>
    <t>Combined Portfolio</t>
  </si>
  <si>
    <t>Total System Costs</t>
  </si>
  <si>
    <t>Emissions (Metric Tons)</t>
  </si>
  <si>
    <t>Chart Data</t>
  </si>
  <si>
    <t>Mid Portolio</t>
  </si>
  <si>
    <t>MID AND GAS COMBINED COSTS</t>
  </si>
  <si>
    <t>MID AND GAS COMBINED EMISSIONS</t>
  </si>
  <si>
    <t>G2E Data</t>
  </si>
  <si>
    <t>These tabs provide charts and data for the gas to electric conversion sensitivity.</t>
  </si>
  <si>
    <t>This sensitivity was performed as a combined sensitivity between the gas and electric portfolios.</t>
  </si>
  <si>
    <t>Total emissions and portfolio costs are included from both the gas and electric systems.</t>
  </si>
  <si>
    <t>Senstivity D - Gas to Electric</t>
  </si>
  <si>
    <t>Sensitivity D</t>
  </si>
  <si>
    <t>Change (D - Mid)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</si>
</sst>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"/>
    <numFmt numFmtId="166" formatCode="#,##0.0_);\(#,##0.0\)"/>
    <numFmt numFmtId="167" formatCode="0.0"/>
    <numFmt numFmtId="168" formatCode="_(* #,##0.0_);_(* \(#,##0.0\);_(* &quot;-&quot;??_);_(@_)"/>
    <numFmt numFmtId="169" formatCode="&quot;$&quot;#,##0"/>
    <numFmt numFmtId="170" formatCode="&quot;$&quot;#,##0.00"/>
    <numFmt numFmtId="171" formatCode="&quot;$&quot;#,##0.000_);[Red]\(&quot;$&quot;#,##0.000\)"/>
    <numFmt numFmtId="172" formatCode="_(&quot;$&quot;* #,##0_);_(&quot;$&quot;* \(#,##0\);_(&quot;$&quot;* &quot;-&quot;??_);_(@_)"/>
    <numFmt numFmtId="173" formatCode="&quot;$&quot;#,##0.0000_);[Red]\(&quot;$&quot;#,##0.0000\)"/>
    <numFmt numFmtId="174" formatCode="0.0000000"/>
    <numFmt numFmtId="175" formatCode="0.0000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b/>
      <sz val="10"/>
      <color rgb="FF3333FF"/>
      <name val="Arial"/>
      <family val="2"/>
    </font>
    <font>
      <sz val="11"/>
      <color rgb="FF3333FF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 tint="0.34998626667073579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.5"/>
      <color theme="1"/>
      <name val="Courier New"/>
      <family val="3"/>
    </font>
    <font>
      <b/>
      <sz val="10.5"/>
      <color theme="1"/>
      <name val="Courier New"/>
      <family val="3"/>
    </font>
    <font>
      <b/>
      <i/>
      <sz val="10.5"/>
      <color theme="1"/>
      <name val="Courier New"/>
      <family val="3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i/>
      <sz val="10.5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Microsoft Tai Le"/>
      <family val="2"/>
    </font>
    <font>
      <i/>
      <sz val="16"/>
      <color theme="1"/>
      <name val="Microsoft Tai Le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5" fontId="29" fillId="0" borderId="0">
      <alignment horizontal="left" wrapText="1"/>
    </xf>
  </cellStyleXfs>
  <cellXfs count="292">
    <xf numFmtId="0" fontId="0" fillId="0" borderId="0" xfId="0"/>
    <xf numFmtId="0" fontId="4" fillId="2" borderId="1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centerContinuous"/>
    </xf>
    <xf numFmtId="0" fontId="3" fillId="3" borderId="0" xfId="0" applyFont="1" applyFill="1"/>
    <xf numFmtId="0" fontId="0" fillId="3" borderId="0" xfId="0" applyFill="1"/>
    <xf numFmtId="164" fontId="0" fillId="3" borderId="0" xfId="1" applyNumberFormat="1" applyFont="1" applyFill="1"/>
    <xf numFmtId="0" fontId="5" fillId="0" borderId="0" xfId="0" applyFont="1" applyFill="1"/>
    <xf numFmtId="0" fontId="0" fillId="0" borderId="0" xfId="0" applyFill="1"/>
    <xf numFmtId="0" fontId="6" fillId="0" borderId="0" xfId="0" applyFont="1" applyAlignment="1">
      <alignment horizontal="center"/>
    </xf>
    <xf numFmtId="0" fontId="0" fillId="4" borderId="0" xfId="0" applyFill="1"/>
    <xf numFmtId="0" fontId="0" fillId="0" borderId="0" xfId="0" applyFill="1" applyAlignment="1">
      <alignment horizontal="centerContinuous"/>
    </xf>
    <xf numFmtId="0" fontId="0" fillId="0" borderId="0" xfId="0" applyAlignment="1">
      <alignment horizontal="centerContinuous"/>
    </xf>
    <xf numFmtId="0" fontId="7" fillId="5" borderId="0" xfId="0" applyFont="1" applyFill="1" applyAlignment="1">
      <alignment horizontal="left"/>
    </xf>
    <xf numFmtId="0" fontId="7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8" fillId="0" borderId="0" xfId="0" applyNumberFormat="1" applyFont="1" applyFill="1" applyBorder="1" applyAlignment="1">
      <alignment horizontal="center" wrapText="1"/>
    </xf>
    <xf numFmtId="0" fontId="8" fillId="4" borderId="0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4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8" fillId="0" borderId="4" xfId="0" quotePrefix="1" applyNumberFormat="1" applyFont="1" applyFill="1" applyBorder="1" applyAlignment="1">
      <alignment horizontal="center" wrapText="1"/>
    </xf>
    <xf numFmtId="0" fontId="8" fillId="4" borderId="4" xfId="0" applyNumberFormat="1" applyFont="1" applyFill="1" applyBorder="1" applyAlignment="1">
      <alignment horizontal="center" wrapText="1"/>
    </xf>
    <xf numFmtId="0" fontId="8" fillId="0" borderId="4" xfId="0" quotePrefix="1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4" borderId="4" xfId="0" quotePrefix="1" applyNumberFormat="1" applyFont="1" applyFill="1" applyBorder="1" applyAlignment="1">
      <alignment horizontal="center" vertical="center" wrapText="1"/>
    </xf>
    <xf numFmtId="0" fontId="0" fillId="0" borderId="4" xfId="0" applyBorder="1"/>
    <xf numFmtId="0" fontId="8" fillId="0" borderId="0" xfId="0" applyNumberFormat="1" applyFont="1" applyFill="1" applyBorder="1" applyAlignment="1">
      <alignment horizontal="center"/>
    </xf>
    <xf numFmtId="0" fontId="8" fillId="4" borderId="0" xfId="0" applyNumberFormat="1" applyFont="1" applyFill="1" applyBorder="1" applyAlignment="1">
      <alignment horizontal="center"/>
    </xf>
    <xf numFmtId="165" fontId="0" fillId="6" borderId="0" xfId="0" applyNumberFormat="1" applyFill="1" applyBorder="1" applyAlignment="1">
      <alignment horizontal="center"/>
    </xf>
    <xf numFmtId="0" fontId="0" fillId="6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37" fontId="0" fillId="0" borderId="0" xfId="0" applyNumberForma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66" fontId="0" fillId="6" borderId="0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14" fontId="0" fillId="0" borderId="0" xfId="0" applyNumberFormat="1"/>
    <xf numFmtId="1" fontId="0" fillId="7" borderId="0" xfId="0" applyNumberFormat="1" applyFill="1" applyAlignment="1">
      <alignment horizontal="center"/>
    </xf>
    <xf numFmtId="3" fontId="0" fillId="7" borderId="0" xfId="0" applyNumberFormat="1" applyFill="1" applyAlignment="1">
      <alignment horizontal="center"/>
    </xf>
    <xf numFmtId="3" fontId="0" fillId="0" borderId="0" xfId="0" applyNumberFormat="1"/>
    <xf numFmtId="1" fontId="11" fillId="0" borderId="0" xfId="0" applyNumberFormat="1" applyFont="1"/>
    <xf numFmtId="164" fontId="11" fillId="0" borderId="0" xfId="1" applyNumberFormat="1" applyFont="1"/>
    <xf numFmtId="1" fontId="0" fillId="0" borderId="0" xfId="0" applyNumberFormat="1"/>
    <xf numFmtId="167" fontId="0" fillId="6" borderId="0" xfId="0" applyNumberFormat="1" applyFill="1" applyBorder="1" applyAlignment="1">
      <alignment horizontal="center"/>
    </xf>
    <xf numFmtId="167" fontId="0" fillId="8" borderId="0" xfId="0" applyNumberFormat="1" applyFill="1" applyBorder="1" applyAlignment="1">
      <alignment horizontal="center"/>
    </xf>
    <xf numFmtId="3" fontId="0" fillId="8" borderId="0" xfId="0" applyNumberFormat="1" applyFill="1" applyBorder="1" applyAlignment="1">
      <alignment horizontal="center"/>
    </xf>
    <xf numFmtId="166" fontId="0" fillId="8" borderId="0" xfId="0" applyNumberFormat="1" applyFill="1" applyBorder="1" applyAlignment="1">
      <alignment horizontal="center"/>
    </xf>
    <xf numFmtId="164" fontId="0" fillId="8" borderId="0" xfId="1" applyNumberFormat="1" applyFont="1" applyFill="1" applyBorder="1" applyAlignment="1">
      <alignment horizontal="center"/>
    </xf>
    <xf numFmtId="167" fontId="0" fillId="0" borderId="0" xfId="0" applyNumberFormat="1"/>
    <xf numFmtId="0" fontId="0" fillId="8" borderId="0" xfId="0" applyFill="1" applyAlignment="1">
      <alignment horizontal="center"/>
    </xf>
    <xf numFmtId="164" fontId="0" fillId="8" borderId="0" xfId="1" applyNumberFormat="1" applyFont="1" applyFill="1" applyAlignment="1">
      <alignment horizontal="center"/>
    </xf>
    <xf numFmtId="0" fontId="0" fillId="0" borderId="0" xfId="0" applyFill="1" applyBorder="1"/>
    <xf numFmtId="0" fontId="8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44" fontId="0" fillId="0" borderId="0" xfId="2" applyFont="1"/>
    <xf numFmtId="0" fontId="2" fillId="0" borderId="0" xfId="0" applyFont="1" applyFill="1" applyBorder="1" applyAlignment="1">
      <alignment horizontal="center"/>
    </xf>
    <xf numFmtId="0" fontId="2" fillId="0" borderId="0" xfId="0" quotePrefix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68" fontId="0" fillId="0" borderId="0" xfId="1" applyNumberFormat="1" applyFont="1"/>
    <xf numFmtId="168" fontId="0" fillId="0" borderId="0" xfId="1" applyNumberFormat="1" applyFont="1" applyAlignment="1">
      <alignment horizontal="center" wrapText="1"/>
    </xf>
    <xf numFmtId="164" fontId="0" fillId="0" borderId="0" xfId="1" applyNumberFormat="1" applyFont="1"/>
    <xf numFmtId="3" fontId="0" fillId="0" borderId="0" xfId="0" applyNumberFormat="1" applyFill="1" applyBorder="1"/>
    <xf numFmtId="164" fontId="0" fillId="0" borderId="0" xfId="1" applyNumberFormat="1" applyFont="1" applyFill="1"/>
    <xf numFmtId="169" fontId="0" fillId="0" borderId="0" xfId="2" applyNumberFormat="1" applyFont="1"/>
    <xf numFmtId="0" fontId="3" fillId="0" borderId="0" xfId="0" applyFont="1"/>
    <xf numFmtId="0" fontId="8" fillId="0" borderId="5" xfId="0" applyNumberFormat="1" applyFont="1" applyFill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Fill="1" applyBorder="1"/>
    <xf numFmtId="0" fontId="0" fillId="7" borderId="5" xfId="0" applyFill="1" applyBorder="1" applyAlignment="1">
      <alignment horizontal="center"/>
    </xf>
    <xf numFmtId="0" fontId="0" fillId="7" borderId="5" xfId="0" applyFill="1" applyBorder="1"/>
    <xf numFmtId="1" fontId="0" fillId="7" borderId="5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67" fontId="0" fillId="0" borderId="5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1" fontId="0" fillId="0" borderId="5" xfId="0" applyNumberFormat="1" applyFill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0" fontId="14" fillId="0" borderId="5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70" fontId="0" fillId="0" borderId="0" xfId="0" applyNumberFormat="1"/>
    <xf numFmtId="0" fontId="2" fillId="0" borderId="5" xfId="0" applyFont="1" applyFill="1" applyBorder="1" applyAlignment="1">
      <alignment horizontal="center"/>
    </xf>
    <xf numFmtId="1" fontId="2" fillId="0" borderId="5" xfId="0" quotePrefix="1" applyNumberFormat="1" applyFont="1" applyFill="1" applyBorder="1" applyAlignment="1">
      <alignment horizontal="center"/>
    </xf>
    <xf numFmtId="1" fontId="0" fillId="0" borderId="5" xfId="1" applyNumberFormat="1" applyFont="1" applyFill="1" applyBorder="1" applyAlignment="1">
      <alignment horizontal="center"/>
    </xf>
    <xf numFmtId="8" fontId="0" fillId="0" borderId="0" xfId="0" applyNumberFormat="1"/>
    <xf numFmtId="171" fontId="0" fillId="0" borderId="0" xfId="0" applyNumberFormat="1"/>
    <xf numFmtId="0" fontId="0" fillId="0" borderId="0" xfId="0" applyAlignment="1">
      <alignment horizontal="center"/>
    </xf>
    <xf numFmtId="43" fontId="0" fillId="0" borderId="0" xfId="1" applyFont="1"/>
    <xf numFmtId="171" fontId="0" fillId="0" borderId="0" xfId="0" applyNumberFormat="1" applyFont="1"/>
    <xf numFmtId="6" fontId="0" fillId="0" borderId="0" xfId="0" applyNumberFormat="1"/>
    <xf numFmtId="1" fontId="0" fillId="0" borderId="0" xfId="0" applyNumberFormat="1" applyAlignment="1">
      <alignment horizontal="center"/>
    </xf>
    <xf numFmtId="0" fontId="0" fillId="0" borderId="8" xfId="0" applyBorder="1"/>
    <xf numFmtId="0" fontId="0" fillId="0" borderId="8" xfId="0" applyFill="1" applyBorder="1"/>
    <xf numFmtId="0" fontId="15" fillId="9" borderId="11" xfId="0" applyNumberFormat="1" applyFont="1" applyFill="1" applyBorder="1" applyAlignment="1">
      <alignment horizontal="center" vertical="center" wrapText="1"/>
    </xf>
    <xf numFmtId="0" fontId="15" fillId="9" borderId="12" xfId="0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0" fillId="7" borderId="14" xfId="0" applyFill="1" applyBorder="1"/>
    <xf numFmtId="0" fontId="0" fillId="7" borderId="14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5" fillId="9" borderId="17" xfId="0" applyNumberFormat="1" applyFont="1" applyFill="1" applyBorder="1" applyAlignment="1">
      <alignment horizontal="center" vertical="center" wrapText="1"/>
    </xf>
    <xf numFmtId="0" fontId="15" fillId="9" borderId="22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9" xfId="0" quotePrefix="1" applyFont="1" applyBorder="1" applyAlignment="1">
      <alignment horizontal="center"/>
    </xf>
    <xf numFmtId="0" fontId="16" fillId="0" borderId="10" xfId="0" quotePrefix="1" applyFont="1" applyBorder="1" applyAlignment="1">
      <alignment horizontal="center"/>
    </xf>
    <xf numFmtId="0" fontId="16" fillId="10" borderId="18" xfId="0" applyFont="1" applyFill="1" applyBorder="1" applyAlignment="1">
      <alignment horizontal="center"/>
    </xf>
    <xf numFmtId="0" fontId="0" fillId="10" borderId="19" xfId="0" applyFill="1" applyBorder="1"/>
    <xf numFmtId="0" fontId="0" fillId="10" borderId="20" xfId="0" applyFill="1" applyBorder="1"/>
    <xf numFmtId="1" fontId="0" fillId="10" borderId="20" xfId="0" applyNumberFormat="1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167" fontId="0" fillId="10" borderId="20" xfId="0" applyNumberFormat="1" applyFill="1" applyBorder="1" applyAlignment="1">
      <alignment horizontal="center"/>
    </xf>
    <xf numFmtId="1" fontId="0" fillId="10" borderId="21" xfId="0" applyNumberFormat="1" applyFill="1" applyBorder="1" applyAlignment="1">
      <alignment horizontal="center"/>
    </xf>
    <xf numFmtId="173" fontId="0" fillId="0" borderId="0" xfId="0" applyNumberFormat="1"/>
    <xf numFmtId="0" fontId="17" fillId="0" borderId="0" xfId="0" applyFont="1"/>
    <xf numFmtId="171" fontId="17" fillId="0" borderId="0" xfId="0" applyNumberFormat="1" applyFont="1"/>
    <xf numFmtId="0" fontId="17" fillId="11" borderId="0" xfId="0" applyFont="1" applyFill="1"/>
    <xf numFmtId="171" fontId="17" fillId="11" borderId="0" xfId="0" applyNumberFormat="1" applyFont="1" applyFill="1"/>
    <xf numFmtId="169" fontId="0" fillId="0" borderId="0" xfId="1" applyNumberFormat="1" applyFont="1"/>
    <xf numFmtId="169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Fill="1" applyBorder="1"/>
    <xf numFmtId="0" fontId="3" fillId="13" borderId="1" xfId="0" applyFont="1" applyFill="1" applyBorder="1"/>
    <xf numFmtId="0" fontId="0" fillId="13" borderId="2" xfId="0" applyFill="1" applyBorder="1"/>
    <xf numFmtId="0" fontId="18" fillId="13" borderId="2" xfId="0" applyFont="1" applyFill="1" applyBorder="1"/>
    <xf numFmtId="0" fontId="3" fillId="13" borderId="2" xfId="0" applyFont="1" applyFill="1" applyBorder="1"/>
    <xf numFmtId="171" fontId="3" fillId="0" borderId="0" xfId="0" applyNumberFormat="1" applyFont="1"/>
    <xf numFmtId="8" fontId="3" fillId="0" borderId="0" xfId="0" applyNumberFormat="1" applyFont="1"/>
    <xf numFmtId="0" fontId="19" fillId="0" borderId="0" xfId="0" applyFont="1" applyAlignment="1">
      <alignment vertical="center"/>
    </xf>
    <xf numFmtId="0" fontId="21" fillId="13" borderId="2" xfId="0" applyFont="1" applyFill="1" applyBorder="1"/>
    <xf numFmtId="172" fontId="0" fillId="0" borderId="0" xfId="2" applyNumberFormat="1" applyFont="1"/>
    <xf numFmtId="0" fontId="20" fillId="13" borderId="2" xfId="0" applyFont="1" applyFill="1" applyBorder="1" applyAlignment="1">
      <alignment vertical="center"/>
    </xf>
    <xf numFmtId="0" fontId="3" fillId="12" borderId="1" xfId="0" applyFont="1" applyFill="1" applyBorder="1"/>
    <xf numFmtId="8" fontId="3" fillId="12" borderId="3" xfId="0" applyNumberFormat="1" applyFont="1" applyFill="1" applyBorder="1"/>
    <xf numFmtId="0" fontId="16" fillId="0" borderId="18" xfId="0" applyFont="1" applyFill="1" applyBorder="1" applyAlignment="1">
      <alignment horizontal="center"/>
    </xf>
    <xf numFmtId="0" fontId="0" fillId="0" borderId="19" xfId="0" applyFill="1" applyBorder="1"/>
    <xf numFmtId="0" fontId="0" fillId="0" borderId="20" xfId="0" applyFill="1" applyBorder="1"/>
    <xf numFmtId="1" fontId="0" fillId="0" borderId="20" xfId="0" applyNumberForma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167" fontId="0" fillId="0" borderId="26" xfId="0" applyNumberForma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14" borderId="5" xfId="0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28" xfId="0" applyNumberFormat="1" applyFill="1" applyBorder="1" applyAlignment="1">
      <alignment horizontal="center"/>
    </xf>
    <xf numFmtId="0" fontId="0" fillId="0" borderId="31" xfId="0" applyNumberFormat="1" applyFill="1" applyBorder="1" applyAlignment="1">
      <alignment horizontal="center"/>
    </xf>
    <xf numFmtId="0" fontId="0" fillId="0" borderId="32" xfId="0" applyNumberFormat="1" applyFill="1" applyBorder="1" applyAlignment="1">
      <alignment horizontal="center"/>
    </xf>
    <xf numFmtId="0" fontId="24" fillId="13" borderId="2" xfId="0" applyFont="1" applyFill="1" applyBorder="1"/>
    <xf numFmtId="0" fontId="3" fillId="13" borderId="3" xfId="0" applyFont="1" applyFill="1" applyBorder="1" applyAlignment="1">
      <alignment horizontal="right"/>
    </xf>
    <xf numFmtId="174" fontId="19" fillId="0" borderId="0" xfId="0" applyNumberFormat="1" applyFont="1"/>
    <xf numFmtId="0" fontId="19" fillId="13" borderId="2" xfId="0" applyFont="1" applyFill="1" applyBorder="1" applyAlignment="1">
      <alignment vertical="center"/>
    </xf>
    <xf numFmtId="0" fontId="3" fillId="13" borderId="10" xfId="0" applyFont="1" applyFill="1" applyBorder="1" applyAlignment="1">
      <alignment horizontal="right"/>
    </xf>
    <xf numFmtId="0" fontId="3" fillId="13" borderId="2" xfId="0" applyFont="1" applyFill="1" applyBorder="1" applyAlignment="1">
      <alignment horizontal="right"/>
    </xf>
    <xf numFmtId="0" fontId="27" fillId="16" borderId="5" xfId="0" applyFont="1" applyFill="1" applyBorder="1" applyAlignment="1">
      <alignment horizontal="right"/>
    </xf>
    <xf numFmtId="0" fontId="26" fillId="16" borderId="5" xfId="0" applyFont="1" applyFill="1" applyBorder="1" applyAlignment="1">
      <alignment horizontal="center"/>
    </xf>
    <xf numFmtId="0" fontId="27" fillId="14" borderId="5" xfId="0" applyFont="1" applyFill="1" applyBorder="1" applyAlignment="1">
      <alignment horizontal="right"/>
    </xf>
    <xf numFmtId="0" fontId="26" fillId="14" borderId="5" xfId="0" applyFont="1" applyFill="1" applyBorder="1" applyAlignment="1">
      <alignment horizontal="center"/>
    </xf>
    <xf numFmtId="0" fontId="26" fillId="16" borderId="14" xfId="0" applyFont="1" applyFill="1" applyBorder="1" applyAlignment="1">
      <alignment horizontal="center"/>
    </xf>
    <xf numFmtId="0" fontId="26" fillId="14" borderId="31" xfId="0" applyFont="1" applyFill="1" applyBorder="1" applyAlignment="1">
      <alignment horizontal="center" vertical="center"/>
    </xf>
    <xf numFmtId="0" fontId="26" fillId="14" borderId="14" xfId="0" applyFont="1" applyFill="1" applyBorder="1" applyAlignment="1">
      <alignment horizontal="center"/>
    </xf>
    <xf numFmtId="0" fontId="27" fillId="16" borderId="15" xfId="0" applyFont="1" applyFill="1" applyBorder="1" applyAlignment="1">
      <alignment horizontal="right"/>
    </xf>
    <xf numFmtId="0" fontId="26" fillId="16" borderId="15" xfId="0" applyFont="1" applyFill="1" applyBorder="1" applyAlignment="1">
      <alignment horizontal="center"/>
    </xf>
    <xf numFmtId="0" fontId="26" fillId="16" borderId="16" xfId="0" applyFont="1" applyFill="1" applyBorder="1" applyAlignment="1">
      <alignment horizontal="center"/>
    </xf>
    <xf numFmtId="0" fontId="26" fillId="16" borderId="36" xfId="0" applyFont="1" applyFill="1" applyBorder="1" applyAlignment="1">
      <alignment horizontal="center" vertical="center"/>
    </xf>
    <xf numFmtId="0" fontId="27" fillId="16" borderId="8" xfId="0" applyFont="1" applyFill="1" applyBorder="1" applyAlignment="1">
      <alignment horizontal="right"/>
    </xf>
    <xf numFmtId="0" fontId="26" fillId="16" borderId="8" xfId="0" applyFont="1" applyFill="1" applyBorder="1" applyAlignment="1">
      <alignment horizontal="center"/>
    </xf>
    <xf numFmtId="0" fontId="26" fillId="16" borderId="13" xfId="0" applyFont="1" applyFill="1" applyBorder="1" applyAlignment="1">
      <alignment horizontal="center"/>
    </xf>
    <xf numFmtId="0" fontId="25" fillId="15" borderId="37" xfId="0" applyFont="1" applyFill="1" applyBorder="1" applyAlignment="1">
      <alignment horizontal="center" vertical="center"/>
    </xf>
    <xf numFmtId="0" fontId="25" fillId="15" borderId="9" xfId="0" applyFont="1" applyFill="1" applyBorder="1" applyAlignment="1">
      <alignment horizontal="center"/>
    </xf>
    <xf numFmtId="0" fontId="25" fillId="15" borderId="10" xfId="0" applyFont="1" applyFill="1" applyBorder="1" applyAlignment="1">
      <alignment horizontal="center"/>
    </xf>
    <xf numFmtId="0" fontId="17" fillId="0" borderId="0" xfId="0" applyFont="1" applyAlignment="1">
      <alignment wrapText="1"/>
    </xf>
    <xf numFmtId="0" fontId="0" fillId="0" borderId="0" xfId="0" applyAlignment="1">
      <alignment wrapText="1"/>
    </xf>
    <xf numFmtId="0" fontId="17" fillId="0" borderId="0" xfId="0" applyFont="1" applyAlignment="1">
      <alignment horizontal="center" wrapText="1"/>
    </xf>
    <xf numFmtId="0" fontId="26" fillId="16" borderId="32" xfId="0" applyFont="1" applyFill="1" applyBorder="1" applyAlignment="1">
      <alignment vertical="center"/>
    </xf>
    <xf numFmtId="0" fontId="26" fillId="14" borderId="8" xfId="0" applyFont="1" applyFill="1" applyBorder="1" applyAlignment="1">
      <alignment horizontal="center"/>
    </xf>
    <xf numFmtId="0" fontId="26" fillId="14" borderId="13" xfId="0" applyFont="1" applyFill="1" applyBorder="1" applyAlignment="1">
      <alignment horizontal="center"/>
    </xf>
    <xf numFmtId="43" fontId="0" fillId="0" borderId="0" xfId="0" applyNumberFormat="1"/>
    <xf numFmtId="0" fontId="0" fillId="0" borderId="0" xfId="0" applyAlignment="1">
      <alignment horizontal="center"/>
    </xf>
    <xf numFmtId="43" fontId="0" fillId="0" borderId="0" xfId="1" applyFont="1" applyFill="1"/>
    <xf numFmtId="0" fontId="8" fillId="0" borderId="0" xfId="0" applyNumberFormat="1" applyFont="1" applyFill="1" applyBorder="1" applyAlignment="1">
      <alignment horizontal="left" wrapText="1"/>
    </xf>
    <xf numFmtId="0" fontId="29" fillId="0" borderId="0" xfId="4" applyNumberFormat="1" applyAlignment="1"/>
    <xf numFmtId="1" fontId="29" fillId="2" borderId="0" xfId="1" applyNumberFormat="1" applyFont="1" applyFill="1" applyAlignment="1">
      <alignment horizontal="center" vertical="center" wrapText="1"/>
    </xf>
    <xf numFmtId="9" fontId="29" fillId="0" borderId="0" xfId="3" applyFont="1" applyAlignment="1"/>
    <xf numFmtId="1" fontId="9" fillId="0" borderId="0" xfId="4" applyNumberFormat="1" applyFont="1" applyAlignment="1">
      <alignment horizontal="center"/>
    </xf>
    <xf numFmtId="0" fontId="9" fillId="0" borderId="0" xfId="4" applyNumberFormat="1" applyFont="1" applyAlignment="1">
      <alignment horizontal="center"/>
    </xf>
    <xf numFmtId="0" fontId="28" fillId="17" borderId="38" xfId="0" applyFont="1" applyFill="1" applyBorder="1" applyAlignment="1">
      <alignment horizontal="center" wrapText="1"/>
    </xf>
    <xf numFmtId="0" fontId="28" fillId="17" borderId="39" xfId="0" applyFont="1" applyFill="1" applyBorder="1" applyAlignment="1">
      <alignment horizontal="center" wrapText="1"/>
    </xf>
    <xf numFmtId="1" fontId="29" fillId="0" borderId="40" xfId="1" applyNumberFormat="1" applyFont="1" applyBorder="1" applyAlignment="1">
      <alignment horizontal="center" vertical="center" wrapText="1"/>
    </xf>
    <xf numFmtId="1" fontId="29" fillId="0" borderId="0" xfId="1" applyNumberFormat="1" applyFont="1" applyBorder="1" applyAlignment="1">
      <alignment horizontal="center" vertical="center" wrapText="1"/>
    </xf>
    <xf numFmtId="1" fontId="29" fillId="0" borderId="41" xfId="1" applyNumberFormat="1" applyFont="1" applyBorder="1" applyAlignment="1">
      <alignment horizontal="center" vertical="center" wrapText="1"/>
    </xf>
    <xf numFmtId="1" fontId="29" fillId="0" borderId="0" xfId="4" applyNumberFormat="1" applyBorder="1" applyAlignment="1">
      <alignment horizontal="center" vertical="center"/>
    </xf>
    <xf numFmtId="1" fontId="29" fillId="0" borderId="0" xfId="1" applyNumberFormat="1" applyFont="1" applyBorder="1" applyAlignment="1">
      <alignment horizontal="center" vertical="center"/>
    </xf>
    <xf numFmtId="1" fontId="29" fillId="0" borderId="41" xfId="4" applyNumberFormat="1" applyBorder="1" applyAlignment="1">
      <alignment horizontal="center" vertical="center"/>
    </xf>
    <xf numFmtId="1" fontId="29" fillId="0" borderId="40" xfId="1" applyNumberFormat="1" applyFont="1" applyFill="1" applyBorder="1" applyAlignment="1">
      <alignment horizontal="center" vertical="center" wrapText="1"/>
    </xf>
    <xf numFmtId="1" fontId="29" fillId="0" borderId="0" xfId="1" applyNumberFormat="1" applyFont="1" applyFill="1" applyBorder="1" applyAlignment="1">
      <alignment horizontal="center" vertical="center" wrapText="1"/>
    </xf>
    <xf numFmtId="1" fontId="29" fillId="2" borderId="0" xfId="1" applyNumberFormat="1" applyFont="1" applyFill="1" applyBorder="1" applyAlignment="1">
      <alignment horizontal="center" vertical="center" wrapText="1"/>
    </xf>
    <xf numFmtId="1" fontId="29" fillId="2" borderId="40" xfId="1" applyNumberFormat="1" applyFont="1" applyFill="1" applyBorder="1" applyAlignment="1">
      <alignment horizontal="center" vertical="center" wrapText="1"/>
    </xf>
    <xf numFmtId="1" fontId="29" fillId="2" borderId="41" xfId="1" applyNumberFormat="1" applyFont="1" applyFill="1" applyBorder="1" applyAlignment="1">
      <alignment horizontal="center" vertical="center" wrapText="1"/>
    </xf>
    <xf numFmtId="0" fontId="29" fillId="0" borderId="0" xfId="4" applyNumberFormat="1" applyAlignment="1">
      <alignment horizontal="right"/>
    </xf>
    <xf numFmtId="1" fontId="29" fillId="0" borderId="42" xfId="4" applyNumberFormat="1" applyBorder="1" applyAlignment="1">
      <alignment horizontal="center" vertical="center"/>
    </xf>
    <xf numFmtId="1" fontId="29" fillId="0" borderId="43" xfId="4" applyNumberFormat="1" applyBorder="1" applyAlignment="1">
      <alignment horizontal="center" vertical="center"/>
    </xf>
    <xf numFmtId="1" fontId="29" fillId="0" borderId="44" xfId="4" applyNumberFormat="1" applyBorder="1" applyAlignment="1">
      <alignment horizontal="center" vertical="center"/>
    </xf>
    <xf numFmtId="0" fontId="8" fillId="18" borderId="5" xfId="4" applyNumberFormat="1" applyFont="1" applyFill="1" applyBorder="1" applyAlignment="1"/>
    <xf numFmtId="0" fontId="8" fillId="0" borderId="0" xfId="4" applyNumberFormat="1" applyFont="1" applyAlignment="1">
      <alignment horizontal="right"/>
    </xf>
    <xf numFmtId="164" fontId="29" fillId="0" borderId="0" xfId="1" applyNumberFormat="1" applyFont="1" applyAlignment="1"/>
    <xf numFmtId="168" fontId="29" fillId="0" borderId="0" xfId="1" applyNumberFormat="1" applyFont="1" applyAlignment="1"/>
    <xf numFmtId="1" fontId="29" fillId="0" borderId="0" xfId="4" applyNumberFormat="1" applyAlignment="1"/>
    <xf numFmtId="0" fontId="29" fillId="12" borderId="0" xfId="4" applyNumberFormat="1" applyFill="1" applyAlignment="1"/>
    <xf numFmtId="0" fontId="15" fillId="9" borderId="11" xfId="0" applyNumberFormat="1" applyFont="1" applyFill="1" applyBorder="1" applyAlignment="1">
      <alignment horizontal="left" vertical="center" wrapText="1"/>
    </xf>
    <xf numFmtId="0" fontId="15" fillId="9" borderId="12" xfId="0" applyNumberFormat="1" applyFont="1" applyFill="1" applyBorder="1" applyAlignment="1">
      <alignment horizontal="left" vertical="center" wrapText="1"/>
    </xf>
    <xf numFmtId="0" fontId="15" fillId="9" borderId="17" xfId="0" applyNumberFormat="1" applyFont="1" applyFill="1" applyBorder="1" applyAlignment="1">
      <alignment horizontal="left" vertical="center" wrapText="1"/>
    </xf>
    <xf numFmtId="0" fontId="15" fillId="9" borderId="31" xfId="0" applyNumberFormat="1" applyFont="1" applyFill="1" applyBorder="1" applyAlignment="1">
      <alignment horizontal="center" vertical="center" wrapText="1"/>
    </xf>
    <xf numFmtId="0" fontId="16" fillId="0" borderId="47" xfId="0" quotePrefix="1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5" xfId="0" quotePrefix="1" applyBorder="1" applyAlignment="1">
      <alignment horizontal="center"/>
    </xf>
    <xf numFmtId="1" fontId="0" fillId="0" borderId="14" xfId="0" applyNumberFormat="1" applyFill="1" applyBorder="1" applyAlignment="1">
      <alignment horizontal="center"/>
    </xf>
    <xf numFmtId="0" fontId="16" fillId="0" borderId="47" xfId="0" applyFont="1" applyFill="1" applyBorder="1" applyAlignment="1">
      <alignment horizontal="center"/>
    </xf>
    <xf numFmtId="0" fontId="15" fillId="19" borderId="32" xfId="0" applyNumberFormat="1" applyFont="1" applyFill="1" applyBorder="1" applyAlignment="1">
      <alignment horizontal="center" vertical="center" wrapText="1"/>
    </xf>
    <xf numFmtId="0" fontId="16" fillId="19" borderId="48" xfId="0" applyFont="1" applyFill="1" applyBorder="1" applyAlignment="1">
      <alignment horizontal="center"/>
    </xf>
    <xf numFmtId="0" fontId="28" fillId="19" borderId="32" xfId="0" applyFont="1" applyFill="1" applyBorder="1" applyAlignment="1">
      <alignment horizontal="center"/>
    </xf>
    <xf numFmtId="0" fontId="28" fillId="19" borderId="15" xfId="0" applyFont="1" applyFill="1" applyBorder="1" applyAlignment="1">
      <alignment horizontal="center"/>
    </xf>
    <xf numFmtId="0" fontId="28" fillId="19" borderId="16" xfId="0" applyFont="1" applyFill="1" applyBorder="1" applyAlignment="1">
      <alignment horizontal="center"/>
    </xf>
    <xf numFmtId="0" fontId="15" fillId="11" borderId="31" xfId="0" applyNumberFormat="1" applyFont="1" applyFill="1" applyBorder="1" applyAlignment="1">
      <alignment horizontal="center" vertical="center" wrapText="1"/>
    </xf>
    <xf numFmtId="0" fontId="28" fillId="11" borderId="47" xfId="0" applyFont="1" applyFill="1" applyBorder="1" applyAlignment="1">
      <alignment horizontal="center"/>
    </xf>
    <xf numFmtId="0" fontId="28" fillId="11" borderId="31" xfId="0" applyFont="1" applyFill="1" applyBorder="1" applyAlignment="1">
      <alignment horizontal="center"/>
    </xf>
    <xf numFmtId="0" fontId="28" fillId="11" borderId="5" xfId="0" applyFont="1" applyFill="1" applyBorder="1" applyAlignment="1">
      <alignment horizontal="center"/>
    </xf>
    <xf numFmtId="0" fontId="28" fillId="11" borderId="14" xfId="0" applyFont="1" applyFill="1" applyBorder="1" applyAlignment="1">
      <alignment horizontal="center"/>
    </xf>
    <xf numFmtId="0" fontId="21" fillId="13" borderId="2" xfId="0" applyFont="1" applyFill="1" applyBorder="1" applyAlignment="1">
      <alignment vertical="center"/>
    </xf>
    <xf numFmtId="0" fontId="0" fillId="20" borderId="0" xfId="0" applyFill="1"/>
    <xf numFmtId="0" fontId="3" fillId="20" borderId="0" xfId="0" applyFont="1" applyFill="1"/>
    <xf numFmtId="0" fontId="0" fillId="2" borderId="0" xfId="0" applyFill="1"/>
    <xf numFmtId="0" fontId="0" fillId="12" borderId="0" xfId="0" applyFill="1"/>
    <xf numFmtId="0" fontId="0" fillId="21" borderId="0" xfId="0" applyFill="1"/>
    <xf numFmtId="0" fontId="0" fillId="22" borderId="0" xfId="0" applyFill="1"/>
    <xf numFmtId="0" fontId="0" fillId="23" borderId="0" xfId="0" applyFill="1"/>
    <xf numFmtId="0" fontId="30" fillId="23" borderId="0" xfId="0" applyFont="1" applyFill="1"/>
    <xf numFmtId="0" fontId="14" fillId="23" borderId="0" xfId="0" applyFont="1" applyFill="1"/>
    <xf numFmtId="169" fontId="14" fillId="23" borderId="0" xfId="2" applyNumberFormat="1" applyFont="1" applyFill="1"/>
    <xf numFmtId="169" fontId="14" fillId="23" borderId="0" xfId="0" applyNumberFormat="1" applyFont="1" applyFill="1"/>
    <xf numFmtId="0" fontId="32" fillId="0" borderId="0" xfId="0" applyFont="1"/>
    <xf numFmtId="0" fontId="32" fillId="23" borderId="0" xfId="0" applyFont="1" applyFill="1"/>
    <xf numFmtId="44" fontId="0" fillId="23" borderId="0" xfId="2" applyFont="1" applyFill="1"/>
    <xf numFmtId="44" fontId="14" fillId="23" borderId="0" xfId="2" applyFont="1" applyFill="1"/>
    <xf numFmtId="164" fontId="14" fillId="23" borderId="0" xfId="1" applyNumberFormat="1" applyFont="1" applyFill="1"/>
    <xf numFmtId="0" fontId="33" fillId="23" borderId="0" xfId="0" applyFont="1" applyFill="1"/>
    <xf numFmtId="0" fontId="34" fillId="23" borderId="0" xfId="0" applyFont="1" applyFill="1"/>
    <xf numFmtId="0" fontId="0" fillId="16" borderId="0" xfId="0" applyFill="1"/>
    <xf numFmtId="0" fontId="33" fillId="16" borderId="0" xfId="0" applyFont="1" applyFill="1"/>
    <xf numFmtId="0" fontId="30" fillId="16" borderId="0" xfId="0" applyFont="1" applyFill="1"/>
    <xf numFmtId="0" fontId="34" fillId="16" borderId="0" xfId="0" applyFont="1" applyFill="1"/>
    <xf numFmtId="0" fontId="14" fillId="16" borderId="0" xfId="0" applyFont="1" applyFill="1"/>
    <xf numFmtId="172" fontId="0" fillId="16" borderId="0" xfId="2" applyNumberFormat="1" applyFont="1" applyFill="1"/>
    <xf numFmtId="164" fontId="0" fillId="16" borderId="0" xfId="1" applyNumberFormat="1" applyFont="1" applyFill="1"/>
    <xf numFmtId="0" fontId="0" fillId="24" borderId="0" xfId="0" applyFill="1"/>
    <xf numFmtId="0" fontId="35" fillId="24" borderId="0" xfId="0" applyFont="1" applyFill="1"/>
    <xf numFmtId="44" fontId="0" fillId="24" borderId="0" xfId="0" applyNumberFormat="1" applyFill="1"/>
    <xf numFmtId="164" fontId="0" fillId="24" borderId="0" xfId="0" applyNumberFormat="1" applyFill="1"/>
    <xf numFmtId="172" fontId="0" fillId="24" borderId="0" xfId="2" applyNumberFormat="1" applyFont="1" applyFill="1"/>
    <xf numFmtId="0" fontId="31" fillId="22" borderId="0" xfId="0" applyFont="1" applyFill="1"/>
    <xf numFmtId="0" fontId="31" fillId="0" borderId="0" xfId="0" applyFont="1" applyFill="1"/>
    <xf numFmtId="44" fontId="0" fillId="22" borderId="0" xfId="0" applyNumberFormat="1" applyFill="1"/>
    <xf numFmtId="172" fontId="0" fillId="22" borderId="0" xfId="0" applyNumberFormat="1" applyFill="1"/>
    <xf numFmtId="164" fontId="0" fillId="22" borderId="0" xfId="1" applyNumberFormat="1" applyFont="1" applyFill="1"/>
    <xf numFmtId="0" fontId="0" fillId="17" borderId="0" xfId="0" applyFill="1"/>
    <xf numFmtId="164" fontId="0" fillId="0" borderId="0" xfId="0" applyNumberFormat="1"/>
    <xf numFmtId="43" fontId="0" fillId="0" borderId="0" xfId="1" applyNumberFormat="1" applyFont="1"/>
    <xf numFmtId="0" fontId="26" fillId="16" borderId="33" xfId="0" applyFont="1" applyFill="1" applyBorder="1" applyAlignment="1">
      <alignment horizontal="center" vertical="center"/>
    </xf>
    <xf numFmtId="0" fontId="26" fillId="16" borderId="34" xfId="0" applyFont="1" applyFill="1" applyBorder="1" applyAlignment="1">
      <alignment horizontal="center" vertical="center"/>
    </xf>
    <xf numFmtId="0" fontId="26" fillId="16" borderId="35" xfId="0" applyFont="1" applyFill="1" applyBorder="1" applyAlignment="1">
      <alignment horizontal="center" vertical="center"/>
    </xf>
    <xf numFmtId="0" fontId="28" fillId="19" borderId="28" xfId="0" applyFont="1" applyFill="1" applyBorder="1" applyAlignment="1">
      <alignment horizontal="center"/>
    </xf>
    <xf numFmtId="0" fontId="28" fillId="19" borderId="29" xfId="0" applyFont="1" applyFill="1" applyBorder="1" applyAlignment="1">
      <alignment horizontal="center"/>
    </xf>
    <xf numFmtId="0" fontId="28" fillId="19" borderId="30" xfId="0" applyFont="1" applyFill="1" applyBorder="1" applyAlignment="1">
      <alignment horizontal="center"/>
    </xf>
    <xf numFmtId="0" fontId="28" fillId="19" borderId="45" xfId="0" applyFont="1" applyFill="1" applyBorder="1" applyAlignment="1">
      <alignment horizontal="center"/>
    </xf>
    <xf numFmtId="0" fontId="28" fillId="19" borderId="4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5">
    <cellStyle name="Comma" xfId="1" builtinId="3"/>
    <cellStyle name="Currency" xfId="2" builtinId="4"/>
    <cellStyle name="Normal" xfId="0" builtinId="0"/>
    <cellStyle name="Normal 3 2" xfId="4"/>
    <cellStyle name="Percent" xfId="3" builtinId="5"/>
  </cellStyles>
  <dxfs count="9">
    <dxf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hartsheet" Target="chartsheets/sheet7.xml"/><Relationship Id="rId39" Type="http://schemas.openxmlformats.org/officeDocument/2006/relationships/chartsheet" Target="chartsheets/sheet20.xml"/><Relationship Id="rId21" Type="http://schemas.openxmlformats.org/officeDocument/2006/relationships/chartsheet" Target="chartsheets/sheet2.xml"/><Relationship Id="rId34" Type="http://schemas.openxmlformats.org/officeDocument/2006/relationships/chartsheet" Target="chartsheets/sheet15.xml"/><Relationship Id="rId42" Type="http://schemas.openxmlformats.org/officeDocument/2006/relationships/chartsheet" Target="chartsheets/sheet22.xml"/><Relationship Id="rId47" Type="http://schemas.openxmlformats.org/officeDocument/2006/relationships/externalLink" Target="externalLinks/externalLink3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chartsheet" Target="chartsheets/sheet10.xml"/><Relationship Id="rId11" Type="http://schemas.openxmlformats.org/officeDocument/2006/relationships/worksheet" Target="worksheets/sheet11.xml"/><Relationship Id="rId24" Type="http://schemas.openxmlformats.org/officeDocument/2006/relationships/chartsheet" Target="chartsheets/sheet5.xml"/><Relationship Id="rId32" Type="http://schemas.openxmlformats.org/officeDocument/2006/relationships/chartsheet" Target="chartsheets/sheet13.xml"/><Relationship Id="rId37" Type="http://schemas.openxmlformats.org/officeDocument/2006/relationships/chartsheet" Target="chartsheets/sheet18.xml"/><Relationship Id="rId40" Type="http://schemas.openxmlformats.org/officeDocument/2006/relationships/worksheet" Target="worksheets/sheet20.xml"/><Relationship Id="rId45" Type="http://schemas.openxmlformats.org/officeDocument/2006/relationships/externalLink" Target="externalLinks/externalLink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hartsheet" Target="chartsheets/sheet3.xml"/><Relationship Id="rId27" Type="http://schemas.openxmlformats.org/officeDocument/2006/relationships/chartsheet" Target="chartsheets/sheet8.xml"/><Relationship Id="rId30" Type="http://schemas.openxmlformats.org/officeDocument/2006/relationships/chartsheet" Target="chartsheets/sheet11.xml"/><Relationship Id="rId35" Type="http://schemas.openxmlformats.org/officeDocument/2006/relationships/chartsheet" Target="chartsheets/sheet16.xml"/><Relationship Id="rId43" Type="http://schemas.openxmlformats.org/officeDocument/2006/relationships/chartsheet" Target="chartsheets/sheet23.xml"/><Relationship Id="rId48" Type="http://schemas.openxmlformats.org/officeDocument/2006/relationships/externalLink" Target="externalLinks/externalLink4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hartsheet" Target="chartsheets/sheet6.xml"/><Relationship Id="rId33" Type="http://schemas.openxmlformats.org/officeDocument/2006/relationships/chartsheet" Target="chartsheets/sheet14.xml"/><Relationship Id="rId38" Type="http://schemas.openxmlformats.org/officeDocument/2006/relationships/chartsheet" Target="chartsheets/sheet19.xml"/><Relationship Id="rId46" Type="http://schemas.openxmlformats.org/officeDocument/2006/relationships/externalLink" Target="externalLinks/externalLink2.xml"/><Relationship Id="rId20" Type="http://schemas.openxmlformats.org/officeDocument/2006/relationships/chartsheet" Target="chartsheets/sheet1.xml"/><Relationship Id="rId41" Type="http://schemas.openxmlformats.org/officeDocument/2006/relationships/chartsheet" Target="chartsheets/sheet21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chartsheet" Target="chartsheets/sheet4.xml"/><Relationship Id="rId28" Type="http://schemas.openxmlformats.org/officeDocument/2006/relationships/chartsheet" Target="chartsheets/sheet9.xml"/><Relationship Id="rId36" Type="http://schemas.openxmlformats.org/officeDocument/2006/relationships/chartsheet" Target="chartsheets/sheet17.xml"/><Relationship Id="rId49" Type="http://schemas.openxmlformats.org/officeDocument/2006/relationships/externalLink" Target="externalLinks/externalLink5.xml"/><Relationship Id="rId57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31" Type="http://schemas.openxmlformats.org/officeDocument/2006/relationships/chartsheet" Target="chartsheets/sheet12.xml"/><Relationship Id="rId44" Type="http://schemas.openxmlformats.org/officeDocument/2006/relationships/worksheet" Target="worksheets/sheet21.xml"/><Relationship Id="rId52" Type="http://schemas.openxmlformats.org/officeDocument/2006/relationships/sharedStrings" Target="sharedStrings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'Gas Sales - Base Build Summary'!$A$9</c:f>
              <c:strCache>
                <c:ptCount val="1"/>
                <c:pt idx="0">
                  <c:v>NWP Additions + Westcoast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Summary'!$B$9:$S$9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21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8F-4122-8E10-A399898F257D}"/>
            </c:ext>
          </c:extLst>
        </c:ser>
        <c:ser>
          <c:idx val="1"/>
          <c:order val="1"/>
          <c:tx>
            <c:strRef>
              <c:f>'Gas Sales - Base Build Summary'!$A$10</c:f>
              <c:strCache>
                <c:ptCount val="1"/>
                <c:pt idx="0">
                  <c:v>KORP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Summary'!$B$10:$S$10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8F-4122-8E10-A399898F257D}"/>
            </c:ext>
          </c:extLst>
        </c:ser>
        <c:ser>
          <c:idx val="2"/>
          <c:order val="2"/>
          <c:tx>
            <c:strRef>
              <c:f>'Gas Sales - Base Build Summary'!$A$11</c:f>
              <c:strCache>
                <c:ptCount val="1"/>
                <c:pt idx="0">
                  <c:v>NWP from AECO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Summary'!$B$11:$S$11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8F-4122-8E10-A399898F257D}"/>
            </c:ext>
          </c:extLst>
        </c:ser>
        <c:ser>
          <c:idx val="3"/>
          <c:order val="3"/>
          <c:tx>
            <c:strRef>
              <c:f>'Gas Sales - Base Build Summary'!$A$12</c:f>
              <c:strCache>
                <c:ptCount val="1"/>
                <c:pt idx="0">
                  <c:v>Mist Storage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Summary'!$B$12:$S$12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8F-4122-8E10-A399898F257D}"/>
            </c:ext>
          </c:extLst>
        </c:ser>
        <c:ser>
          <c:idx val="4"/>
          <c:order val="4"/>
          <c:tx>
            <c:strRef>
              <c:f>'Gas Sales - Base Build Summary'!$A$13</c:f>
              <c:strCache>
                <c:ptCount val="1"/>
                <c:pt idx="0">
                  <c:v>Ply LNG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Summary'!$B$13:$S$13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  <c:pt idx="9">
                  <c:v>0</c:v>
                </c:pt>
                <c:pt idx="10">
                  <c:v>0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15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8F-4122-8E10-A399898F257D}"/>
            </c:ext>
          </c:extLst>
        </c:ser>
        <c:ser>
          <c:idx val="5"/>
          <c:order val="5"/>
          <c:tx>
            <c:strRef>
              <c:f>'Gas Sales - Base Build Summary'!$A$14</c:f>
              <c:strCache>
                <c:ptCount val="1"/>
                <c:pt idx="0">
                  <c:v>LNG Tacoma Distr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Summary'!$B$14:$S$14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8F-4122-8E10-A399898F257D}"/>
            </c:ext>
          </c:extLst>
        </c:ser>
        <c:ser>
          <c:idx val="6"/>
          <c:order val="6"/>
          <c:tx>
            <c:strRef>
              <c:f>'Gas Sales - Base Build Summary'!$A$15</c:f>
              <c:strCache>
                <c:ptCount val="1"/>
                <c:pt idx="0">
                  <c:v>Swarr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Summary'!$B$15:$S$15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30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8F-4122-8E10-A399898F257D}"/>
            </c:ext>
          </c:extLst>
        </c:ser>
        <c:ser>
          <c:idx val="7"/>
          <c:order val="7"/>
          <c:tx>
            <c:strRef>
              <c:f>'Gas Sales - Base Build Summary'!$A$16</c:f>
              <c:strCache>
                <c:ptCount val="1"/>
                <c:pt idx="0">
                  <c:v>DSR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Summary'!$B$16:$S$16</c:f>
              <c:numCache>
                <c:formatCode>0</c:formatCode>
                <c:ptCount val="18"/>
                <c:pt idx="0">
                  <c:v>4.6109774071628653</c:v>
                </c:pt>
                <c:pt idx="1">
                  <c:v>4.6109774071628653</c:v>
                </c:pt>
                <c:pt idx="2">
                  <c:v>4.6318667643361797</c:v>
                </c:pt>
                <c:pt idx="3">
                  <c:v>21.139329931715892</c:v>
                </c:pt>
                <c:pt idx="4">
                  <c:v>21.139329931715892</c:v>
                </c:pt>
                <c:pt idx="5">
                  <c:v>21.222035606716283</c:v>
                </c:pt>
                <c:pt idx="6">
                  <c:v>46.189227368028135</c:v>
                </c:pt>
                <c:pt idx="7">
                  <c:v>46.189227368028135</c:v>
                </c:pt>
                <c:pt idx="8">
                  <c:v>46.35392727602521</c:v>
                </c:pt>
                <c:pt idx="9">
                  <c:v>69.066897835315515</c:v>
                </c:pt>
                <c:pt idx="10">
                  <c:v>69.066897835315515</c:v>
                </c:pt>
                <c:pt idx="11">
                  <c:v>69.270096037161764</c:v>
                </c:pt>
                <c:pt idx="12">
                  <c:v>87.983643456225266</c:v>
                </c:pt>
                <c:pt idx="13">
                  <c:v>87.983643456225266</c:v>
                </c:pt>
                <c:pt idx="14">
                  <c:v>88.182181166437161</c:v>
                </c:pt>
                <c:pt idx="15">
                  <c:v>106.76440392371885</c:v>
                </c:pt>
                <c:pt idx="16">
                  <c:v>106.76440392371885</c:v>
                </c:pt>
                <c:pt idx="17">
                  <c:v>106.95842847332402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8F-4122-8E10-A399898F257D}"/>
            </c:ext>
          </c:extLst>
        </c:ser>
        <c:ser>
          <c:idx val="8"/>
          <c:order val="8"/>
          <c:tx>
            <c:strRef>
              <c:f>'Gas Sales - Base Build Summary'!$A$17</c:f>
              <c:strCache>
                <c:ptCount val="1"/>
                <c:pt idx="0">
                  <c:v>Check Total </c:v>
                </c:pt>
              </c:strCache>
            </c:strRef>
          </c:tx>
          <c:invertIfNegative val="0"/>
          <c:cat>
            <c:multiLvlStrRef>
              <c:f>'Gas Sales - Base Build Summary'!$B$6:$AA$7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Summary'!$B$17:$S$17</c:f>
              <c:numCache>
                <c:formatCode>0</c:formatCode>
                <c:ptCount val="18"/>
                <c:pt idx="0">
                  <c:v>4.6109774071628653</c:v>
                </c:pt>
                <c:pt idx="1">
                  <c:v>4.6109774071628653</c:v>
                </c:pt>
                <c:pt idx="2">
                  <c:v>4.6318667643361797</c:v>
                </c:pt>
                <c:pt idx="3">
                  <c:v>21.139329931715892</c:v>
                </c:pt>
                <c:pt idx="4">
                  <c:v>21.139329931715892</c:v>
                </c:pt>
                <c:pt idx="5">
                  <c:v>36.222035606716283</c:v>
                </c:pt>
                <c:pt idx="6">
                  <c:v>46.189227368028135</c:v>
                </c:pt>
                <c:pt idx="7">
                  <c:v>46.189227368028135</c:v>
                </c:pt>
                <c:pt idx="8">
                  <c:v>61.35392727602521</c:v>
                </c:pt>
                <c:pt idx="9">
                  <c:v>69.066897835315515</c:v>
                </c:pt>
                <c:pt idx="10">
                  <c:v>69.066897835315515</c:v>
                </c:pt>
                <c:pt idx="11">
                  <c:v>84.270096037161764</c:v>
                </c:pt>
                <c:pt idx="12">
                  <c:v>87.983643456225266</c:v>
                </c:pt>
                <c:pt idx="13">
                  <c:v>87.983643456225266</c:v>
                </c:pt>
                <c:pt idx="14">
                  <c:v>154.18218116643715</c:v>
                </c:pt>
                <c:pt idx="15">
                  <c:v>106.76440392371885</c:v>
                </c:pt>
                <c:pt idx="16">
                  <c:v>106.76440392371885</c:v>
                </c:pt>
                <c:pt idx="17">
                  <c:v>181.95842847332403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8F-4122-8E10-A399898F2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6561408"/>
        <c:axId val="226567296"/>
      </c:barChart>
      <c:catAx>
        <c:axId val="226561408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0"/>
          <a:lstStyle/>
          <a:p>
            <a:pPr>
              <a:defRPr/>
            </a:pPr>
            <a:endParaRPr lang="en-US"/>
          </a:p>
        </c:txPr>
        <c:crossAx val="226567296"/>
        <c:crosses val="autoZero"/>
        <c:auto val="0"/>
        <c:lblAlgn val="ctr"/>
        <c:lblOffset val="100"/>
        <c:tickLblSkip val="1"/>
        <c:noMultiLvlLbl val="0"/>
      </c:catAx>
      <c:valAx>
        <c:axId val="226567296"/>
        <c:scaling>
          <c:orientation val="minMax"/>
        </c:scaling>
        <c:delete val="0"/>
        <c:axPos val="b"/>
        <c:majorGridlines/>
        <c:numFmt formatCode="0" sourceLinked="1"/>
        <c:majorTickMark val="out"/>
        <c:minorTickMark val="none"/>
        <c:tickLblPos val="nextTo"/>
        <c:crossAx val="226561408"/>
        <c:crosses val="max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Low Scenario No Carbon 2021 IRP -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0324608"/>
        <c:axId val="220326912"/>
      </c:barChart>
      <c:lineChart>
        <c:grouping val="standard"/>
        <c:varyColors val="0"/>
        <c:ser>
          <c:idx val="6"/>
          <c:order val="4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ser>
          <c:idx val="0"/>
          <c:order val="5"/>
          <c:tx>
            <c:strRef>
              <c:f>'L&amp;R Bal - LOW No Carbon'!$R$6</c:f>
              <c:strCache>
                <c:ptCount val="1"/>
                <c:pt idx="0">
                  <c:v>2021 IRP LOW Demand  (No Carbon) After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  <a:prstDash val="sysDash"/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 No Carbon'!$R$14:$R$33</c:f>
              <c:numCache>
                <c:formatCode>#,##0</c:formatCode>
                <c:ptCount val="20"/>
                <c:pt idx="0">
                  <c:v>947.82898879387665</c:v>
                </c:pt>
                <c:pt idx="1">
                  <c:v>948.75746809999862</c:v>
                </c:pt>
                <c:pt idx="2">
                  <c:v>950.83102507039064</c:v>
                </c:pt>
                <c:pt idx="3">
                  <c:v>951.67627198616049</c:v>
                </c:pt>
                <c:pt idx="4">
                  <c:v>956.27503993637276</c:v>
                </c:pt>
                <c:pt idx="5">
                  <c:v>962.67398630542982</c:v>
                </c:pt>
                <c:pt idx="6">
                  <c:v>966.15412524452449</c:v>
                </c:pt>
                <c:pt idx="7">
                  <c:v>967.09267750679226</c:v>
                </c:pt>
                <c:pt idx="8">
                  <c:v>969.56217749815448</c:v>
                </c:pt>
                <c:pt idx="9">
                  <c:v>973.63308794175828</c:v>
                </c:pt>
                <c:pt idx="10">
                  <c:v>978.9955507328059</c:v>
                </c:pt>
                <c:pt idx="11">
                  <c:v>980.93340869680264</c:v>
                </c:pt>
                <c:pt idx="12">
                  <c:v>986.39613259110672</c:v>
                </c:pt>
                <c:pt idx="13">
                  <c:v>988.61015746765315</c:v>
                </c:pt>
                <c:pt idx="14">
                  <c:v>997.69141067024634</c:v>
                </c:pt>
                <c:pt idx="15">
                  <c:v>999.72759424212802</c:v>
                </c:pt>
                <c:pt idx="16">
                  <c:v>1003.9607198506894</c:v>
                </c:pt>
                <c:pt idx="17">
                  <c:v>1006.8903555235833</c:v>
                </c:pt>
                <c:pt idx="18">
                  <c:v>1012.9634869994029</c:v>
                </c:pt>
                <c:pt idx="19">
                  <c:v>1016.6615232311805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324608"/>
        <c:axId val="220326912"/>
      </c:lineChart>
      <c:catAx>
        <c:axId val="220324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0326912"/>
        <c:crosses val="autoZero"/>
        <c:auto val="1"/>
        <c:lblAlgn val="ctr"/>
        <c:lblOffset val="100"/>
        <c:noMultiLvlLbl val="0"/>
      </c:catAx>
      <c:valAx>
        <c:axId val="220326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03246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75418649591878"/>
          <c:y val="0.62952959422270904"/>
          <c:w val="0.46006172305384901"/>
          <c:h val="0.16393931091442618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Low DSR Scenarios 2021 IRP - Compare DSR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51446607810387335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ser>
          <c:idx val="3"/>
          <c:order val="1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2"/>
          <c:order val="2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1"/>
          <c:order val="3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6294784"/>
        <c:axId val="223881088"/>
      </c:barChart>
      <c:lineChart>
        <c:grouping val="standard"/>
        <c:varyColors val="0"/>
        <c:ser>
          <c:idx val="6"/>
          <c:order val="4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ser>
          <c:idx val="0"/>
          <c:order val="5"/>
          <c:tx>
            <c:strRef>
              <c:f>'L&amp;R Bal - LOW'!$R$6</c:f>
              <c:strCache>
                <c:ptCount val="1"/>
                <c:pt idx="0">
                  <c:v>2021 IRP LOW Demand After DSR</c:v>
                </c:pt>
              </c:strCache>
            </c:strRef>
          </c:tx>
          <c:spPr>
            <a:ln w="38100">
              <a:solidFill>
                <a:srgbClr val="0070C0"/>
              </a:solidFill>
              <a:prstDash val="sysDash"/>
            </a:ln>
          </c:spPr>
          <c:marker>
            <c:spPr>
              <a:solidFill>
                <a:srgbClr val="0070C0"/>
              </a:solidFill>
              <a:ln w="38100">
                <a:solidFill>
                  <a:srgbClr val="0070C0"/>
                </a:solidFill>
                <a:prstDash val="sysDash"/>
              </a:ln>
            </c:spPr>
          </c:marker>
          <c:val>
            <c:numRef>
              <c:f>'L&amp;R Bal - LOW'!$R$14:$R$33</c:f>
              <c:numCache>
                <c:formatCode>#,##0</c:formatCode>
                <c:ptCount val="20"/>
                <c:pt idx="0">
                  <c:v>945.06031888426776</c:v>
                </c:pt>
                <c:pt idx="1">
                  <c:v>942.77065700164496</c:v>
                </c:pt>
                <c:pt idx="2">
                  <c:v>941.33263030397268</c:v>
                </c:pt>
                <c:pt idx="3">
                  <c:v>938.4001848475815</c:v>
                </c:pt>
                <c:pt idx="4">
                  <c:v>939.00343985832001</c:v>
                </c:pt>
                <c:pt idx="5">
                  <c:v>941.21324604806637</c:v>
                </c:pt>
                <c:pt idx="6">
                  <c:v>940.31430757573992</c:v>
                </c:pt>
                <c:pt idx="7">
                  <c:v>936.76453786139928</c:v>
                </c:pt>
                <c:pt idx="8">
                  <c:v>934.65246757125067</c:v>
                </c:pt>
                <c:pt idx="9">
                  <c:v>934.02131729045186</c:v>
                </c:pt>
                <c:pt idx="10">
                  <c:v>936.73807954197514</c:v>
                </c:pt>
                <c:pt idx="11">
                  <c:v>935.9695185911836</c:v>
                </c:pt>
                <c:pt idx="12">
                  <c:v>938.67222504366373</c:v>
                </c:pt>
                <c:pt idx="13">
                  <c:v>938.10365684360977</c:v>
                </c:pt>
                <c:pt idx="14">
                  <c:v>944.38104455117605</c:v>
                </c:pt>
                <c:pt idx="15">
                  <c:v>943.5926760267414</c:v>
                </c:pt>
                <c:pt idx="16">
                  <c:v>944.98633996062949</c:v>
                </c:pt>
                <c:pt idx="17">
                  <c:v>945.08363873177007</c:v>
                </c:pt>
                <c:pt idx="18">
                  <c:v>948.33465368570978</c:v>
                </c:pt>
                <c:pt idx="19">
                  <c:v>949.38472749409948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3D-4B05-9DD4-7B49AF4EDA2F}"/>
            </c:ext>
          </c:extLst>
        </c:ser>
        <c:ser>
          <c:idx val="7"/>
          <c:order val="6"/>
          <c:tx>
            <c:strRef>
              <c:f>'L&amp;R Bal - LOW No Carbon'!$R$6</c:f>
              <c:strCache>
                <c:ptCount val="1"/>
                <c:pt idx="0">
                  <c:v>2021 IRP LOW Demand  (No Carbon) After DSR</c:v>
                </c:pt>
              </c:strCache>
            </c:strRef>
          </c:tx>
          <c:spPr>
            <a:ln w="38100">
              <a:solidFill>
                <a:srgbClr val="0070C0"/>
              </a:solidFill>
              <a:prstDash val="sysDash"/>
            </a:ln>
          </c:spPr>
          <c:marker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</c:spPr>
          </c:marker>
          <c:val>
            <c:numRef>
              <c:f>'L&amp;R Bal - LOW No Carbon'!$R$14:$R$33</c:f>
              <c:numCache>
                <c:formatCode>#,##0</c:formatCode>
                <c:ptCount val="20"/>
                <c:pt idx="0">
                  <c:v>947.82898879387665</c:v>
                </c:pt>
                <c:pt idx="1">
                  <c:v>948.75746809999862</c:v>
                </c:pt>
                <c:pt idx="2">
                  <c:v>950.83102507039064</c:v>
                </c:pt>
                <c:pt idx="3">
                  <c:v>951.67627198616049</c:v>
                </c:pt>
                <c:pt idx="4">
                  <c:v>956.27503993637276</c:v>
                </c:pt>
                <c:pt idx="5">
                  <c:v>962.67398630542982</c:v>
                </c:pt>
                <c:pt idx="6">
                  <c:v>966.15412524452449</c:v>
                </c:pt>
                <c:pt idx="7">
                  <c:v>967.09267750679226</c:v>
                </c:pt>
                <c:pt idx="8">
                  <c:v>969.56217749815448</c:v>
                </c:pt>
                <c:pt idx="9">
                  <c:v>973.63308794175828</c:v>
                </c:pt>
                <c:pt idx="10">
                  <c:v>978.9955507328059</c:v>
                </c:pt>
                <c:pt idx="11">
                  <c:v>980.93340869680264</c:v>
                </c:pt>
                <c:pt idx="12">
                  <c:v>986.39613259110672</c:v>
                </c:pt>
                <c:pt idx="13">
                  <c:v>988.61015746765315</c:v>
                </c:pt>
                <c:pt idx="14">
                  <c:v>997.69141067024634</c:v>
                </c:pt>
                <c:pt idx="15">
                  <c:v>999.72759424212802</c:v>
                </c:pt>
                <c:pt idx="16">
                  <c:v>1003.9607198506894</c:v>
                </c:pt>
                <c:pt idx="17">
                  <c:v>1006.8903555235833</c:v>
                </c:pt>
                <c:pt idx="18">
                  <c:v>1012.9634869994029</c:v>
                </c:pt>
                <c:pt idx="19">
                  <c:v>1016.6615232311805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3D-4B05-9DD4-7B49AF4ED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294784"/>
        <c:axId val="223881088"/>
      </c:lineChart>
      <c:catAx>
        <c:axId val="226294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294272458852783"/>
              <c:y val="0.7483563190964766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3881088"/>
        <c:crosses val="autoZero"/>
        <c:auto val="1"/>
        <c:lblAlgn val="ctr"/>
        <c:lblOffset val="100"/>
        <c:noMultiLvlLbl val="0"/>
      </c:catAx>
      <c:valAx>
        <c:axId val="223881088"/>
        <c:scaling>
          <c:orientation val="minMax"/>
          <c:min val="9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2262947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16057205080764"/>
          <c:y val="0.80990932951562877"/>
          <c:w val="0.87839427949192372"/>
          <c:h val="0.15389071820567882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Sensitivities 2021 IRP -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5144660781038733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6693888"/>
        <c:axId val="226696192"/>
      </c:barChart>
      <c:lineChart>
        <c:grouping val="standard"/>
        <c:varyColors val="0"/>
        <c:ser>
          <c:idx val="6"/>
          <c:order val="4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ser>
          <c:idx val="0"/>
          <c:order val="5"/>
          <c:tx>
            <c:strRef>
              <c:f>'L&amp;R Bal - Mid'!$R$6</c:f>
              <c:strCache>
                <c:ptCount val="1"/>
                <c:pt idx="0">
                  <c:v>2021 IRP Mid Demand After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  <a:prstDash val="sysDash"/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Mid'!$R$14:$R$33</c:f>
              <c:numCache>
                <c:formatCode>#,##0</c:formatCode>
                <c:ptCount val="20"/>
                <c:pt idx="0">
                  <c:v>961.94952259283718</c:v>
                </c:pt>
                <c:pt idx="1">
                  <c:v>966.5941725923218</c:v>
                </c:pt>
                <c:pt idx="2">
                  <c:v>972.47343121526455</c:v>
                </c:pt>
                <c:pt idx="3">
                  <c:v>974.19983006828409</c:v>
                </c:pt>
                <c:pt idx="4">
                  <c:v>976.33186525971485</c:v>
                </c:pt>
                <c:pt idx="5">
                  <c:v>978.05182634162111</c:v>
                </c:pt>
                <c:pt idx="6">
                  <c:v>981.19703053621095</c:v>
                </c:pt>
                <c:pt idx="7">
                  <c:v>981.12571263197162</c:v>
                </c:pt>
                <c:pt idx="8">
                  <c:v>982.63219255722242</c:v>
                </c:pt>
                <c:pt idx="9">
                  <c:v>984.44608817618894</c:v>
                </c:pt>
                <c:pt idx="10">
                  <c:v>990.24700911927175</c:v>
                </c:pt>
                <c:pt idx="11">
                  <c:v>992.52213216468454</c:v>
                </c:pt>
                <c:pt idx="12">
                  <c:v>996.32225931902235</c:v>
                </c:pt>
                <c:pt idx="13">
                  <c:v>1000.1875951343367</c:v>
                </c:pt>
                <c:pt idx="14">
                  <c:v>1005.6945048534951</c:v>
                </c:pt>
                <c:pt idx="15">
                  <c:v>1007.5323065437747</c:v>
                </c:pt>
                <c:pt idx="16">
                  <c:v>1011.0284337603146</c:v>
                </c:pt>
                <c:pt idx="17">
                  <c:v>1015.0448369303227</c:v>
                </c:pt>
                <c:pt idx="18">
                  <c:v>1020.7932542059182</c:v>
                </c:pt>
                <c:pt idx="19">
                  <c:v>1023.3188160762811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75-4E8C-A663-B72530F958E9}"/>
            </c:ext>
          </c:extLst>
        </c:ser>
        <c:ser>
          <c:idx val="5"/>
          <c:order val="6"/>
          <c:tx>
            <c:strRef>
              <c:f>'L&amp;R Bal - AR5'!$R$6</c:f>
              <c:strCache>
                <c:ptCount val="1"/>
                <c:pt idx="0">
                  <c:v>2021 IRP Mid with AR5</c:v>
                </c:pt>
              </c:strCache>
            </c:strRef>
          </c:tx>
          <c:val>
            <c:numRef>
              <c:f>'L&amp;R Bal - AR5'!$R$14:$R$33</c:f>
              <c:numCache>
                <c:formatCode>#,##0</c:formatCode>
                <c:ptCount val="20"/>
                <c:pt idx="0">
                  <c:v>961.94952259283718</c:v>
                </c:pt>
                <c:pt idx="1">
                  <c:v>966.5941725923218</c:v>
                </c:pt>
                <c:pt idx="2">
                  <c:v>972.47343121526455</c:v>
                </c:pt>
                <c:pt idx="3">
                  <c:v>974.19983006828409</c:v>
                </c:pt>
                <c:pt idx="4">
                  <c:v>976.33186525971485</c:v>
                </c:pt>
                <c:pt idx="5">
                  <c:v>978.05182634162111</c:v>
                </c:pt>
                <c:pt idx="6">
                  <c:v>981.19703053621095</c:v>
                </c:pt>
                <c:pt idx="7">
                  <c:v>981.12571263197162</c:v>
                </c:pt>
                <c:pt idx="8">
                  <c:v>982.63219255722242</c:v>
                </c:pt>
                <c:pt idx="9">
                  <c:v>984.44608817618894</c:v>
                </c:pt>
                <c:pt idx="10">
                  <c:v>990.24700911927175</c:v>
                </c:pt>
                <c:pt idx="11">
                  <c:v>992.52213216468454</c:v>
                </c:pt>
                <c:pt idx="12">
                  <c:v>996.32225931902235</c:v>
                </c:pt>
                <c:pt idx="13">
                  <c:v>1000.1875951343367</c:v>
                </c:pt>
                <c:pt idx="14">
                  <c:v>1005.6945048534951</c:v>
                </c:pt>
                <c:pt idx="15">
                  <c:v>1007.5323065437747</c:v>
                </c:pt>
                <c:pt idx="16">
                  <c:v>1011.0284337603146</c:v>
                </c:pt>
                <c:pt idx="17">
                  <c:v>1015.0448369303227</c:v>
                </c:pt>
                <c:pt idx="18">
                  <c:v>1020.7932542059182</c:v>
                </c:pt>
                <c:pt idx="19">
                  <c:v>1023.3188160762811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54-4716-9931-84CC793E8F73}"/>
            </c:ext>
          </c:extLst>
        </c:ser>
        <c:ser>
          <c:idx val="7"/>
          <c:order val="7"/>
          <c:tx>
            <c:strRef>
              <c:f>'L&amp;R Bal - 6 Yr Ramp'!$R$6</c:f>
              <c:strCache>
                <c:ptCount val="1"/>
                <c:pt idx="0">
                  <c:v>2021 IRP Mid w 6 Year Ramp</c:v>
                </c:pt>
              </c:strCache>
            </c:strRef>
          </c:tx>
          <c:spPr>
            <a:ln w="38100">
              <a:solidFill>
                <a:schemeClr val="tx2">
                  <a:lumMod val="75000"/>
                </a:schemeClr>
              </a:solidFill>
            </a:ln>
          </c:spPr>
          <c:marker>
            <c:spPr>
              <a:solidFill>
                <a:schemeClr val="bg2">
                  <a:lumMod val="25000"/>
                </a:schemeClr>
              </a:solidFill>
              <a:ln w="38100">
                <a:solidFill>
                  <a:schemeClr val="tx2">
                    <a:lumMod val="75000"/>
                  </a:schemeClr>
                </a:solidFill>
              </a:ln>
            </c:spPr>
          </c:marker>
          <c:val>
            <c:numRef>
              <c:f>'L&amp;R Bal - 6 Yr Ramp'!$R$14:$R$33</c:f>
              <c:numCache>
                <c:formatCode>#,##0</c:formatCode>
                <c:ptCount val="20"/>
                <c:pt idx="0">
                  <c:v>960.05764451087634</c:v>
                </c:pt>
                <c:pt idx="1">
                  <c:v>962.8126518847713</c:v>
                </c:pt>
                <c:pt idx="2">
                  <c:v>966.80445092615366</c:v>
                </c:pt>
                <c:pt idx="3">
                  <c:v>966.64587607369435</c:v>
                </c:pt>
                <c:pt idx="4">
                  <c:v>966.89583607892007</c:v>
                </c:pt>
                <c:pt idx="5">
                  <c:v>966.73670378697693</c:v>
                </c:pt>
                <c:pt idx="6">
                  <c:v>972.67485576248021</c:v>
                </c:pt>
                <c:pt idx="7">
                  <c:v>975.39252098211375</c:v>
                </c:pt>
                <c:pt idx="8">
                  <c:v>979.68440598372638</c:v>
                </c:pt>
                <c:pt idx="9">
                  <c:v>984.27979206121552</c:v>
                </c:pt>
                <c:pt idx="10">
                  <c:v>990.08051099321494</c:v>
                </c:pt>
                <c:pt idx="11">
                  <c:v>992.35543207317346</c:v>
                </c:pt>
                <c:pt idx="12">
                  <c:v>996.15536144563293</c:v>
                </c:pt>
                <c:pt idx="13">
                  <c:v>1000.0205135778182</c:v>
                </c:pt>
                <c:pt idx="14">
                  <c:v>1005.5272313595615</c:v>
                </c:pt>
                <c:pt idx="15">
                  <c:v>1007.3648414067733</c:v>
                </c:pt>
                <c:pt idx="16">
                  <c:v>1010.8607803684204</c:v>
                </c:pt>
                <c:pt idx="17">
                  <c:v>1014.8769962080502</c:v>
                </c:pt>
                <c:pt idx="18">
                  <c:v>1020.6252265971665</c:v>
                </c:pt>
                <c:pt idx="19">
                  <c:v>1023.1506041581947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54-4716-9931-84CC793E8F73}"/>
            </c:ext>
          </c:extLst>
        </c:ser>
        <c:ser>
          <c:idx val="8"/>
          <c:order val="8"/>
          <c:tx>
            <c:strRef>
              <c:f>'L&amp;R Bal - SDR'!$R$6</c:f>
              <c:strCache>
                <c:ptCount val="1"/>
                <c:pt idx="0">
                  <c:v>2021 IRP Mid with SDR </c:v>
                </c:pt>
              </c:strCache>
            </c:strRef>
          </c:tx>
          <c:spPr>
            <a:ln w="38100">
              <a:solidFill>
                <a:schemeClr val="accent1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1">
                  <a:lumMod val="60000"/>
                  <a:lumOff val="40000"/>
                </a:schemeClr>
              </a:solidFill>
              <a:ln w="38100"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</c:marker>
          <c:val>
            <c:numRef>
              <c:f>'L&amp;R Bal - SDR'!$R$14:$R$33</c:f>
              <c:numCache>
                <c:formatCode>#,##0</c:formatCode>
                <c:ptCount val="20"/>
                <c:pt idx="0">
                  <c:v>960.9742254484047</c:v>
                </c:pt>
                <c:pt idx="1">
                  <c:v>964.64709632991423</c:v>
                </c:pt>
                <c:pt idx="2">
                  <c:v>969.55226123133491</c:v>
                </c:pt>
                <c:pt idx="3">
                  <c:v>970.30258923924623</c:v>
                </c:pt>
                <c:pt idx="4">
                  <c:v>971.45040734923623</c:v>
                </c:pt>
                <c:pt idx="5">
                  <c:v>972.1657011078255</c:v>
                </c:pt>
                <c:pt idx="6">
                  <c:v>974.28540902628788</c:v>
                </c:pt>
                <c:pt idx="7">
                  <c:v>973.1535266840599</c:v>
                </c:pt>
                <c:pt idx="8">
                  <c:v>973.55708737668408</c:v>
                </c:pt>
                <c:pt idx="9">
                  <c:v>974.2225049594856</c:v>
                </c:pt>
                <c:pt idx="10">
                  <c:v>979.77239151649883</c:v>
                </c:pt>
                <c:pt idx="11">
                  <c:v>981.73803838266417</c:v>
                </c:pt>
                <c:pt idx="12">
                  <c:v>985.17029080895463</c:v>
                </c:pt>
                <c:pt idx="13">
                  <c:v>988.6162654561557</c:v>
                </c:pt>
                <c:pt idx="14">
                  <c:v>993.65300700004957</c:v>
                </c:pt>
                <c:pt idx="15">
                  <c:v>994.98807762450838</c:v>
                </c:pt>
                <c:pt idx="16">
                  <c:v>997.95443542722739</c:v>
                </c:pt>
                <c:pt idx="17">
                  <c:v>1001.4196937487857</c:v>
                </c:pt>
                <c:pt idx="18">
                  <c:v>1006.6072435385688</c:v>
                </c:pt>
                <c:pt idx="19">
                  <c:v>1008.562329555141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54-4716-9931-84CC793E8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693888"/>
        <c:axId val="226696192"/>
      </c:lineChart>
      <c:catAx>
        <c:axId val="226693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294272458852783"/>
              <c:y val="0.7483563190964766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6696192"/>
        <c:crosses val="autoZero"/>
        <c:auto val="1"/>
        <c:lblAlgn val="ctr"/>
        <c:lblOffset val="100"/>
        <c:noMultiLvlLbl val="0"/>
      </c:catAx>
      <c:valAx>
        <c:axId val="226696192"/>
        <c:scaling>
          <c:orientation val="minMax"/>
          <c:min val="95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66938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7440571995374574"/>
          <c:y val="0.80182852143482064"/>
          <c:w val="0.73625511038052383"/>
          <c:h val="0.18605026644396724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'Total System Cost'!$B$1</c:f>
              <c:strCache>
                <c:ptCount val="1"/>
                <c:pt idx="0">
                  <c:v>Mid with DSR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'Total System Cost'!$J$78:$J$97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Cost'!$G$3:$G$22</c:f>
              <c:numCache>
                <c:formatCode>_(* #,##0.00_);_(* \(#,##0.00\);_(* "-"??_);_(@_)</c:formatCode>
                <c:ptCount val="20"/>
                <c:pt idx="0">
                  <c:v>9.5215697846465712</c:v>
                </c:pt>
                <c:pt idx="1">
                  <c:v>9.139664411091502</c:v>
                </c:pt>
                <c:pt idx="2">
                  <c:v>9.36251597497861</c:v>
                </c:pt>
                <c:pt idx="3">
                  <c:v>9.6769439827193278</c:v>
                </c:pt>
                <c:pt idx="4">
                  <c:v>10.266179873735554</c:v>
                </c:pt>
                <c:pt idx="5">
                  <c:v>10.494376281115011</c:v>
                </c:pt>
                <c:pt idx="6">
                  <c:v>11.046502953740404</c:v>
                </c:pt>
                <c:pt idx="7">
                  <c:v>11.125117683207337</c:v>
                </c:pt>
                <c:pt idx="8">
                  <c:v>11.899459796388202</c:v>
                </c:pt>
                <c:pt idx="9">
                  <c:v>12.292896497071292</c:v>
                </c:pt>
                <c:pt idx="10">
                  <c:v>13.094398470367887</c:v>
                </c:pt>
                <c:pt idx="11">
                  <c:v>13.10530951856833</c:v>
                </c:pt>
                <c:pt idx="12">
                  <c:v>14.002825580762208</c:v>
                </c:pt>
                <c:pt idx="13">
                  <c:v>14.586817193084734</c:v>
                </c:pt>
                <c:pt idx="14">
                  <c:v>15.25830588290942</c:v>
                </c:pt>
                <c:pt idx="15">
                  <c:v>16.017937242862281</c:v>
                </c:pt>
                <c:pt idx="16">
                  <c:v>16.33772984985762</c:v>
                </c:pt>
                <c:pt idx="17">
                  <c:v>17.062540559192694</c:v>
                </c:pt>
                <c:pt idx="18">
                  <c:v>17.822835831441967</c:v>
                </c:pt>
                <c:pt idx="19">
                  <c:v>18.639726935408735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B4-4570-B75F-1C781A838969}"/>
            </c:ext>
          </c:extLst>
        </c:ser>
        <c:ser>
          <c:idx val="0"/>
          <c:order val="1"/>
          <c:tx>
            <c:strRef>
              <c:f>'Total System Cost'!$J$50</c:f>
              <c:strCache>
                <c:ptCount val="1"/>
                <c:pt idx="0">
                  <c:v>High w DSR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'Total System Cost'!$J$78:$J$97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Cost'!$O$52:$O$71</c:f>
              <c:numCache>
                <c:formatCode>_(* #,##0.00_);_(* \(#,##0.00\);_(* "-"??_);_(@_)</c:formatCode>
                <c:ptCount val="20"/>
                <c:pt idx="0">
                  <c:v>9.6854386213227741</c:v>
                </c:pt>
                <c:pt idx="1">
                  <c:v>9.1738202373733824</c:v>
                </c:pt>
                <c:pt idx="2">
                  <c:v>9.2035218453195622</c:v>
                </c:pt>
                <c:pt idx="3">
                  <c:v>9.5740510670905632</c:v>
                </c:pt>
                <c:pt idx="4">
                  <c:v>9.9893423184053578</c:v>
                </c:pt>
                <c:pt idx="5">
                  <c:v>10.47760334093393</c:v>
                </c:pt>
                <c:pt idx="6">
                  <c:v>11.01174384407795</c:v>
                </c:pt>
                <c:pt idx="7">
                  <c:v>11.524987547106976</c:v>
                </c:pt>
                <c:pt idx="8">
                  <c:v>11.933199224852713</c:v>
                </c:pt>
                <c:pt idx="9">
                  <c:v>12.339149125016894</c:v>
                </c:pt>
                <c:pt idx="10">
                  <c:v>12.80361070724874</c:v>
                </c:pt>
                <c:pt idx="11">
                  <c:v>13.44250943528918</c:v>
                </c:pt>
                <c:pt idx="12">
                  <c:v>14.148407124322317</c:v>
                </c:pt>
                <c:pt idx="13">
                  <c:v>14.738105248114225</c:v>
                </c:pt>
                <c:pt idx="14">
                  <c:v>15.585518062082963</c:v>
                </c:pt>
                <c:pt idx="15">
                  <c:v>16.199773696706604</c:v>
                </c:pt>
                <c:pt idx="16">
                  <c:v>16.873393854915868</c:v>
                </c:pt>
                <c:pt idx="17">
                  <c:v>17.860305305913222</c:v>
                </c:pt>
                <c:pt idx="18">
                  <c:v>18.883656547027933</c:v>
                </c:pt>
                <c:pt idx="19">
                  <c:v>19.607909223115517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B4-4570-B75F-1C781A838969}"/>
            </c:ext>
          </c:extLst>
        </c:ser>
        <c:ser>
          <c:idx val="1"/>
          <c:order val="2"/>
          <c:tx>
            <c:strRef>
              <c:f>'Total System Cost'!$J$76</c:f>
              <c:strCache>
                <c:ptCount val="1"/>
                <c:pt idx="0">
                  <c:v>Low w DSR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'Total System Cost'!$J$78:$J$97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Cost'!$O$78:$O$97</c:f>
              <c:numCache>
                <c:formatCode>_(* #,##0.00_);_(* \(#,##0.00\);_(* "-"??_);_(@_)</c:formatCode>
                <c:ptCount val="20"/>
                <c:pt idx="0">
                  <c:v>10.034116477640449</c:v>
                </c:pt>
                <c:pt idx="1">
                  <c:v>9.4801226338955011</c:v>
                </c:pt>
                <c:pt idx="2">
                  <c:v>9.7515416631575018</c:v>
                </c:pt>
                <c:pt idx="3">
                  <c:v>10.101104730200165</c:v>
                </c:pt>
                <c:pt idx="4">
                  <c:v>10.465444162580001</c:v>
                </c:pt>
                <c:pt idx="5">
                  <c:v>10.734600501141532</c:v>
                </c:pt>
                <c:pt idx="6">
                  <c:v>11.056575370838466</c:v>
                </c:pt>
                <c:pt idx="7">
                  <c:v>11.430654621212005</c:v>
                </c:pt>
                <c:pt idx="8">
                  <c:v>11.829628109638136</c:v>
                </c:pt>
                <c:pt idx="9">
                  <c:v>12.290634864141252</c:v>
                </c:pt>
                <c:pt idx="10">
                  <c:v>12.718997865247283</c:v>
                </c:pt>
                <c:pt idx="11">
                  <c:v>13.419298626733584</c:v>
                </c:pt>
                <c:pt idx="12">
                  <c:v>14.016164144077583</c:v>
                </c:pt>
                <c:pt idx="13">
                  <c:v>14.570349152570827</c:v>
                </c:pt>
                <c:pt idx="14">
                  <c:v>15.158255418935308</c:v>
                </c:pt>
                <c:pt idx="15">
                  <c:v>15.900635085433549</c:v>
                </c:pt>
                <c:pt idx="16">
                  <c:v>16.208482173593694</c:v>
                </c:pt>
                <c:pt idx="17">
                  <c:v>16.874420898299967</c:v>
                </c:pt>
                <c:pt idx="18">
                  <c:v>17.684909232746644</c:v>
                </c:pt>
                <c:pt idx="19">
                  <c:v>17.864075884183631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B4-4570-B75F-1C781A838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748288"/>
        <c:axId val="226762752"/>
      </c:lineChart>
      <c:catAx>
        <c:axId val="2267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762752"/>
        <c:crosses val="autoZero"/>
        <c:auto val="1"/>
        <c:lblAlgn val="ctr"/>
        <c:lblOffset val="100"/>
        <c:noMultiLvlLbl val="0"/>
      </c:catAx>
      <c:valAx>
        <c:axId val="22676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74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'Total System Cost'!$B$1</c:f>
              <c:strCache>
                <c:ptCount val="1"/>
                <c:pt idx="0">
                  <c:v>Mid with DSR</c:v>
                </c:pt>
              </c:strCache>
            </c:strRef>
          </c:tx>
          <c:spPr>
            <a:ln w="38100"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chemeClr val="accent2"/>
                </a:solidFill>
              </a:ln>
              <a:effectLst/>
            </c:spPr>
          </c:marker>
          <c:cat>
            <c:numRef>
              <c:f>'Total System Cost'!$B$3:$B$22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Cost'!$D$3:$D$22</c:f>
              <c:numCache>
                <c:formatCode>"$"#,##0</c:formatCode>
                <c:ptCount val="20"/>
                <c:pt idx="0">
                  <c:v>893748.00390625</c:v>
                </c:pt>
                <c:pt idx="1">
                  <c:v>865653.7890625</c:v>
                </c:pt>
                <c:pt idx="2">
                  <c:v>899203.16015625</c:v>
                </c:pt>
                <c:pt idx="3">
                  <c:v>924912.1953125</c:v>
                </c:pt>
                <c:pt idx="4">
                  <c:v>976393.6171875</c:v>
                </c:pt>
                <c:pt idx="5">
                  <c:v>1000868.90625</c:v>
                </c:pt>
                <c:pt idx="6">
                  <c:v>1060682.97265625</c:v>
                </c:pt>
                <c:pt idx="7">
                  <c:v>1057992.71875</c:v>
                </c:pt>
                <c:pt idx="8">
                  <c:v>1126446.0234375</c:v>
                </c:pt>
                <c:pt idx="9">
                  <c:v>1171413.7109375</c:v>
                </c:pt>
                <c:pt idx="10">
                  <c:v>1274384.1328125</c:v>
                </c:pt>
                <c:pt idx="11">
                  <c:v>1269303.05078125</c:v>
                </c:pt>
                <c:pt idx="12">
                  <c:v>1355021.25</c:v>
                </c:pt>
                <c:pt idx="13">
                  <c:v>1425113.78125</c:v>
                </c:pt>
                <c:pt idx="14">
                  <c:v>1508947.2578125</c:v>
                </c:pt>
                <c:pt idx="15">
                  <c:v>1576311.8828125</c:v>
                </c:pt>
                <c:pt idx="16">
                  <c:v>1604347.4375</c:v>
                </c:pt>
                <c:pt idx="17">
                  <c:v>1693229.453125</c:v>
                </c:pt>
                <c:pt idx="18">
                  <c:v>1792920.9609375</c:v>
                </c:pt>
                <c:pt idx="19">
                  <c:v>1876688.6484375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E-4FAB-A216-CDF90E1635B5}"/>
            </c:ext>
          </c:extLst>
        </c:ser>
        <c:ser>
          <c:idx val="0"/>
          <c:order val="1"/>
          <c:tx>
            <c:strRef>
              <c:f>'Total System Cost'!$B$25</c:f>
              <c:strCache>
                <c:ptCount val="1"/>
                <c:pt idx="0">
                  <c:v>Mid No DSR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'Total System Cost'!$B$3:$B$22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Cost'!$C$27:$C$46</c:f>
              <c:numCache>
                <c:formatCode>"$"#,##0</c:formatCode>
                <c:ptCount val="20"/>
                <c:pt idx="0">
                  <c:v>896201.734375</c:v>
                </c:pt>
                <c:pt idx="1">
                  <c:v>872569.94140625</c:v>
                </c:pt>
                <c:pt idx="2">
                  <c:v>911011.74609375</c:v>
                </c:pt>
                <c:pt idx="3">
                  <c:v>942263.0546875</c:v>
                </c:pt>
                <c:pt idx="4">
                  <c:v>995086.30078125</c:v>
                </c:pt>
                <c:pt idx="5">
                  <c:v>1032674.12109375</c:v>
                </c:pt>
                <c:pt idx="6">
                  <c:v>1096882.56640625</c:v>
                </c:pt>
                <c:pt idx="7">
                  <c:v>1119032.13671875</c:v>
                </c:pt>
                <c:pt idx="8">
                  <c:v>1187758.9375</c:v>
                </c:pt>
                <c:pt idx="9">
                  <c:v>1244409.6484375</c:v>
                </c:pt>
                <c:pt idx="10">
                  <c:v>1341964.6015625</c:v>
                </c:pt>
                <c:pt idx="11">
                  <c:v>1382315.3984375</c:v>
                </c:pt>
                <c:pt idx="12">
                  <c:v>1463020.375</c:v>
                </c:pt>
                <c:pt idx="13">
                  <c:v>1547048.6796875</c:v>
                </c:pt>
                <c:pt idx="14">
                  <c:v>1648154.8359375</c:v>
                </c:pt>
                <c:pt idx="15">
                  <c:v>1719495.359375</c:v>
                </c:pt>
                <c:pt idx="16">
                  <c:v>1763971.515625</c:v>
                </c:pt>
                <c:pt idx="17">
                  <c:v>1866576.1171875</c:v>
                </c:pt>
                <c:pt idx="18">
                  <c:v>1984350.84375</c:v>
                </c:pt>
                <c:pt idx="19">
                  <c:v>2098614.3125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E-4FAB-A216-CDF90E1635B5}"/>
            </c:ext>
          </c:extLst>
        </c:ser>
        <c:ser>
          <c:idx val="2"/>
          <c:order val="2"/>
          <c:tx>
            <c:strRef>
              <c:f>'Total System Cost'!$J$25</c:f>
              <c:strCache>
                <c:ptCount val="1"/>
                <c:pt idx="0">
                  <c:v>High</c:v>
                </c:pt>
              </c:strCache>
            </c:strRef>
          </c:tx>
          <c:spPr>
            <a:ln w="3810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38100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val>
            <c:numRef>
              <c:f>'Total System Cost'!$K$27:$K$46</c:f>
              <c:numCache>
                <c:formatCode>_("$"* #,##0_);_("$"* \(#,##0\);_("$"* "-"??_);_(@_)</c:formatCode>
                <c:ptCount val="20"/>
                <c:pt idx="0">
                  <c:v>1062047.09375</c:v>
                </c:pt>
                <c:pt idx="1">
                  <c:v>1023363.0390625</c:v>
                </c:pt>
                <c:pt idx="2">
                  <c:v>1064351.04296875</c:v>
                </c:pt>
                <c:pt idx="3">
                  <c:v>1116587.84375</c:v>
                </c:pt>
                <c:pt idx="4">
                  <c:v>1167254.4609375</c:v>
                </c:pt>
                <c:pt idx="5">
                  <c:v>1233985.0859375</c:v>
                </c:pt>
                <c:pt idx="6">
                  <c:v>1320008.046875</c:v>
                </c:pt>
                <c:pt idx="7">
                  <c:v>1377914.390625</c:v>
                </c:pt>
                <c:pt idx="8">
                  <c:v>1428913.671875</c:v>
                </c:pt>
                <c:pt idx="9">
                  <c:v>1497198.7421875</c:v>
                </c:pt>
                <c:pt idx="10">
                  <c:v>1581273.8046875</c:v>
                </c:pt>
                <c:pt idx="11">
                  <c:v>1658182.4140625</c:v>
                </c:pt>
                <c:pt idx="12">
                  <c:v>1731595.8671875</c:v>
                </c:pt>
                <c:pt idx="13">
                  <c:v>1828956.7734375</c:v>
                </c:pt>
                <c:pt idx="14">
                  <c:v>1974921.5078125</c:v>
                </c:pt>
                <c:pt idx="15">
                  <c:v>2052798.7421875</c:v>
                </c:pt>
                <c:pt idx="16">
                  <c:v>2150558.609375</c:v>
                </c:pt>
                <c:pt idx="17">
                  <c:v>2303459.109375</c:v>
                </c:pt>
                <c:pt idx="18">
                  <c:v>2482938.5078125</c:v>
                </c:pt>
                <c:pt idx="19">
                  <c:v>2584798.3125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E-4FAB-A216-CDF90E1635B5}"/>
            </c:ext>
          </c:extLst>
        </c:ser>
        <c:ser>
          <c:idx val="4"/>
          <c:order val="3"/>
          <c:tx>
            <c:strRef>
              <c:f>'Total System Cost'!$B$50</c:f>
              <c:strCache>
                <c:ptCount val="1"/>
                <c:pt idx="0">
                  <c:v>Mid No Carbon</c:v>
                </c:pt>
              </c:strCache>
            </c:strRef>
          </c:tx>
          <c:spPr>
            <a:ln w="28575"/>
          </c:spPr>
          <c:marker>
            <c:spPr>
              <a:ln w="28575"/>
            </c:spPr>
          </c:marker>
          <c:val>
            <c:numRef>
              <c:f>'Total System Cost'!$C$52:$C$71</c:f>
              <c:numCache>
                <c:formatCode>_("$"* #,##0_);_("$"* \(#,##0\);_("$"* "-"??_);_(@_)</c:formatCode>
                <c:ptCount val="20"/>
                <c:pt idx="0">
                  <c:v>342217.775390625</c:v>
                </c:pt>
                <c:pt idx="1">
                  <c:v>315632.55078125</c:v>
                </c:pt>
                <c:pt idx="2">
                  <c:v>319207.873046875</c:v>
                </c:pt>
                <c:pt idx="3">
                  <c:v>314083.380859375</c:v>
                </c:pt>
                <c:pt idx="4">
                  <c:v>315828.5546875</c:v>
                </c:pt>
                <c:pt idx="5">
                  <c:v>341014.814453125</c:v>
                </c:pt>
                <c:pt idx="6">
                  <c:v>379036.583984375</c:v>
                </c:pt>
                <c:pt idx="7">
                  <c:v>384046.357421875</c:v>
                </c:pt>
                <c:pt idx="8">
                  <c:v>392893.48046875</c:v>
                </c:pt>
                <c:pt idx="9">
                  <c:v>413902.341796875</c:v>
                </c:pt>
                <c:pt idx="10">
                  <c:v>439653.30078125</c:v>
                </c:pt>
                <c:pt idx="11">
                  <c:v>480421.130859375</c:v>
                </c:pt>
                <c:pt idx="12">
                  <c:v>500151.43359375</c:v>
                </c:pt>
                <c:pt idx="13">
                  <c:v>530709.509765625</c:v>
                </c:pt>
                <c:pt idx="14">
                  <c:v>571566.169921875</c:v>
                </c:pt>
                <c:pt idx="15">
                  <c:v>587560.05078125</c:v>
                </c:pt>
                <c:pt idx="16">
                  <c:v>605259.552734375</c:v>
                </c:pt>
                <c:pt idx="17">
                  <c:v>635372.15625</c:v>
                </c:pt>
                <c:pt idx="18">
                  <c:v>693628.595703125</c:v>
                </c:pt>
                <c:pt idx="19">
                  <c:v>733754.08203125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F3-40CA-A33F-7D2FAE9DB8F6}"/>
            </c:ext>
          </c:extLst>
        </c:ser>
        <c:ser>
          <c:idx val="3"/>
          <c:order val="4"/>
          <c:tx>
            <c:strRef>
              <c:f>'Total System Cost'!$J$76</c:f>
              <c:strCache>
                <c:ptCount val="1"/>
                <c:pt idx="0">
                  <c:v>Low w DSR</c:v>
                </c:pt>
              </c:strCache>
            </c:strRef>
          </c:tx>
          <c:spPr>
            <a:ln w="28575"/>
          </c:spPr>
          <c:marker>
            <c:spPr>
              <a:ln w="28575"/>
            </c:spPr>
          </c:marker>
          <c:val>
            <c:numRef>
              <c:f>'Total System Cost'!$K$78:$K$97</c:f>
              <c:numCache>
                <c:formatCode>"$"#,##0</c:formatCode>
                <c:ptCount val="20"/>
                <c:pt idx="0">
                  <c:v>814754.0078125</c:v>
                </c:pt>
                <c:pt idx="1">
                  <c:v>766988.8125</c:v>
                </c:pt>
                <c:pt idx="2">
                  <c:v>780860.1328125</c:v>
                </c:pt>
                <c:pt idx="3">
                  <c:v>789186.15625</c:v>
                </c:pt>
                <c:pt idx="4">
                  <c:v>804121.78125</c:v>
                </c:pt>
                <c:pt idx="5">
                  <c:v>822904.41015625</c:v>
                </c:pt>
                <c:pt idx="6">
                  <c:v>849418.9765625</c:v>
                </c:pt>
                <c:pt idx="7">
                  <c:v>858630.28125</c:v>
                </c:pt>
                <c:pt idx="8">
                  <c:v>875998.41796875</c:v>
                </c:pt>
                <c:pt idx="9">
                  <c:v>911032.4140625</c:v>
                </c:pt>
                <c:pt idx="10">
                  <c:v>951986.34765625</c:v>
                </c:pt>
                <c:pt idx="11">
                  <c:v>988396.18359375</c:v>
                </c:pt>
                <c:pt idx="12">
                  <c:v>1025375.4140625</c:v>
                </c:pt>
                <c:pt idx="13">
                  <c:v>1071259.84375</c:v>
                </c:pt>
                <c:pt idx="14">
                  <c:v>1129574.24609375</c:v>
                </c:pt>
                <c:pt idx="15">
                  <c:v>1164285.8046875</c:v>
                </c:pt>
                <c:pt idx="16">
                  <c:v>1176225.62109375</c:v>
                </c:pt>
                <c:pt idx="17">
                  <c:v>1229806.75</c:v>
                </c:pt>
                <c:pt idx="18">
                  <c:v>1302263.9609375</c:v>
                </c:pt>
                <c:pt idx="19">
                  <c:v>1301309.83203125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CB-4B5A-8CB3-90A7AE252382}"/>
            </c:ext>
          </c:extLst>
        </c:ser>
        <c:ser>
          <c:idx val="5"/>
          <c:order val="5"/>
          <c:tx>
            <c:strRef>
              <c:f>'Total System Cost'!$Q$50</c:f>
              <c:strCache>
                <c:ptCount val="1"/>
                <c:pt idx="0">
                  <c:v>Load Temp Sensitivity w DSR</c:v>
                </c:pt>
              </c:strCache>
            </c:strRef>
          </c:tx>
          <c:val>
            <c:numRef>
              <c:f>'Total System Cost'!$T$52:$T$71</c:f>
              <c:numCache>
                <c:formatCode>"$"#,##0</c:formatCode>
                <c:ptCount val="20"/>
                <c:pt idx="0">
                  <c:v>861790.42578125</c:v>
                </c:pt>
                <c:pt idx="1">
                  <c:v>826998.9765625</c:v>
                </c:pt>
                <c:pt idx="2">
                  <c:v>854628.25390625</c:v>
                </c:pt>
                <c:pt idx="3">
                  <c:v>879010.7109375</c:v>
                </c:pt>
                <c:pt idx="4">
                  <c:v>927062.57421875</c:v>
                </c:pt>
                <c:pt idx="5">
                  <c:v>941038.64453125</c:v>
                </c:pt>
                <c:pt idx="6">
                  <c:v>980583.796875</c:v>
                </c:pt>
                <c:pt idx="7">
                  <c:v>997006.8828125</c:v>
                </c:pt>
                <c:pt idx="8">
                  <c:v>1043987.13671875</c:v>
                </c:pt>
                <c:pt idx="9">
                  <c:v>1076966.6796875</c:v>
                </c:pt>
                <c:pt idx="10">
                  <c:v>1118807.03515625</c:v>
                </c:pt>
                <c:pt idx="11">
                  <c:v>1171065.66015625</c:v>
                </c:pt>
                <c:pt idx="12">
                  <c:v>1214107.73046875</c:v>
                </c:pt>
                <c:pt idx="13">
                  <c:v>1266346.484375</c:v>
                </c:pt>
                <c:pt idx="14">
                  <c:v>1330907.265625</c:v>
                </c:pt>
                <c:pt idx="15">
                  <c:v>1383676.9296875</c:v>
                </c:pt>
                <c:pt idx="16">
                  <c:v>1410527.50390625</c:v>
                </c:pt>
                <c:pt idx="17">
                  <c:v>1470803.0625</c:v>
                </c:pt>
                <c:pt idx="18">
                  <c:v>1567147.8359375</c:v>
                </c:pt>
                <c:pt idx="19">
                  <c:v>1582684.5546875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B1-4C83-9567-6612A4AB2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728384"/>
        <c:axId val="223730304"/>
      </c:lineChart>
      <c:catAx>
        <c:axId val="223728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730304"/>
        <c:crosses val="autoZero"/>
        <c:auto val="1"/>
        <c:lblAlgn val="ctr"/>
        <c:lblOffset val="100"/>
        <c:noMultiLvlLbl val="0"/>
      </c:catAx>
      <c:valAx>
        <c:axId val="22373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Portfolio</a:t>
                </a:r>
                <a:r>
                  <a:rPr lang="en-US" baseline="0"/>
                  <a:t> Cost ($ million)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728384"/>
        <c:crosses val="autoZero"/>
        <c:crossBetween val="between"/>
        <c:dispUnits>
          <c:builtInUnit val="thousands"/>
        </c:dispUnits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'Total System Cost'!$B$1</c:f>
              <c:strCache>
                <c:ptCount val="1"/>
                <c:pt idx="0">
                  <c:v>Mid with DSR</c:v>
                </c:pt>
              </c:strCache>
            </c:strRef>
          </c:tx>
          <c:spPr>
            <a:ln w="38100"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chemeClr val="accent2"/>
                </a:solidFill>
              </a:ln>
              <a:effectLst/>
            </c:spPr>
          </c:marker>
          <c:cat>
            <c:numRef>
              <c:f>'Total System Cost'!$B$3:$B$22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Cost'!$D$3:$D$22</c:f>
              <c:numCache>
                <c:formatCode>"$"#,##0</c:formatCode>
                <c:ptCount val="20"/>
                <c:pt idx="0">
                  <c:v>893748.00390625</c:v>
                </c:pt>
                <c:pt idx="1">
                  <c:v>865653.7890625</c:v>
                </c:pt>
                <c:pt idx="2">
                  <c:v>899203.16015625</c:v>
                </c:pt>
                <c:pt idx="3">
                  <c:v>924912.1953125</c:v>
                </c:pt>
                <c:pt idx="4">
                  <c:v>976393.6171875</c:v>
                </c:pt>
                <c:pt idx="5">
                  <c:v>1000868.90625</c:v>
                </c:pt>
                <c:pt idx="6">
                  <c:v>1060682.97265625</c:v>
                </c:pt>
                <c:pt idx="7">
                  <c:v>1057992.71875</c:v>
                </c:pt>
                <c:pt idx="8">
                  <c:v>1126446.0234375</c:v>
                </c:pt>
                <c:pt idx="9">
                  <c:v>1171413.7109375</c:v>
                </c:pt>
                <c:pt idx="10">
                  <c:v>1274384.1328125</c:v>
                </c:pt>
                <c:pt idx="11">
                  <c:v>1269303.05078125</c:v>
                </c:pt>
                <c:pt idx="12">
                  <c:v>1355021.25</c:v>
                </c:pt>
                <c:pt idx="13">
                  <c:v>1425113.78125</c:v>
                </c:pt>
                <c:pt idx="14">
                  <c:v>1508947.2578125</c:v>
                </c:pt>
                <c:pt idx="15">
                  <c:v>1576311.8828125</c:v>
                </c:pt>
                <c:pt idx="16">
                  <c:v>1604347.4375</c:v>
                </c:pt>
                <c:pt idx="17">
                  <c:v>1693229.453125</c:v>
                </c:pt>
                <c:pt idx="18">
                  <c:v>1792920.9609375</c:v>
                </c:pt>
                <c:pt idx="19">
                  <c:v>1876688.6484375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AD-47ED-8A61-13561B17137E}"/>
            </c:ext>
          </c:extLst>
        </c:ser>
        <c:ser>
          <c:idx val="3"/>
          <c:order val="4"/>
          <c:tx>
            <c:strRef>
              <c:f>'Total System Cost'!$J$76</c:f>
              <c:strCache>
                <c:ptCount val="1"/>
                <c:pt idx="0">
                  <c:v>Low w DSR</c:v>
                </c:pt>
              </c:strCache>
            </c:strRef>
          </c:tx>
          <c:spPr>
            <a:ln w="28575"/>
          </c:spPr>
          <c:marker>
            <c:spPr>
              <a:ln w="28575"/>
            </c:spPr>
          </c:marker>
          <c:val>
            <c:numRef>
              <c:f>'Total System Cost'!$K$78:$K$97</c:f>
              <c:numCache>
                <c:formatCode>"$"#,##0</c:formatCode>
                <c:ptCount val="20"/>
                <c:pt idx="0">
                  <c:v>814754.0078125</c:v>
                </c:pt>
                <c:pt idx="1">
                  <c:v>766988.8125</c:v>
                </c:pt>
                <c:pt idx="2">
                  <c:v>780860.1328125</c:v>
                </c:pt>
                <c:pt idx="3">
                  <c:v>789186.15625</c:v>
                </c:pt>
                <c:pt idx="4">
                  <c:v>804121.78125</c:v>
                </c:pt>
                <c:pt idx="5">
                  <c:v>822904.41015625</c:v>
                </c:pt>
                <c:pt idx="6">
                  <c:v>849418.9765625</c:v>
                </c:pt>
                <c:pt idx="7">
                  <c:v>858630.28125</c:v>
                </c:pt>
                <c:pt idx="8">
                  <c:v>875998.41796875</c:v>
                </c:pt>
                <c:pt idx="9">
                  <c:v>911032.4140625</c:v>
                </c:pt>
                <c:pt idx="10">
                  <c:v>951986.34765625</c:v>
                </c:pt>
                <c:pt idx="11">
                  <c:v>988396.18359375</c:v>
                </c:pt>
                <c:pt idx="12">
                  <c:v>1025375.4140625</c:v>
                </c:pt>
                <c:pt idx="13">
                  <c:v>1071259.84375</c:v>
                </c:pt>
                <c:pt idx="14">
                  <c:v>1129574.24609375</c:v>
                </c:pt>
                <c:pt idx="15">
                  <c:v>1164285.8046875</c:v>
                </c:pt>
                <c:pt idx="16">
                  <c:v>1176225.62109375</c:v>
                </c:pt>
                <c:pt idx="17">
                  <c:v>1229806.75</c:v>
                </c:pt>
                <c:pt idx="18">
                  <c:v>1302263.9609375</c:v>
                </c:pt>
                <c:pt idx="19">
                  <c:v>1301309.83203125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AD-47ED-8A61-13561B17137E}"/>
            </c:ext>
          </c:extLst>
        </c:ser>
        <c:ser>
          <c:idx val="5"/>
          <c:order val="5"/>
          <c:tx>
            <c:strRef>
              <c:f>'Total System Cost'!$Q$50</c:f>
              <c:strCache>
                <c:ptCount val="1"/>
                <c:pt idx="0">
                  <c:v>Load Temp Sensitivity w DSR</c:v>
                </c:pt>
              </c:strCache>
            </c:strRef>
          </c:tx>
          <c:spPr>
            <a:ln w="38100"/>
          </c:spPr>
          <c:marker>
            <c:symbol val="diamond"/>
            <c:size val="6"/>
            <c:spPr>
              <a:ln w="38100"/>
            </c:spPr>
          </c:marker>
          <c:val>
            <c:numRef>
              <c:f>'Total System Cost'!$T$52:$T$71</c:f>
              <c:numCache>
                <c:formatCode>"$"#,##0</c:formatCode>
                <c:ptCount val="20"/>
                <c:pt idx="0">
                  <c:v>861790.42578125</c:v>
                </c:pt>
                <c:pt idx="1">
                  <c:v>826998.9765625</c:v>
                </c:pt>
                <c:pt idx="2">
                  <c:v>854628.25390625</c:v>
                </c:pt>
                <c:pt idx="3">
                  <c:v>879010.7109375</c:v>
                </c:pt>
                <c:pt idx="4">
                  <c:v>927062.57421875</c:v>
                </c:pt>
                <c:pt idx="5">
                  <c:v>941038.64453125</c:v>
                </c:pt>
                <c:pt idx="6">
                  <c:v>980583.796875</c:v>
                </c:pt>
                <c:pt idx="7">
                  <c:v>997006.8828125</c:v>
                </c:pt>
                <c:pt idx="8">
                  <c:v>1043987.13671875</c:v>
                </c:pt>
                <c:pt idx="9">
                  <c:v>1076966.6796875</c:v>
                </c:pt>
                <c:pt idx="10">
                  <c:v>1118807.03515625</c:v>
                </c:pt>
                <c:pt idx="11">
                  <c:v>1171065.66015625</c:v>
                </c:pt>
                <c:pt idx="12">
                  <c:v>1214107.73046875</c:v>
                </c:pt>
                <c:pt idx="13">
                  <c:v>1266346.484375</c:v>
                </c:pt>
                <c:pt idx="14">
                  <c:v>1330907.265625</c:v>
                </c:pt>
                <c:pt idx="15">
                  <c:v>1383676.9296875</c:v>
                </c:pt>
                <c:pt idx="16">
                  <c:v>1410527.50390625</c:v>
                </c:pt>
                <c:pt idx="17">
                  <c:v>1470803.0625</c:v>
                </c:pt>
                <c:pt idx="18">
                  <c:v>1567147.8359375</c:v>
                </c:pt>
                <c:pt idx="19">
                  <c:v>1582684.5546875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AD-47ED-8A61-13561B171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728384"/>
        <c:axId val="223730304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'Total System Cost'!$B$25</c15:sqref>
                        </c15:formulaRef>
                      </c:ext>
                    </c:extLst>
                    <c:strCache>
                      <c:ptCount val="1"/>
                      <c:pt idx="0">
                        <c:v>Mid No DSR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'Total System Cost'!$B$3:$B$22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2022</c:v>
                      </c:pt>
                      <c:pt idx="1">
                        <c:v>2023</c:v>
                      </c:pt>
                      <c:pt idx="2">
                        <c:v>2024</c:v>
                      </c:pt>
                      <c:pt idx="3">
                        <c:v>2025</c:v>
                      </c:pt>
                      <c:pt idx="4">
                        <c:v>2026</c:v>
                      </c:pt>
                      <c:pt idx="5">
                        <c:v>2027</c:v>
                      </c:pt>
                      <c:pt idx="6">
                        <c:v>2028</c:v>
                      </c:pt>
                      <c:pt idx="7">
                        <c:v>2029</c:v>
                      </c:pt>
                      <c:pt idx="8">
                        <c:v>2030</c:v>
                      </c:pt>
                      <c:pt idx="9">
                        <c:v>2031</c:v>
                      </c:pt>
                      <c:pt idx="10">
                        <c:v>2032</c:v>
                      </c:pt>
                      <c:pt idx="11">
                        <c:v>2033</c:v>
                      </c:pt>
                      <c:pt idx="12">
                        <c:v>2034</c:v>
                      </c:pt>
                      <c:pt idx="13">
                        <c:v>2035</c:v>
                      </c:pt>
                      <c:pt idx="14">
                        <c:v>2036</c:v>
                      </c:pt>
                      <c:pt idx="15">
                        <c:v>2037</c:v>
                      </c:pt>
                      <c:pt idx="16">
                        <c:v>2038</c:v>
                      </c:pt>
                      <c:pt idx="17">
                        <c:v>2039</c:v>
                      </c:pt>
                      <c:pt idx="18">
                        <c:v>2040</c:v>
                      </c:pt>
                      <c:pt idx="19">
                        <c:v>2041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'Total System Cost'!$C$27:$C$46</c15:sqref>
                        </c15:formulaRef>
                      </c:ext>
                    </c:extLst>
                    <c:numCache>
                      <c:formatCode>"$"#,##0</c:formatCode>
                      <c:ptCount val="20"/>
                      <c:pt idx="0">
                        <c:v>896201.734375</c:v>
                      </c:pt>
                      <c:pt idx="1">
                        <c:v>872569.94140625</c:v>
                      </c:pt>
                      <c:pt idx="2">
                        <c:v>911011.74609375</c:v>
                      </c:pt>
                      <c:pt idx="3">
                        <c:v>942263.0546875</c:v>
                      </c:pt>
                      <c:pt idx="4">
                        <c:v>995086.30078125</c:v>
                      </c:pt>
                      <c:pt idx="5">
                        <c:v>1032674.12109375</c:v>
                      </c:pt>
                      <c:pt idx="6">
                        <c:v>1096882.56640625</c:v>
                      </c:pt>
                      <c:pt idx="7">
                        <c:v>1119032.13671875</c:v>
                      </c:pt>
                      <c:pt idx="8">
                        <c:v>1187758.9375</c:v>
                      </c:pt>
                      <c:pt idx="9">
                        <c:v>1244409.6484375</c:v>
                      </c:pt>
                      <c:pt idx="10">
                        <c:v>1341964.6015625</c:v>
                      </c:pt>
                      <c:pt idx="11">
                        <c:v>1382315.3984375</c:v>
                      </c:pt>
                      <c:pt idx="12">
                        <c:v>1463020.375</c:v>
                      </c:pt>
                      <c:pt idx="13">
                        <c:v>1547048.6796875</c:v>
                      </c:pt>
                      <c:pt idx="14">
                        <c:v>1648154.8359375</c:v>
                      </c:pt>
                      <c:pt idx="15">
                        <c:v>1719495.359375</c:v>
                      </c:pt>
                      <c:pt idx="16">
                        <c:v>1763971.515625</c:v>
                      </c:pt>
                      <c:pt idx="17">
                        <c:v>1866576.1171875</c:v>
                      </c:pt>
                      <c:pt idx="18">
                        <c:v>1984350.84375</c:v>
                      </c:pt>
                      <c:pt idx="19">
                        <c:v>2098614.3125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4BAD-47ED-8A61-13561B17137E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'Total System Cost'!$J$25</c15:sqref>
                        </c15:formulaRef>
                      </c:ext>
                    </c:extLst>
                    <c:strCache>
                      <c:ptCount val="1"/>
                      <c:pt idx="0">
                        <c:v>High</c:v>
                      </c:pt>
                    </c:strCache>
                  </c:strRef>
                </c:tx>
                <c:spPr>
                  <a:ln w="38100" cap="rnd">
                    <a:solidFill>
                      <a:schemeClr val="accent6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  <a:lumOff val="40000"/>
                      </a:schemeClr>
                    </a:solidFill>
                    <a:ln w="38100">
                      <a:solidFill>
                        <a:schemeClr val="accent6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'Total System Cost'!$K$27:$K$46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0"/>
                      <c:pt idx="0">
                        <c:v>1062047.09375</c:v>
                      </c:pt>
                      <c:pt idx="1">
                        <c:v>1023363.0390625</c:v>
                      </c:pt>
                      <c:pt idx="2">
                        <c:v>1064351.04296875</c:v>
                      </c:pt>
                      <c:pt idx="3">
                        <c:v>1116587.84375</c:v>
                      </c:pt>
                      <c:pt idx="4">
                        <c:v>1167254.4609375</c:v>
                      </c:pt>
                      <c:pt idx="5">
                        <c:v>1233985.0859375</c:v>
                      </c:pt>
                      <c:pt idx="6">
                        <c:v>1320008.046875</c:v>
                      </c:pt>
                      <c:pt idx="7">
                        <c:v>1377914.390625</c:v>
                      </c:pt>
                      <c:pt idx="8">
                        <c:v>1428913.671875</c:v>
                      </c:pt>
                      <c:pt idx="9">
                        <c:v>1497198.7421875</c:v>
                      </c:pt>
                      <c:pt idx="10">
                        <c:v>1581273.8046875</c:v>
                      </c:pt>
                      <c:pt idx="11">
                        <c:v>1658182.4140625</c:v>
                      </c:pt>
                      <c:pt idx="12">
                        <c:v>1731595.8671875</c:v>
                      </c:pt>
                      <c:pt idx="13">
                        <c:v>1828956.7734375</c:v>
                      </c:pt>
                      <c:pt idx="14">
                        <c:v>1974921.5078125</c:v>
                      </c:pt>
                      <c:pt idx="15">
                        <c:v>2052798.7421875</c:v>
                      </c:pt>
                      <c:pt idx="16">
                        <c:v>2150558.609375</c:v>
                      </c:pt>
                      <c:pt idx="17">
                        <c:v>2303459.109375</c:v>
                      </c:pt>
                      <c:pt idx="18">
                        <c:v>2482938.5078125</c:v>
                      </c:pt>
                      <c:pt idx="19">
                        <c:v>2584798.3125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BAD-47ED-8A61-13561B17137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'Total System Cost'!$B$50</c15:sqref>
                        </c15:formulaRef>
                      </c:ext>
                    </c:extLst>
                    <c:strCache>
                      <c:ptCount val="1"/>
                      <c:pt idx="0">
                        <c:v>Mid No Carbon</c:v>
                      </c:pt>
                    </c:strCache>
                  </c:strRef>
                </c:tx>
                <c:spPr>
                  <a:ln w="28575"/>
                </c:spPr>
                <c:marker>
                  <c:spPr>
                    <a:ln w="28575"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'Total System Cost'!$C$52:$C$71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0"/>
                      <c:pt idx="0">
                        <c:v>342217.775390625</c:v>
                      </c:pt>
                      <c:pt idx="1">
                        <c:v>315632.55078125</c:v>
                      </c:pt>
                      <c:pt idx="2">
                        <c:v>319207.873046875</c:v>
                      </c:pt>
                      <c:pt idx="3">
                        <c:v>314083.380859375</c:v>
                      </c:pt>
                      <c:pt idx="4">
                        <c:v>315828.5546875</c:v>
                      </c:pt>
                      <c:pt idx="5">
                        <c:v>341014.814453125</c:v>
                      </c:pt>
                      <c:pt idx="6">
                        <c:v>379036.583984375</c:v>
                      </c:pt>
                      <c:pt idx="7">
                        <c:v>384046.357421875</c:v>
                      </c:pt>
                      <c:pt idx="8">
                        <c:v>392893.48046875</c:v>
                      </c:pt>
                      <c:pt idx="9">
                        <c:v>413902.341796875</c:v>
                      </c:pt>
                      <c:pt idx="10">
                        <c:v>439653.30078125</c:v>
                      </c:pt>
                      <c:pt idx="11">
                        <c:v>480421.130859375</c:v>
                      </c:pt>
                      <c:pt idx="12">
                        <c:v>500151.43359375</c:v>
                      </c:pt>
                      <c:pt idx="13">
                        <c:v>530709.509765625</c:v>
                      </c:pt>
                      <c:pt idx="14">
                        <c:v>571566.169921875</c:v>
                      </c:pt>
                      <c:pt idx="15">
                        <c:v>587560.05078125</c:v>
                      </c:pt>
                      <c:pt idx="16">
                        <c:v>605259.552734375</c:v>
                      </c:pt>
                      <c:pt idx="17">
                        <c:v>635372.15625</c:v>
                      </c:pt>
                      <c:pt idx="18">
                        <c:v>693628.595703125</c:v>
                      </c:pt>
                      <c:pt idx="19">
                        <c:v>733754.08203125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BAD-47ED-8A61-13561B17137E}"/>
                  </c:ext>
                </c:extLst>
              </c15:ser>
            </c15:filteredLineSeries>
          </c:ext>
        </c:extLst>
      </c:lineChart>
      <c:catAx>
        <c:axId val="223728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730304"/>
        <c:crosses val="autoZero"/>
        <c:auto val="1"/>
        <c:lblAlgn val="ctr"/>
        <c:lblOffset val="100"/>
        <c:noMultiLvlLbl val="0"/>
      </c:catAx>
      <c:valAx>
        <c:axId val="22373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Portfolio</a:t>
                </a:r>
                <a:r>
                  <a:rPr lang="en-US" baseline="0"/>
                  <a:t> Cost ($ million)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728384"/>
        <c:crosses val="autoZero"/>
        <c:crossBetween val="between"/>
        <c:dispUnits>
          <c:builtInUnit val="thousands"/>
        </c:dispUnits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'Total System Cost'!$B$1</c:f>
              <c:strCache>
                <c:ptCount val="1"/>
                <c:pt idx="0">
                  <c:v>Mid with DSR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'Total System Cost'!$B$3:$B$22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'Total System Cost'!$C$3:$C$22</c:f>
              <c:numCache>
                <c:formatCode>"$"#,##0</c:formatCode>
                <c:ptCount val="20"/>
                <c:pt idx="0">
                  <c:v>909386.390625</c:v>
                </c:pt>
                <c:pt idx="1">
                  <c:v>883241.03125</c:v>
                </c:pt>
                <c:pt idx="2">
                  <c:v>918157.94140625</c:v>
                </c:pt>
                <c:pt idx="3">
                  <c:v>945209.2734375</c:v>
                </c:pt>
                <c:pt idx="4">
                  <c:v>997890.6875</c:v>
                </c:pt>
                <c:pt idx="5">
                  <c:v>1023579.42578125</c:v>
                </c:pt>
                <c:pt idx="6">
                  <c:v>1084622.80078125</c:v>
                </c:pt>
                <c:pt idx="7">
                  <c:v>1082890.9453125</c:v>
                </c:pt>
                <c:pt idx="8">
                  <c:v>1152260.38671875</c:v>
                </c:pt>
                <c:pt idx="9">
                  <c:v>1198106.9375</c:v>
                </c:pt>
                <c:pt idx="10">
                  <c:v>1288744.8515625</c:v>
                </c:pt>
                <c:pt idx="11">
                  <c:v>1284138.32421875</c:v>
                </c:pt>
                <c:pt idx="12">
                  <c:v>1370187.46875</c:v>
                </c:pt>
                <c:pt idx="13">
                  <c:v>1440415.5390625</c:v>
                </c:pt>
                <c:pt idx="14">
                  <c:v>1524277.578125</c:v>
                </c:pt>
                <c:pt idx="15">
                  <c:v>1591707.796875</c:v>
                </c:pt>
                <c:pt idx="16">
                  <c:v>1619744.75</c:v>
                </c:pt>
                <c:pt idx="17">
                  <c:v>1708572.75</c:v>
                </c:pt>
                <c:pt idx="18">
                  <c:v>1807616.4296875</c:v>
                </c:pt>
                <c:pt idx="19">
                  <c:v>1886669.3984375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E-4FAB-A216-CDF90E1635B5}"/>
            </c:ext>
          </c:extLst>
        </c:ser>
        <c:ser>
          <c:idx val="0"/>
          <c:order val="1"/>
          <c:tx>
            <c:strRef>
              <c:f>'Total System Cost'!$J$1</c:f>
              <c:strCache>
                <c:ptCount val="1"/>
                <c:pt idx="0">
                  <c:v>Mid with AR5</c:v>
                </c:pt>
              </c:strCache>
            </c:strRef>
          </c:tx>
          <c:val>
            <c:numRef>
              <c:f>'Total System Cost'!$K$3:$K$22</c:f>
              <c:numCache>
                <c:formatCode>"$"#,##0</c:formatCode>
                <c:ptCount val="20"/>
                <c:pt idx="0">
                  <c:v>915815.390625</c:v>
                </c:pt>
                <c:pt idx="1">
                  <c:v>889419.17578125</c:v>
                </c:pt>
                <c:pt idx="2">
                  <c:v>925423.5859375</c:v>
                </c:pt>
                <c:pt idx="3">
                  <c:v>952456.0078125</c:v>
                </c:pt>
                <c:pt idx="4">
                  <c:v>1006456.5078125</c:v>
                </c:pt>
                <c:pt idx="5">
                  <c:v>1031982.25</c:v>
                </c:pt>
                <c:pt idx="6">
                  <c:v>1092825.5234375</c:v>
                </c:pt>
                <c:pt idx="7">
                  <c:v>1091558.84765625</c:v>
                </c:pt>
                <c:pt idx="8">
                  <c:v>1161479.99609375</c:v>
                </c:pt>
                <c:pt idx="9">
                  <c:v>1207449.73828125</c:v>
                </c:pt>
                <c:pt idx="10">
                  <c:v>1285420.84375</c:v>
                </c:pt>
                <c:pt idx="11">
                  <c:v>1307999.78515625</c:v>
                </c:pt>
                <c:pt idx="12">
                  <c:v>1380599.4765625</c:v>
                </c:pt>
                <c:pt idx="13">
                  <c:v>1450950.1484375</c:v>
                </c:pt>
                <c:pt idx="14">
                  <c:v>1535916.5625</c:v>
                </c:pt>
                <c:pt idx="15">
                  <c:v>1604298.21875</c:v>
                </c:pt>
                <c:pt idx="16">
                  <c:v>1632286.6796875</c:v>
                </c:pt>
                <c:pt idx="17">
                  <c:v>1721429.7890625</c:v>
                </c:pt>
                <c:pt idx="18">
                  <c:v>1821416.0234375</c:v>
                </c:pt>
                <c:pt idx="19">
                  <c:v>1901598.0390625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9-416C-B121-BF7F138AE12D}"/>
            </c:ext>
          </c:extLst>
        </c:ser>
        <c:ser>
          <c:idx val="2"/>
          <c:order val="2"/>
          <c:tx>
            <c:strRef>
              <c:f>'Total System Cost'!$Q$1</c:f>
              <c:strCache>
                <c:ptCount val="1"/>
                <c:pt idx="0">
                  <c:v>Mid with 6 Year Ramp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val>
            <c:numRef>
              <c:f>'Total System Cost'!$R$3:$R$22</c:f>
              <c:numCache>
                <c:formatCode>"$"#,##0.00</c:formatCode>
                <c:ptCount val="20"/>
                <c:pt idx="0">
                  <c:v>917361.91796875</c:v>
                </c:pt>
                <c:pt idx="1">
                  <c:v>888479.08203125</c:v>
                </c:pt>
                <c:pt idx="2">
                  <c:v>921601.5078125</c:v>
                </c:pt>
                <c:pt idx="3">
                  <c:v>946335.93359375</c:v>
                </c:pt>
                <c:pt idx="4">
                  <c:v>998395.25</c:v>
                </c:pt>
                <c:pt idx="5">
                  <c:v>1019565.8359375</c:v>
                </c:pt>
                <c:pt idx="6">
                  <c:v>1058531.23046875</c:v>
                </c:pt>
                <c:pt idx="7">
                  <c:v>1057954.4453125</c:v>
                </c:pt>
                <c:pt idx="8">
                  <c:v>1133525.71484375</c:v>
                </c:pt>
                <c:pt idx="9">
                  <c:v>1183250.421875</c:v>
                </c:pt>
                <c:pt idx="10">
                  <c:v>1288506.03125</c:v>
                </c:pt>
                <c:pt idx="11">
                  <c:v>1283786.65625</c:v>
                </c:pt>
                <c:pt idx="12">
                  <c:v>1369872.5078125</c:v>
                </c:pt>
                <c:pt idx="13">
                  <c:v>1440084.9453125</c:v>
                </c:pt>
                <c:pt idx="14">
                  <c:v>1523930.578125</c:v>
                </c:pt>
                <c:pt idx="15">
                  <c:v>1591342.53125</c:v>
                </c:pt>
                <c:pt idx="16">
                  <c:v>1619370.828125</c:v>
                </c:pt>
                <c:pt idx="17">
                  <c:v>1708181.140625</c:v>
                </c:pt>
                <c:pt idx="18">
                  <c:v>1807254.453125</c:v>
                </c:pt>
                <c:pt idx="19">
                  <c:v>1886237.7421875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9-416C-B121-BF7F138AE12D}"/>
            </c:ext>
          </c:extLst>
        </c:ser>
        <c:ser>
          <c:idx val="3"/>
          <c:order val="3"/>
          <c:tx>
            <c:strRef>
              <c:f>'Total System Cost'!$Q$25</c:f>
              <c:strCache>
                <c:ptCount val="1"/>
                <c:pt idx="0">
                  <c:v>Mid with SDR</c:v>
                </c:pt>
              </c:strCache>
            </c:strRef>
          </c:tx>
          <c:val>
            <c:numRef>
              <c:f>'Total System Cost'!$R$27:$R$46</c:f>
              <c:numCache>
                <c:formatCode>General</c:formatCode>
                <c:ptCount val="20"/>
                <c:pt idx="0">
                  <c:v>917693.0625</c:v>
                </c:pt>
                <c:pt idx="1">
                  <c:v>890319.94921875</c:v>
                </c:pt>
                <c:pt idx="2">
                  <c:v>924640.38671875</c:v>
                </c:pt>
                <c:pt idx="3">
                  <c:v>950754.14453125</c:v>
                </c:pt>
                <c:pt idx="4">
                  <c:v>1003179.59375</c:v>
                </c:pt>
                <c:pt idx="5">
                  <c:v>1027295.47265625</c:v>
                </c:pt>
                <c:pt idx="6">
                  <c:v>1087356.921875</c:v>
                </c:pt>
                <c:pt idx="7">
                  <c:v>1083085.0703125</c:v>
                </c:pt>
                <c:pt idx="8">
                  <c:v>1152812.625</c:v>
                </c:pt>
                <c:pt idx="9">
                  <c:v>1197810.5234375</c:v>
                </c:pt>
                <c:pt idx="10">
                  <c:v>1281396.78125</c:v>
                </c:pt>
                <c:pt idx="11">
                  <c:v>1274059.29296875</c:v>
                </c:pt>
                <c:pt idx="12">
                  <c:v>1362267.3671875</c:v>
                </c:pt>
                <c:pt idx="13">
                  <c:v>1433225.5546875</c:v>
                </c:pt>
                <c:pt idx="14">
                  <c:v>1517946.1484375</c:v>
                </c:pt>
                <c:pt idx="15">
                  <c:v>1586212.8984375</c:v>
                </c:pt>
                <c:pt idx="16">
                  <c:v>1615132.53125</c:v>
                </c:pt>
                <c:pt idx="17">
                  <c:v>1704859.9375</c:v>
                </c:pt>
                <c:pt idx="18">
                  <c:v>1806423.40625</c:v>
                </c:pt>
                <c:pt idx="19">
                  <c:v>1889595.3203125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9-416C-B121-BF7F138AE1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983424"/>
        <c:axId val="234984960"/>
      </c:lineChart>
      <c:catAx>
        <c:axId val="23498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984960"/>
        <c:crosses val="autoZero"/>
        <c:auto val="1"/>
        <c:lblAlgn val="ctr"/>
        <c:lblOffset val="100"/>
        <c:noMultiLvlLbl val="0"/>
      </c:catAx>
      <c:valAx>
        <c:axId val="234984960"/>
        <c:scaling>
          <c:orientation val="minMax"/>
          <c:min val="8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Portfolio</a:t>
                </a:r>
                <a:r>
                  <a:rPr lang="en-US" baseline="0"/>
                  <a:t> Cost ($ million)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4983424"/>
        <c:crosses val="autoZero"/>
        <c:crossBetween val="between"/>
        <c:dispUnits>
          <c:builtInUnit val="thousands"/>
        </c:dispUnits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47408829528903"/>
          <c:y val="0.12944151457813902"/>
          <c:w val="0.84146172660416596"/>
          <c:h val="0.79694404395340157"/>
        </c:manualLayout>
      </c:layout>
      <c:barChart>
        <c:barDir val="bar"/>
        <c:grouping val="stacked"/>
        <c:varyColors val="0"/>
        <c:ser>
          <c:idx val="7"/>
          <c:order val="0"/>
          <c:tx>
            <c:strRef>
              <c:f>'Gas Sales - Base Build Summary'!$A$16</c:f>
              <c:strCache>
                <c:ptCount val="1"/>
                <c:pt idx="0">
                  <c:v>DSR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'Gas Sales - Base Build Summary'!$B$6:$S$7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Summary'!$B$16:$S$16</c:f>
              <c:numCache>
                <c:formatCode>0</c:formatCode>
                <c:ptCount val="18"/>
                <c:pt idx="0">
                  <c:v>4.6109774071628653</c:v>
                </c:pt>
                <c:pt idx="1">
                  <c:v>4.6109774071628653</c:v>
                </c:pt>
                <c:pt idx="2">
                  <c:v>4.6318667643361797</c:v>
                </c:pt>
                <c:pt idx="3">
                  <c:v>21.139329931715892</c:v>
                </c:pt>
                <c:pt idx="4">
                  <c:v>21.139329931715892</c:v>
                </c:pt>
                <c:pt idx="5">
                  <c:v>21.222035606716283</c:v>
                </c:pt>
                <c:pt idx="6">
                  <c:v>46.189227368028135</c:v>
                </c:pt>
                <c:pt idx="7">
                  <c:v>46.189227368028135</c:v>
                </c:pt>
                <c:pt idx="8">
                  <c:v>46.35392727602521</c:v>
                </c:pt>
                <c:pt idx="9">
                  <c:v>69.066897835315515</c:v>
                </c:pt>
                <c:pt idx="10">
                  <c:v>69.066897835315515</c:v>
                </c:pt>
                <c:pt idx="11">
                  <c:v>69.270096037161764</c:v>
                </c:pt>
                <c:pt idx="12">
                  <c:v>87.983643456225266</c:v>
                </c:pt>
                <c:pt idx="13">
                  <c:v>87.983643456225266</c:v>
                </c:pt>
                <c:pt idx="14">
                  <c:v>88.182181166437161</c:v>
                </c:pt>
                <c:pt idx="15">
                  <c:v>106.76440392371885</c:v>
                </c:pt>
                <c:pt idx="16">
                  <c:v>106.76440392371885</c:v>
                </c:pt>
                <c:pt idx="17">
                  <c:v>106.95842847332402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3E-4F2F-BF40-51E07A829ED8}"/>
            </c:ext>
          </c:extLst>
        </c:ser>
        <c:ser>
          <c:idx val="4"/>
          <c:order val="1"/>
          <c:tx>
            <c:strRef>
              <c:f>'Gas Sales - Base Build Summary'!$A$13</c:f>
              <c:strCache>
                <c:ptCount val="1"/>
                <c:pt idx="0">
                  <c:v>Ply LNG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'Gas Sales - Base Build Summary'!$B$6:$S$7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Summary'!$B$13:$S$13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  <c:pt idx="9">
                  <c:v>0</c:v>
                </c:pt>
                <c:pt idx="10">
                  <c:v>0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15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3E-4F2F-BF40-51E07A829ED8}"/>
            </c:ext>
          </c:extLst>
        </c:ser>
        <c:ser>
          <c:idx val="6"/>
          <c:order val="2"/>
          <c:tx>
            <c:strRef>
              <c:f>'Gas Sales - Base Build Summary'!$A$15</c:f>
              <c:strCache>
                <c:ptCount val="1"/>
                <c:pt idx="0">
                  <c:v>Swarr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'Gas Sales - Base Build Summary'!$B$6:$S$7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Summary'!$B$15:$S$15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30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3E-4F2F-BF40-51E07A829ED8}"/>
            </c:ext>
          </c:extLst>
        </c:ser>
        <c:ser>
          <c:idx val="0"/>
          <c:order val="3"/>
          <c:tx>
            <c:strRef>
              <c:f>'Gas Sales - Base Build Summary'!$A$9</c:f>
              <c:strCache>
                <c:ptCount val="1"/>
                <c:pt idx="0">
                  <c:v>NWP Additions + Westcoast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'Gas Sales - Base Build Summary'!$B$6:$S$7</c:f>
              <c:multiLvlStrCache>
                <c:ptCount val="18"/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Summary'!$B$9:$S$9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21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E-4F2F-BF40-51E07A829E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7133696"/>
        <c:axId val="227151872"/>
        <c:extLst>
          <c:ext xmlns:c15="http://schemas.microsoft.com/office/drawing/2012/chart" uri="{02D57815-91ED-43cb-92C2-25804820EDAC}">
            <c15:filteredBarSeries>
              <c15:ser>
                <c:idx val="1"/>
                <c:order val="4"/>
                <c:tx>
                  <c:strRef>
                    <c:extLst>
                      <c:ext uri="{02D57815-91ED-43cb-92C2-25804820EDAC}">
                        <c15:formulaRef>
                          <c15:sqref>'Gas Sales - Base Build Summary'!$A$10</c15:sqref>
                        </c15:formulaRef>
                      </c:ext>
                    </c:extLst>
                    <c:strCache>
                      <c:ptCount val="1"/>
                      <c:pt idx="0">
                        <c:v>KORP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'Gas Sales - Base Build Summary'!$B$6:$S$7</c15:sqref>
                        </c15:formulaRef>
                      </c:ext>
                    </c:extLst>
                    <c:multiLvlStrCache>
                      <c:ptCount val="18"/>
                      <c:lvl>
                        <c:pt idx="0">
                          <c:v>BASE</c:v>
                        </c:pt>
                        <c:pt idx="1">
                          <c:v>LOW</c:v>
                        </c:pt>
                        <c:pt idx="2">
                          <c:v>HIGH</c:v>
                        </c:pt>
                        <c:pt idx="3">
                          <c:v>BASE</c:v>
                        </c:pt>
                        <c:pt idx="4">
                          <c:v>LOW</c:v>
                        </c:pt>
                        <c:pt idx="5">
                          <c:v>HIGH</c:v>
                        </c:pt>
                        <c:pt idx="6">
                          <c:v>BASE</c:v>
                        </c:pt>
                        <c:pt idx="7">
                          <c:v>LOW</c:v>
                        </c:pt>
                        <c:pt idx="8">
                          <c:v>HIGH</c:v>
                        </c:pt>
                        <c:pt idx="9">
                          <c:v>BASE</c:v>
                        </c:pt>
                        <c:pt idx="10">
                          <c:v>LOW</c:v>
                        </c:pt>
                        <c:pt idx="11">
                          <c:v>HIGH</c:v>
                        </c:pt>
                        <c:pt idx="12">
                          <c:v>BASE</c:v>
                        </c:pt>
                        <c:pt idx="13">
                          <c:v>LOW</c:v>
                        </c:pt>
                        <c:pt idx="14">
                          <c:v>HIGH</c:v>
                        </c:pt>
                        <c:pt idx="15">
                          <c:v>BASE</c:v>
                        </c:pt>
                        <c:pt idx="16">
                          <c:v>LOW</c:v>
                        </c:pt>
                        <c:pt idx="17">
                          <c:v>HIGH</c:v>
                        </c:pt>
                      </c:lvl>
                      <c:lvl>
                        <c:pt idx="0">
                          <c:v>2022-23</c:v>
                        </c:pt>
                        <c:pt idx="3">
                          <c:v>2025-26</c:v>
                        </c:pt>
                        <c:pt idx="6">
                          <c:v>2029-30</c:v>
                        </c:pt>
                        <c:pt idx="9">
                          <c:v>2033-34</c:v>
                        </c:pt>
                        <c:pt idx="12">
                          <c:v>2037-38</c:v>
                        </c:pt>
                        <c:pt idx="15">
                          <c:v>2041-42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'Gas Sales - Base Build Summary'!$B$10:$S$10</c15:sqref>
                        </c15:formulaRef>
                      </c:ext>
                    </c:extLst>
                    <c:numCache>
                      <c:formatCode>0</c:formatCode>
                      <c:ptCount val="1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03E-4F2F-BF40-51E07A829ED8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Summary'!$A$11</c15:sqref>
                        </c15:formulaRef>
                      </c:ext>
                    </c:extLst>
                    <c:strCache>
                      <c:ptCount val="1"/>
                      <c:pt idx="0">
                        <c:v>NWP from AECO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Summary'!$B$6:$S$7</c15:sqref>
                        </c15:formulaRef>
                      </c:ext>
                    </c:extLst>
                    <c:multiLvlStrCache>
                      <c:ptCount val="18"/>
                      <c:lvl>
                        <c:pt idx="0">
                          <c:v>BASE</c:v>
                        </c:pt>
                        <c:pt idx="1">
                          <c:v>LOW</c:v>
                        </c:pt>
                        <c:pt idx="2">
                          <c:v>HIGH</c:v>
                        </c:pt>
                        <c:pt idx="3">
                          <c:v>BASE</c:v>
                        </c:pt>
                        <c:pt idx="4">
                          <c:v>LOW</c:v>
                        </c:pt>
                        <c:pt idx="5">
                          <c:v>HIGH</c:v>
                        </c:pt>
                        <c:pt idx="6">
                          <c:v>BASE</c:v>
                        </c:pt>
                        <c:pt idx="7">
                          <c:v>LOW</c:v>
                        </c:pt>
                        <c:pt idx="8">
                          <c:v>HIGH</c:v>
                        </c:pt>
                        <c:pt idx="9">
                          <c:v>BASE</c:v>
                        </c:pt>
                        <c:pt idx="10">
                          <c:v>LOW</c:v>
                        </c:pt>
                        <c:pt idx="11">
                          <c:v>HIGH</c:v>
                        </c:pt>
                        <c:pt idx="12">
                          <c:v>BASE</c:v>
                        </c:pt>
                        <c:pt idx="13">
                          <c:v>LOW</c:v>
                        </c:pt>
                        <c:pt idx="14">
                          <c:v>HIGH</c:v>
                        </c:pt>
                        <c:pt idx="15">
                          <c:v>BASE</c:v>
                        </c:pt>
                        <c:pt idx="16">
                          <c:v>LOW</c:v>
                        </c:pt>
                        <c:pt idx="17">
                          <c:v>HIGH</c:v>
                        </c:pt>
                      </c:lvl>
                      <c:lvl>
                        <c:pt idx="0">
                          <c:v>2022-23</c:v>
                        </c:pt>
                        <c:pt idx="3">
                          <c:v>2025-26</c:v>
                        </c:pt>
                        <c:pt idx="6">
                          <c:v>2029-30</c:v>
                        </c:pt>
                        <c:pt idx="9">
                          <c:v>2033-34</c:v>
                        </c:pt>
                        <c:pt idx="12">
                          <c:v>2037-38</c:v>
                        </c:pt>
                        <c:pt idx="15">
                          <c:v>2041-42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Summary'!$B$11:$S$11</c15:sqref>
                        </c15:formulaRef>
                      </c:ext>
                    </c:extLst>
                    <c:numCache>
                      <c:formatCode>0</c:formatCode>
                      <c:ptCount val="1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03E-4F2F-BF40-51E07A829ED8}"/>
                  </c:ext>
                </c:extLst>
              </c15:ser>
            </c15:filteredBarSeries>
            <c15:filteredBarSeries>
              <c15:ser>
                <c:idx val="3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Summary'!$A$12</c15:sqref>
                        </c15:formulaRef>
                      </c:ext>
                    </c:extLst>
                    <c:strCache>
                      <c:ptCount val="1"/>
                      <c:pt idx="0">
                        <c:v>Mist Storage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Summary'!$B$6:$S$7</c15:sqref>
                        </c15:formulaRef>
                      </c:ext>
                    </c:extLst>
                    <c:multiLvlStrCache>
                      <c:ptCount val="18"/>
                      <c:lvl>
                        <c:pt idx="0">
                          <c:v>BASE</c:v>
                        </c:pt>
                        <c:pt idx="1">
                          <c:v>LOW</c:v>
                        </c:pt>
                        <c:pt idx="2">
                          <c:v>HIGH</c:v>
                        </c:pt>
                        <c:pt idx="3">
                          <c:v>BASE</c:v>
                        </c:pt>
                        <c:pt idx="4">
                          <c:v>LOW</c:v>
                        </c:pt>
                        <c:pt idx="5">
                          <c:v>HIGH</c:v>
                        </c:pt>
                        <c:pt idx="6">
                          <c:v>BASE</c:v>
                        </c:pt>
                        <c:pt idx="7">
                          <c:v>LOW</c:v>
                        </c:pt>
                        <c:pt idx="8">
                          <c:v>HIGH</c:v>
                        </c:pt>
                        <c:pt idx="9">
                          <c:v>BASE</c:v>
                        </c:pt>
                        <c:pt idx="10">
                          <c:v>LOW</c:v>
                        </c:pt>
                        <c:pt idx="11">
                          <c:v>HIGH</c:v>
                        </c:pt>
                        <c:pt idx="12">
                          <c:v>BASE</c:v>
                        </c:pt>
                        <c:pt idx="13">
                          <c:v>LOW</c:v>
                        </c:pt>
                        <c:pt idx="14">
                          <c:v>HIGH</c:v>
                        </c:pt>
                        <c:pt idx="15">
                          <c:v>BASE</c:v>
                        </c:pt>
                        <c:pt idx="16">
                          <c:v>LOW</c:v>
                        </c:pt>
                        <c:pt idx="17">
                          <c:v>HIGH</c:v>
                        </c:pt>
                      </c:lvl>
                      <c:lvl>
                        <c:pt idx="0">
                          <c:v>2022-23</c:v>
                        </c:pt>
                        <c:pt idx="3">
                          <c:v>2025-26</c:v>
                        </c:pt>
                        <c:pt idx="6">
                          <c:v>2029-30</c:v>
                        </c:pt>
                        <c:pt idx="9">
                          <c:v>2033-34</c:v>
                        </c:pt>
                        <c:pt idx="12">
                          <c:v>2037-38</c:v>
                        </c:pt>
                        <c:pt idx="15">
                          <c:v>2041-42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Summary'!$B$12:$S$12</c15:sqref>
                        </c15:formulaRef>
                      </c:ext>
                    </c:extLst>
                    <c:numCache>
                      <c:formatCode>0</c:formatCode>
                      <c:ptCount val="1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03E-4F2F-BF40-51E07A829ED8}"/>
                  </c:ext>
                </c:extLst>
              </c15:ser>
            </c15:filteredBarSeries>
            <c15:filteredBarSeries>
              <c15:ser>
                <c:idx val="5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Summary'!$A$14</c15:sqref>
                        </c15:formulaRef>
                      </c:ext>
                    </c:extLst>
                    <c:strCache>
                      <c:ptCount val="1"/>
                      <c:pt idx="0">
                        <c:v>LNG Tacoma Distr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Summary'!$B$6:$S$7</c15:sqref>
                        </c15:formulaRef>
                      </c:ext>
                    </c:extLst>
                    <c:multiLvlStrCache>
                      <c:ptCount val="18"/>
                      <c:lvl>
                        <c:pt idx="0">
                          <c:v>BASE</c:v>
                        </c:pt>
                        <c:pt idx="1">
                          <c:v>LOW</c:v>
                        </c:pt>
                        <c:pt idx="2">
                          <c:v>HIGH</c:v>
                        </c:pt>
                        <c:pt idx="3">
                          <c:v>BASE</c:v>
                        </c:pt>
                        <c:pt idx="4">
                          <c:v>LOW</c:v>
                        </c:pt>
                        <c:pt idx="5">
                          <c:v>HIGH</c:v>
                        </c:pt>
                        <c:pt idx="6">
                          <c:v>BASE</c:v>
                        </c:pt>
                        <c:pt idx="7">
                          <c:v>LOW</c:v>
                        </c:pt>
                        <c:pt idx="8">
                          <c:v>HIGH</c:v>
                        </c:pt>
                        <c:pt idx="9">
                          <c:v>BASE</c:v>
                        </c:pt>
                        <c:pt idx="10">
                          <c:v>LOW</c:v>
                        </c:pt>
                        <c:pt idx="11">
                          <c:v>HIGH</c:v>
                        </c:pt>
                        <c:pt idx="12">
                          <c:v>BASE</c:v>
                        </c:pt>
                        <c:pt idx="13">
                          <c:v>LOW</c:v>
                        </c:pt>
                        <c:pt idx="14">
                          <c:v>HIGH</c:v>
                        </c:pt>
                        <c:pt idx="15">
                          <c:v>BASE</c:v>
                        </c:pt>
                        <c:pt idx="16">
                          <c:v>LOW</c:v>
                        </c:pt>
                        <c:pt idx="17">
                          <c:v>HIGH</c:v>
                        </c:pt>
                      </c:lvl>
                      <c:lvl>
                        <c:pt idx="0">
                          <c:v>2022-23</c:v>
                        </c:pt>
                        <c:pt idx="3">
                          <c:v>2025-26</c:v>
                        </c:pt>
                        <c:pt idx="6">
                          <c:v>2029-30</c:v>
                        </c:pt>
                        <c:pt idx="9">
                          <c:v>2033-34</c:v>
                        </c:pt>
                        <c:pt idx="12">
                          <c:v>2037-38</c:v>
                        </c:pt>
                        <c:pt idx="15">
                          <c:v>2041-42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'Gas Sales - Base Build Summary'!$B$14:$S$14</c15:sqref>
                        </c15:formulaRef>
                      </c:ext>
                    </c:extLst>
                    <c:numCache>
                      <c:formatCode>0</c:formatCode>
                      <c:ptCount val="1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03E-4F2F-BF40-51E07A829ED8}"/>
                  </c:ext>
                </c:extLst>
              </c15:ser>
            </c15:filteredBarSeries>
          </c:ext>
        </c:extLst>
      </c:barChart>
      <c:catAx>
        <c:axId val="2271336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51872"/>
        <c:crosses val="autoZero"/>
        <c:auto val="1"/>
        <c:lblAlgn val="ctr"/>
        <c:lblOffset val="100"/>
        <c:noMultiLvlLbl val="0"/>
      </c:catAx>
      <c:valAx>
        <c:axId val="22715187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/>
                  <a:t>December Peak Day Capacity in MDth per day</a:t>
                </a:r>
              </a:p>
            </c:rich>
          </c:tx>
          <c:layout>
            <c:manualLayout>
              <c:xMode val="edge"/>
              <c:yMode val="edge"/>
              <c:x val="0.33387558764403019"/>
              <c:y val="1.92342250792526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low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3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360963041810218"/>
          <c:y val="0.9267859965643116"/>
          <c:w val="0.58545609574127933"/>
          <c:h val="6.3115586008777841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'Gas Sales - Base Build Summary'!$A$9</c:f>
              <c:strCache>
                <c:ptCount val="1"/>
                <c:pt idx="0">
                  <c:v>NWP Additions + Westcoast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Summary'!$B$9:$S$9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21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EA-4D3D-83BC-E83A6E4E3159}"/>
            </c:ext>
          </c:extLst>
        </c:ser>
        <c:ser>
          <c:idx val="1"/>
          <c:order val="1"/>
          <c:tx>
            <c:strRef>
              <c:f>'Gas Sales - Base Build Summary'!$A$10</c:f>
              <c:strCache>
                <c:ptCount val="1"/>
                <c:pt idx="0">
                  <c:v>KORP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Summary'!$B$10:$S$10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EA-4D3D-83BC-E83A6E4E3159}"/>
            </c:ext>
          </c:extLst>
        </c:ser>
        <c:ser>
          <c:idx val="2"/>
          <c:order val="2"/>
          <c:tx>
            <c:strRef>
              <c:f>'Gas Sales - Base Build Summary'!$A$11</c:f>
              <c:strCache>
                <c:ptCount val="1"/>
                <c:pt idx="0">
                  <c:v>NWP from AECO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Summary'!$B$11:$S$11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EA-4D3D-83BC-E83A6E4E3159}"/>
            </c:ext>
          </c:extLst>
        </c:ser>
        <c:ser>
          <c:idx val="3"/>
          <c:order val="3"/>
          <c:tx>
            <c:strRef>
              <c:f>'Gas Sales - Base Build Summary'!$A$12</c:f>
              <c:strCache>
                <c:ptCount val="1"/>
                <c:pt idx="0">
                  <c:v>Mist Storage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Summary'!$B$12:$S$12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EA-4D3D-83BC-E83A6E4E3159}"/>
            </c:ext>
          </c:extLst>
        </c:ser>
        <c:ser>
          <c:idx val="4"/>
          <c:order val="4"/>
          <c:tx>
            <c:strRef>
              <c:f>'Gas Sales - Base Build Summary'!$A$13</c:f>
              <c:strCache>
                <c:ptCount val="1"/>
                <c:pt idx="0">
                  <c:v>Ply LNG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Summary'!$B$13:$S$13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  <c:pt idx="9">
                  <c:v>0</c:v>
                </c:pt>
                <c:pt idx="10">
                  <c:v>0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15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EA-4D3D-83BC-E83A6E4E3159}"/>
            </c:ext>
          </c:extLst>
        </c:ser>
        <c:ser>
          <c:idx val="5"/>
          <c:order val="5"/>
          <c:tx>
            <c:strRef>
              <c:f>'Gas Sales - Base Build Summary'!$A$14</c:f>
              <c:strCache>
                <c:ptCount val="1"/>
                <c:pt idx="0">
                  <c:v>LNG Tacoma Distr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Summary'!$B$14:$S$14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EA-4D3D-83BC-E83A6E4E3159}"/>
            </c:ext>
          </c:extLst>
        </c:ser>
        <c:ser>
          <c:idx val="6"/>
          <c:order val="6"/>
          <c:tx>
            <c:strRef>
              <c:f>'Gas Sales - Base Build Summary'!$A$15</c:f>
              <c:strCache>
                <c:ptCount val="1"/>
                <c:pt idx="0">
                  <c:v>Swarr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Summary'!$B$15:$S$15</c:f>
              <c:numCache>
                <c:formatCode>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30</c:v>
                </c:pt>
                <c:pt idx="15">
                  <c:v>0</c:v>
                </c:pt>
                <c:pt idx="16">
                  <c:v>0</c:v>
                </c:pt>
                <c:pt idx="1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1EA-4D3D-83BC-E83A6E4E3159}"/>
            </c:ext>
          </c:extLst>
        </c:ser>
        <c:ser>
          <c:idx val="7"/>
          <c:order val="7"/>
          <c:tx>
            <c:strRef>
              <c:f>'Gas Sales - Base Build Summary'!$A$16</c:f>
              <c:strCache>
                <c:ptCount val="1"/>
                <c:pt idx="0">
                  <c:v>DSR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'Gas Sales - Base Build Summary'!$B$6:$S$8</c:f>
              <c:multiLvlStrCache>
                <c:ptCount val="18"/>
                <c:lvl>
                  <c:pt idx="0">
                    <c:v>2022-23</c:v>
                  </c:pt>
                  <c:pt idx="1">
                    <c:v>2022-23</c:v>
                  </c:pt>
                  <c:pt idx="2">
                    <c:v>2022-23</c:v>
                  </c:pt>
                  <c:pt idx="3">
                    <c:v>2025-26</c:v>
                  </c:pt>
                  <c:pt idx="4">
                    <c:v>2025-26</c:v>
                  </c:pt>
                  <c:pt idx="5">
                    <c:v>2025-26</c:v>
                  </c:pt>
                  <c:pt idx="6">
                    <c:v>2029-30</c:v>
                  </c:pt>
                  <c:pt idx="7">
                    <c:v>2029-30</c:v>
                  </c:pt>
                  <c:pt idx="8">
                    <c:v>2029-30</c:v>
                  </c:pt>
                  <c:pt idx="9">
                    <c:v>2033-34</c:v>
                  </c:pt>
                  <c:pt idx="10">
                    <c:v>2033-34</c:v>
                  </c:pt>
                  <c:pt idx="11">
                    <c:v>2033-34</c:v>
                  </c:pt>
                  <c:pt idx="12">
                    <c:v>2037-38</c:v>
                  </c:pt>
                  <c:pt idx="13">
                    <c:v>2037-38</c:v>
                  </c:pt>
                  <c:pt idx="14">
                    <c:v>2037-38</c:v>
                  </c:pt>
                  <c:pt idx="15">
                    <c:v>2041-42</c:v>
                  </c:pt>
                  <c:pt idx="16">
                    <c:v>2041-42</c:v>
                  </c:pt>
                  <c:pt idx="17">
                    <c:v>2041-42</c:v>
                  </c:pt>
                </c:lvl>
                <c:lvl>
                  <c:pt idx="0">
                    <c:v>BASE</c:v>
                  </c:pt>
                  <c:pt idx="1">
                    <c:v>LOW</c:v>
                  </c:pt>
                  <c:pt idx="2">
                    <c:v>HIGH</c:v>
                  </c:pt>
                  <c:pt idx="3">
                    <c:v>BASE</c:v>
                  </c:pt>
                  <c:pt idx="4">
                    <c:v>LOW</c:v>
                  </c:pt>
                  <c:pt idx="5">
                    <c:v>HIGH</c:v>
                  </c:pt>
                  <c:pt idx="6">
                    <c:v>BASE</c:v>
                  </c:pt>
                  <c:pt idx="7">
                    <c:v>LOW</c:v>
                  </c:pt>
                  <c:pt idx="8">
                    <c:v>HIGH</c:v>
                  </c:pt>
                  <c:pt idx="9">
                    <c:v>BASE</c:v>
                  </c:pt>
                  <c:pt idx="10">
                    <c:v>LOW</c:v>
                  </c:pt>
                  <c:pt idx="11">
                    <c:v>HIGH</c:v>
                  </c:pt>
                  <c:pt idx="12">
                    <c:v>BASE</c:v>
                  </c:pt>
                  <c:pt idx="13">
                    <c:v>LOW</c:v>
                  </c:pt>
                  <c:pt idx="14">
                    <c:v>HIGH</c:v>
                  </c:pt>
                  <c:pt idx="15">
                    <c:v>BASE</c:v>
                  </c:pt>
                  <c:pt idx="16">
                    <c:v>LOW</c:v>
                  </c:pt>
                  <c:pt idx="17">
                    <c:v>HIGH</c:v>
                  </c:pt>
                </c:lvl>
                <c:lvl>
                  <c:pt idx="0">
                    <c:v>2022-23</c:v>
                  </c:pt>
                  <c:pt idx="3">
                    <c:v>2025-26</c:v>
                  </c:pt>
                  <c:pt idx="6">
                    <c:v>2029-30</c:v>
                  </c:pt>
                  <c:pt idx="9">
                    <c:v>2033-34</c:v>
                  </c:pt>
                  <c:pt idx="12">
                    <c:v>2037-38</c:v>
                  </c:pt>
                  <c:pt idx="15">
                    <c:v>2041-42</c:v>
                  </c:pt>
                </c:lvl>
              </c:multiLvlStrCache>
            </c:multiLvlStrRef>
          </c:cat>
          <c:val>
            <c:numRef>
              <c:f>'Gas Sales - Base Build Summary'!$B$16:$S$16</c:f>
              <c:numCache>
                <c:formatCode>0</c:formatCode>
                <c:ptCount val="18"/>
                <c:pt idx="0">
                  <c:v>4.6109774071628653</c:v>
                </c:pt>
                <c:pt idx="1">
                  <c:v>4.6109774071628653</c:v>
                </c:pt>
                <c:pt idx="2">
                  <c:v>4.6318667643361797</c:v>
                </c:pt>
                <c:pt idx="3">
                  <c:v>21.139329931715892</c:v>
                </c:pt>
                <c:pt idx="4">
                  <c:v>21.139329931715892</c:v>
                </c:pt>
                <c:pt idx="5">
                  <c:v>21.222035606716283</c:v>
                </c:pt>
                <c:pt idx="6">
                  <c:v>46.189227368028135</c:v>
                </c:pt>
                <c:pt idx="7">
                  <c:v>46.189227368028135</c:v>
                </c:pt>
                <c:pt idx="8">
                  <c:v>46.35392727602521</c:v>
                </c:pt>
                <c:pt idx="9">
                  <c:v>69.066897835315515</c:v>
                </c:pt>
                <c:pt idx="10">
                  <c:v>69.066897835315515</c:v>
                </c:pt>
                <c:pt idx="11">
                  <c:v>69.270096037161764</c:v>
                </c:pt>
                <c:pt idx="12">
                  <c:v>87.983643456225266</c:v>
                </c:pt>
                <c:pt idx="13">
                  <c:v>87.983643456225266</c:v>
                </c:pt>
                <c:pt idx="14">
                  <c:v>88.182181166437161</c:v>
                </c:pt>
                <c:pt idx="15">
                  <c:v>106.76440392371885</c:v>
                </c:pt>
                <c:pt idx="16">
                  <c:v>106.76440392371885</c:v>
                </c:pt>
                <c:pt idx="17">
                  <c:v>106.95842847332402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1EA-4D3D-83BC-E83A6E4E3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7306880"/>
        <c:axId val="227316864"/>
      </c:barChart>
      <c:catAx>
        <c:axId val="2273068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316864"/>
        <c:crosses val="autoZero"/>
        <c:auto val="1"/>
        <c:lblAlgn val="ctr"/>
        <c:lblOffset val="100"/>
        <c:noMultiLvlLbl val="0"/>
      </c:catAx>
      <c:valAx>
        <c:axId val="2273168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30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45184736523318"/>
          <c:y val="3.0905367598280983E-2"/>
          <c:w val="0.85743093651755065"/>
          <c:h val="0.79399448695286712"/>
        </c:manualLayout>
      </c:layout>
      <c:barChart>
        <c:barDir val="col"/>
        <c:grouping val="stacked"/>
        <c:varyColors val="0"/>
        <c:ser>
          <c:idx val="0"/>
          <c:order val="3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invertIfNegative val="0"/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4D-4353-8854-946670F34C5D}"/>
            </c:ext>
          </c:extLst>
        </c:ser>
        <c:ser>
          <c:idx val="1"/>
          <c:order val="4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4D-4353-8854-946670F34C5D}"/>
            </c:ext>
          </c:extLst>
        </c:ser>
        <c:ser>
          <c:idx val="3"/>
          <c:order val="5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</c:spPr>
          <c:invertIfNegative val="0"/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4D-4353-8854-946670F34C5D}"/>
            </c:ext>
          </c:extLst>
        </c:ser>
        <c:ser>
          <c:idx val="6"/>
          <c:order val="6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4D-4353-8854-946670F34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100"/>
        <c:axId val="217016192"/>
        <c:axId val="217026560"/>
      </c:barChart>
      <c:lineChart>
        <c:grouping val="standard"/>
        <c:varyColors val="0"/>
        <c:ser>
          <c:idx val="2"/>
          <c:order val="0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4D-4353-8854-946670F34C5D}"/>
            </c:ext>
          </c:extLst>
        </c:ser>
        <c:ser>
          <c:idx val="4"/>
          <c:order val="1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>
              <a:solidFill>
                <a:schemeClr val="accent5">
                  <a:lumMod val="75000"/>
                  <a:lumOff val="25000"/>
                </a:schemeClr>
              </a:solidFill>
            </a:ln>
          </c:spPr>
          <c:marker>
            <c:symbol val="triangle"/>
            <c:size val="7"/>
            <c:spPr>
              <a:solidFill>
                <a:schemeClr val="accent5">
                  <a:lumMod val="75000"/>
                  <a:lumOff val="25000"/>
                </a:schemeClr>
              </a:solidFill>
              <a:ln>
                <a:solidFill>
                  <a:schemeClr val="accent5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4D-4353-8854-946670F34C5D}"/>
            </c:ext>
          </c:extLst>
        </c:ser>
        <c:ser>
          <c:idx val="5"/>
          <c:order val="2"/>
          <c:tx>
            <c:strRef>
              <c:f>'L&amp;R Bal - HIGH'!$I$6</c:f>
              <c:strCache>
                <c:ptCount val="1"/>
                <c:pt idx="0">
                  <c:v>2021 IRP HIGH Demand Before DSR</c:v>
                </c:pt>
              </c:strCache>
            </c:strRef>
          </c:tx>
          <c:spPr>
            <a:ln>
              <a:solidFill>
                <a:schemeClr val="tx2">
                  <a:lumMod val="40000"/>
                  <a:lumOff val="6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HIGH'!$I$14:$I$33</c:f>
              <c:numCache>
                <c:formatCode>#,##0</c:formatCode>
                <c:ptCount val="20"/>
                <c:pt idx="0">
                  <c:v>983.84658242787464</c:v>
                </c:pt>
                <c:pt idx="1">
                  <c:v>1001.8232300421203</c:v>
                </c:pt>
                <c:pt idx="2">
                  <c:v>1020.266999669704</c:v>
                </c:pt>
                <c:pt idx="3">
                  <c:v>1035.9636506551724</c:v>
                </c:pt>
                <c:pt idx="4">
                  <c:v>1047.1741396870491</c:v>
                </c:pt>
                <c:pt idx="5">
                  <c:v>1052.0788902962893</c:v>
                </c:pt>
                <c:pt idx="6">
                  <c:v>1067.3171043397062</c:v>
                </c:pt>
                <c:pt idx="7">
                  <c:v>1076.1852519591553</c:v>
                </c:pt>
                <c:pt idx="8">
                  <c:v>1088.3251681807692</c:v>
                </c:pt>
                <c:pt idx="9">
                  <c:v>1098.5393278798222</c:v>
                </c:pt>
                <c:pt idx="10">
                  <c:v>1111.3174437515399</c:v>
                </c:pt>
                <c:pt idx="11">
                  <c:v>1116.1661670496994</c:v>
                </c:pt>
                <c:pt idx="12">
                  <c:v>1129.4278116928631</c:v>
                </c:pt>
                <c:pt idx="13">
                  <c:v>1140.6654744964358</c:v>
                </c:pt>
                <c:pt idx="14">
                  <c:v>1151.4681146254293</c:v>
                </c:pt>
                <c:pt idx="15">
                  <c:v>1167.5029116370577</c:v>
                </c:pt>
                <c:pt idx="16">
                  <c:v>1175.0787929781238</c:v>
                </c:pt>
                <c:pt idx="17">
                  <c:v>1184.0682758783091</c:v>
                </c:pt>
                <c:pt idx="18">
                  <c:v>1202.4220697551273</c:v>
                </c:pt>
                <c:pt idx="19">
                  <c:v>1207.6142494340922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4D-4353-8854-946670F34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016192"/>
        <c:axId val="217026560"/>
      </c:lineChart>
      <c:catAx>
        <c:axId val="2170161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anchor="t" anchorCtr="0"/>
          <a:lstStyle/>
          <a:p>
            <a:pPr>
              <a:defRPr sz="1500" baseline="0"/>
            </a:pPr>
            <a:endParaRPr lang="en-US"/>
          </a:p>
        </c:txPr>
        <c:crossAx val="217026560"/>
        <c:crosses val="autoZero"/>
        <c:auto val="1"/>
        <c:lblAlgn val="ctr"/>
        <c:lblOffset val="100"/>
        <c:noMultiLvlLbl val="0"/>
      </c:catAx>
      <c:valAx>
        <c:axId val="217026560"/>
        <c:scaling>
          <c:orientation val="minMax"/>
          <c:max val="14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Capacity MDth/day</a:t>
                </a:r>
                <a:endParaRPr lang="en-US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1701619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8378160422254911"/>
          <c:y val="0.59261872510532099"/>
          <c:w val="0.75017161316373915"/>
          <c:h val="0.1404572302477938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4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88081893896715"/>
          <c:y val="9.2262045625716896E-2"/>
          <c:w val="0.86800496553149686"/>
          <c:h val="0.7237713434768287"/>
        </c:manualLayout>
      </c:layout>
      <c:barChart>
        <c:barDir val="col"/>
        <c:grouping val="clustered"/>
        <c:varyColors val="0"/>
        <c:ser>
          <c:idx val="7"/>
          <c:order val="0"/>
          <c:tx>
            <c:strRef>
              <c:f>'L&amp;R Bal - Mid'!$J$6</c:f>
              <c:strCache>
                <c:ptCount val="1"/>
                <c:pt idx="0">
                  <c:v>IRP Resource Surplus/ (Need)</c:v>
                </c:pt>
              </c:strCache>
            </c:strRef>
          </c:tx>
          <c:spPr>
            <a:solidFill>
              <a:schemeClr val="accent5">
                <a:lumMod val="50000"/>
                <a:lumOff val="50000"/>
              </a:schemeClr>
            </a:solidFill>
            <a:effectLst>
              <a:outerShdw dist="50800" algn="ctr" rotWithShape="0">
                <a:schemeClr val="bg1"/>
              </a:outerShdw>
            </a:effectLst>
          </c:spPr>
          <c:invertIfNegative val="0"/>
          <c:cat>
            <c:strRef>
              <c:f>'L&amp;R Bal - Mid'!$B$10:$C$32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Mid'!$J$14:$J$33</c:f>
              <c:numCache>
                <c:formatCode>#,##0_);\(#,##0\)</c:formatCode>
                <c:ptCount val="20"/>
                <c:pt idx="0">
                  <c:v>75.896499999999833</c:v>
                </c:pt>
                <c:pt idx="1">
                  <c:v>65.946579999999813</c:v>
                </c:pt>
                <c:pt idx="2">
                  <c:v>54.507539999999949</c:v>
                </c:pt>
                <c:pt idx="3">
                  <c:v>47.117839999999887</c:v>
                </c:pt>
                <c:pt idx="4">
                  <c:v>39.099329999999782</c:v>
                </c:pt>
                <c:pt idx="5">
                  <c:v>31.239310000000046</c:v>
                </c:pt>
                <c:pt idx="6">
                  <c:v>21.699289999999905</c:v>
                </c:pt>
                <c:pt idx="7">
                  <c:v>15.142060000000129</c:v>
                </c:pt>
                <c:pt idx="8">
                  <c:v>6.8045499999998356</c:v>
                </c:pt>
                <c:pt idx="9">
                  <c:v>-2.0851400000001377</c:v>
                </c:pt>
                <c:pt idx="10">
                  <c:v>-12.283519999999953</c:v>
                </c:pt>
                <c:pt idx="11">
                  <c:v>-19.132030000000213</c:v>
                </c:pt>
                <c:pt idx="12">
                  <c:v>-27.624290000000201</c:v>
                </c:pt>
                <c:pt idx="13">
                  <c:v>-36.267689999999902</c:v>
                </c:pt>
                <c:pt idx="14">
                  <c:v>-46.473990000000185</c:v>
                </c:pt>
                <c:pt idx="15">
                  <c:v>-53.058950000000095</c:v>
                </c:pt>
                <c:pt idx="16">
                  <c:v>-61.303820000000314</c:v>
                </c:pt>
                <c:pt idx="17">
                  <c:v>-70.061590000000251</c:v>
                </c:pt>
                <c:pt idx="18">
                  <c:v>-80.516980000000103</c:v>
                </c:pt>
                <c:pt idx="19">
                  <c:v>-87.626220000000103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1D-4FB4-8E23-FD46FA9BF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300928"/>
        <c:axId val="216090112"/>
      </c:barChart>
      <c:catAx>
        <c:axId val="21630092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Winter Period</a:t>
                </a:r>
              </a:p>
            </c:rich>
          </c:tx>
          <c:overlay val="0"/>
        </c:title>
        <c:numFmt formatCode="General" sourceLinked="0"/>
        <c:majorTickMark val="in"/>
        <c:minorTickMark val="none"/>
        <c:tickLblPos val="low"/>
        <c:spPr>
          <a:noFill/>
        </c:spPr>
        <c:txPr>
          <a:bodyPr/>
          <a:lstStyle/>
          <a:p>
            <a:pPr>
              <a:defRPr sz="1600"/>
            </a:pPr>
            <a:endParaRPr lang="en-US"/>
          </a:p>
        </c:txPr>
        <c:crossAx val="216090112"/>
        <c:crosses val="autoZero"/>
        <c:auto val="1"/>
        <c:lblAlgn val="ctr"/>
        <c:lblOffset val="100"/>
        <c:noMultiLvlLbl val="0"/>
      </c:catAx>
      <c:valAx>
        <c:axId val="2160901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600"/>
                </a:pPr>
                <a:r>
                  <a:rPr lang="en-US" sz="1600"/>
                  <a:t>Peak</a:t>
                </a:r>
                <a:r>
                  <a:rPr lang="en-US" sz="1600" baseline="0"/>
                  <a:t> Day MDth/day</a:t>
                </a:r>
                <a:endParaRPr lang="en-US" sz="1600"/>
              </a:p>
            </c:rich>
          </c:tx>
          <c:overlay val="0"/>
        </c:title>
        <c:numFmt formatCode="#,##0_);\(#,##0\)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630092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282526838185594"/>
          <c:y val="0.73105146512507735"/>
          <c:w val="0.36621615363552595"/>
          <c:h val="5.1181102362204724E-2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600" baseline="0"/>
          </a:pPr>
          <a:endParaRPr lang="en-US"/>
        </a:p>
      </c:txPr>
    </c:legend>
    <c:plotVisOnly val="1"/>
    <c:dispBlanksAs val="gap"/>
    <c:showDLblsOverMax val="0"/>
  </c:char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45184736523318"/>
          <c:y val="3.0905367598280983E-2"/>
          <c:w val="0.85743093651755065"/>
          <c:h val="0.80657792113106719"/>
        </c:manualLayout>
      </c:layout>
      <c:lineChart>
        <c:grouping val="standard"/>
        <c:varyColors val="0"/>
        <c:ser>
          <c:idx val="2"/>
          <c:order val="0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EA-458E-BEA1-2C243053BC05}"/>
            </c:ext>
          </c:extLst>
        </c:ser>
        <c:ser>
          <c:idx val="4"/>
          <c:order val="1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>
              <a:solidFill>
                <a:schemeClr val="accent5">
                  <a:lumMod val="75000"/>
                  <a:lumOff val="25000"/>
                </a:schemeClr>
              </a:solidFill>
            </a:ln>
          </c:spPr>
          <c:marker>
            <c:symbol val="triangle"/>
            <c:size val="7"/>
            <c:spPr>
              <a:solidFill>
                <a:schemeClr val="accent5">
                  <a:lumMod val="75000"/>
                  <a:lumOff val="25000"/>
                </a:schemeClr>
              </a:solidFill>
              <a:ln>
                <a:solidFill>
                  <a:schemeClr val="accent5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EEA-458E-BEA1-2C243053BC05}"/>
            </c:ext>
          </c:extLst>
        </c:ser>
        <c:ser>
          <c:idx val="5"/>
          <c:order val="2"/>
          <c:tx>
            <c:strRef>
              <c:f>'L&amp;R Bal - HIGH'!$I$6</c:f>
              <c:strCache>
                <c:ptCount val="1"/>
                <c:pt idx="0">
                  <c:v>2021 IRP HIGH Demand Before DSR</c:v>
                </c:pt>
              </c:strCache>
            </c:strRef>
          </c:tx>
          <c:spPr>
            <a:ln>
              <a:solidFill>
                <a:schemeClr val="tx2">
                  <a:lumMod val="40000"/>
                  <a:lumOff val="6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HIGH'!$I$14:$I$33</c:f>
              <c:numCache>
                <c:formatCode>#,##0</c:formatCode>
                <c:ptCount val="20"/>
                <c:pt idx="0">
                  <c:v>983.84658242787464</c:v>
                </c:pt>
                <c:pt idx="1">
                  <c:v>1001.8232300421203</c:v>
                </c:pt>
                <c:pt idx="2">
                  <c:v>1020.266999669704</c:v>
                </c:pt>
                <c:pt idx="3">
                  <c:v>1035.9636506551724</c:v>
                </c:pt>
                <c:pt idx="4">
                  <c:v>1047.1741396870491</c:v>
                </c:pt>
                <c:pt idx="5">
                  <c:v>1052.0788902962893</c:v>
                </c:pt>
                <c:pt idx="6">
                  <c:v>1067.3171043397062</c:v>
                </c:pt>
                <c:pt idx="7">
                  <c:v>1076.1852519591553</c:v>
                </c:pt>
                <c:pt idx="8">
                  <c:v>1088.3251681807692</c:v>
                </c:pt>
                <c:pt idx="9">
                  <c:v>1098.5393278798222</c:v>
                </c:pt>
                <c:pt idx="10">
                  <c:v>1111.3174437515399</c:v>
                </c:pt>
                <c:pt idx="11">
                  <c:v>1116.1661670496994</c:v>
                </c:pt>
                <c:pt idx="12">
                  <c:v>1129.4278116928631</c:v>
                </c:pt>
                <c:pt idx="13">
                  <c:v>1140.6654744964358</c:v>
                </c:pt>
                <c:pt idx="14">
                  <c:v>1151.4681146254293</c:v>
                </c:pt>
                <c:pt idx="15">
                  <c:v>1167.5029116370577</c:v>
                </c:pt>
                <c:pt idx="16">
                  <c:v>1175.0787929781238</c:v>
                </c:pt>
                <c:pt idx="17">
                  <c:v>1184.0682758783091</c:v>
                </c:pt>
                <c:pt idx="18">
                  <c:v>1202.4220697551273</c:v>
                </c:pt>
                <c:pt idx="19">
                  <c:v>1207.6142494340922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EEA-458E-BEA1-2C243053B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77952"/>
        <c:axId val="219280128"/>
      </c:lineChart>
      <c:catAx>
        <c:axId val="2192779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anchor="t" anchorCtr="0"/>
          <a:lstStyle/>
          <a:p>
            <a:pPr>
              <a:defRPr sz="1500" baseline="0"/>
            </a:pPr>
            <a:endParaRPr lang="en-US"/>
          </a:p>
        </c:txPr>
        <c:crossAx val="219280128"/>
        <c:crosses val="autoZero"/>
        <c:auto val="1"/>
        <c:lblAlgn val="ctr"/>
        <c:lblOffset val="100"/>
        <c:noMultiLvlLbl val="0"/>
      </c:catAx>
      <c:valAx>
        <c:axId val="219280128"/>
        <c:scaling>
          <c:orientation val="minMax"/>
          <c:max val="1400"/>
          <c:min val="8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Capacity MDth/day</a:t>
                </a:r>
                <a:endParaRPr lang="en-US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19277952"/>
        <c:crosses val="autoZero"/>
        <c:crossBetween val="between"/>
      </c:valAx>
      <c:spPr>
        <a:noFill/>
        <a:ln w="25400"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7399516877695365"/>
          <c:y val="5.7632525049990994E-2"/>
          <c:w val="0.41294288280374924"/>
          <c:h val="0.17897377811678494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4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45184736523318"/>
          <c:y val="3.0905367598280983E-2"/>
          <c:w val="0.85743093651755065"/>
          <c:h val="0.80657792113106719"/>
        </c:manualLayout>
      </c:layout>
      <c:lineChart>
        <c:grouping val="standard"/>
        <c:varyColors val="0"/>
        <c:ser>
          <c:idx val="4"/>
          <c:order val="0"/>
          <c:tx>
            <c:strRef>
              <c:f>'L&amp;R Bal - LOW'!$AK$6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 w="57150">
              <a:solidFill>
                <a:schemeClr val="bg2">
                  <a:lumMod val="90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2">
                  <a:lumMod val="90000"/>
                </a:schemeClr>
              </a:solidFill>
              <a:ln w="57150">
                <a:solidFill>
                  <a:schemeClr val="bg2">
                    <a:lumMod val="90000"/>
                  </a:schemeClr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LOW'!$AK$14:$AK$33</c:f>
              <c:numCache>
                <c:formatCode>_(* #,##0_);_(* \(#,##0\);_(* "-"??_);_(@_)</c:formatCode>
                <c:ptCount val="20"/>
                <c:pt idx="0">
                  <c:v>814982721.68701208</c:v>
                </c:pt>
                <c:pt idx="1">
                  <c:v>814071578.97221029</c:v>
                </c:pt>
                <c:pt idx="2">
                  <c:v>807664170.80937064</c:v>
                </c:pt>
                <c:pt idx="3">
                  <c:v>798518377.51642084</c:v>
                </c:pt>
                <c:pt idx="4">
                  <c:v>795766623.88087094</c:v>
                </c:pt>
                <c:pt idx="5">
                  <c:v>796846511.45185912</c:v>
                </c:pt>
                <c:pt idx="6">
                  <c:v>801116530.42032659</c:v>
                </c:pt>
                <c:pt idx="7">
                  <c:v>795720126.51843321</c:v>
                </c:pt>
                <c:pt idx="8">
                  <c:v>796799137.2839731</c:v>
                </c:pt>
                <c:pt idx="9">
                  <c:v>801428204.52985263</c:v>
                </c:pt>
                <c:pt idx="10">
                  <c:v>810635919.70983922</c:v>
                </c:pt>
                <c:pt idx="11">
                  <c:v>808136120.6513834</c:v>
                </c:pt>
                <c:pt idx="12">
                  <c:v>812334102.43368173</c:v>
                </c:pt>
                <c:pt idx="13">
                  <c:v>817071205.93456781</c:v>
                </c:pt>
                <c:pt idx="14">
                  <c:v>827632597.15200925</c:v>
                </c:pt>
                <c:pt idx="15">
                  <c:v>824792640.46744084</c:v>
                </c:pt>
                <c:pt idx="16">
                  <c:v>828074160.23689735</c:v>
                </c:pt>
                <c:pt idx="17">
                  <c:v>832418415.7607224</c:v>
                </c:pt>
                <c:pt idx="18">
                  <c:v>840655850.30052125</c:v>
                </c:pt>
                <c:pt idx="19" formatCode="_(* #,##0.0_);_(* \(#,##0.0\);_(* &quot;-&quot;??_);_(@_)">
                  <c:v>842656151.84997201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93-4EF0-A308-17EBACA26782}"/>
            </c:ext>
          </c:extLst>
        </c:ser>
        <c:ser>
          <c:idx val="0"/>
          <c:order val="1"/>
          <c:tx>
            <c:strRef>
              <c:f>'L&amp;R Bal - Mid'!$AK$6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 w="50800">
              <a:solidFill>
                <a:schemeClr val="accent3">
                  <a:lumMod val="90000"/>
                </a:schemeClr>
              </a:solidFill>
            </a:ln>
          </c:spPr>
          <c:marker>
            <c:symbol val="triangle"/>
            <c:size val="11"/>
            <c:spPr>
              <a:solidFill>
                <a:schemeClr val="accent3">
                  <a:lumMod val="90000"/>
                </a:schemeClr>
              </a:solidFill>
              <a:ln>
                <a:solidFill>
                  <a:schemeClr val="accent3">
                    <a:lumMod val="90000"/>
                  </a:schemeClr>
                </a:solidFill>
              </a:ln>
            </c:spPr>
          </c:marker>
          <c:val>
            <c:numRef>
              <c:f>'L&amp;R Bal - Mid'!$AK$14:$AK$33</c:f>
              <c:numCache>
                <c:formatCode>#,##0</c:formatCode>
                <c:ptCount val="20"/>
                <c:pt idx="0">
                  <c:v>961561205.47094178</c:v>
                </c:pt>
                <c:pt idx="1">
                  <c:v>974089087.59519017</c:v>
                </c:pt>
                <c:pt idx="2">
                  <c:v>989633608.20641279</c:v>
                </c:pt>
                <c:pt idx="3">
                  <c:v>996530314.73947871</c:v>
                </c:pt>
                <c:pt idx="4">
                  <c:v>1002590837.7454909</c:v>
                </c:pt>
                <c:pt idx="5">
                  <c:v>1008155619.2685372</c:v>
                </c:pt>
                <c:pt idx="6">
                  <c:v>1016814168.7074149</c:v>
                </c:pt>
                <c:pt idx="7">
                  <c:v>1020478272.3146293</c:v>
                </c:pt>
                <c:pt idx="8">
                  <c:v>1027690868.016032</c:v>
                </c:pt>
                <c:pt idx="9">
                  <c:v>1037403348.3767536</c:v>
                </c:pt>
                <c:pt idx="10">
                  <c:v>1048511521.4929857</c:v>
                </c:pt>
                <c:pt idx="11">
                  <c:v>1053998986.9338676</c:v>
                </c:pt>
                <c:pt idx="12">
                  <c:v>1062474204.5490981</c:v>
                </c:pt>
                <c:pt idx="13">
                  <c:v>1071950188.9879758</c:v>
                </c:pt>
                <c:pt idx="14">
                  <c:v>1083629670.3607213</c:v>
                </c:pt>
                <c:pt idx="15">
                  <c:v>1088947847.0941885</c:v>
                </c:pt>
                <c:pt idx="16">
                  <c:v>1097079347.6653306</c:v>
                </c:pt>
                <c:pt idx="17">
                  <c:v>1107696432.6252508</c:v>
                </c:pt>
                <c:pt idx="18">
                  <c:v>1120732951.7034068</c:v>
                </c:pt>
                <c:pt idx="19" formatCode="General">
                  <c:v>1129182922.4849699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93-4EF0-A308-17EBACA26782}"/>
            </c:ext>
          </c:extLst>
        </c:ser>
        <c:ser>
          <c:idx val="5"/>
          <c:order val="2"/>
          <c:tx>
            <c:strRef>
              <c:f>'L&amp;R Bal - HIGH'!$AJ$6</c:f>
              <c:strCache>
                <c:ptCount val="1"/>
                <c:pt idx="0">
                  <c:v>2021 IRP HIGH Demand Before DSR</c:v>
                </c:pt>
              </c:strCache>
            </c:strRef>
          </c:tx>
          <c:spPr>
            <a:ln w="57150">
              <a:solidFill>
                <a:schemeClr val="accent6">
                  <a:lumMod val="40000"/>
                  <a:lumOff val="6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6">
                  <a:lumMod val="20000"/>
                  <a:lumOff val="80000"/>
                </a:schemeClr>
              </a:solidFill>
              <a:ln w="57150">
                <a:solidFill>
                  <a:schemeClr val="accent6">
                    <a:lumMod val="40000"/>
                    <a:lumOff val="60000"/>
                  </a:schemeClr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HIGH'!$AJ$14:$AJ$33</c:f>
              <c:numCache>
                <c:formatCode>#,##0</c:formatCode>
                <c:ptCount val="20"/>
                <c:pt idx="0">
                  <c:v>1100242639.1082337</c:v>
                </c:pt>
                <c:pt idx="1">
                  <c:v>1123963195.6576014</c:v>
                </c:pt>
                <c:pt idx="2">
                  <c:v>1162922788.3992975</c:v>
                </c:pt>
                <c:pt idx="3">
                  <c:v>1184236254.9277434</c:v>
                </c:pt>
                <c:pt idx="4">
                  <c:v>1197855183.7059073</c:v>
                </c:pt>
                <c:pt idx="5">
                  <c:v>1208754740.7913213</c:v>
                </c:pt>
                <c:pt idx="6">
                  <c:v>1230868413.6866264</c:v>
                </c:pt>
                <c:pt idx="7">
                  <c:v>1240762088.1339619</c:v>
                </c:pt>
                <c:pt idx="8">
                  <c:v>1255417377.492727</c:v>
                </c:pt>
                <c:pt idx="9">
                  <c:v>1274202441.2623682</c:v>
                </c:pt>
                <c:pt idx="10">
                  <c:v>1296511436.8734088</c:v>
                </c:pt>
                <c:pt idx="11">
                  <c:v>1305717808.9171345</c:v>
                </c:pt>
                <c:pt idx="12">
                  <c:v>1306372037.0749118</c:v>
                </c:pt>
                <c:pt idx="13">
                  <c:v>1323214448.2797668</c:v>
                </c:pt>
                <c:pt idx="14">
                  <c:v>1348671613.3676529</c:v>
                </c:pt>
                <c:pt idx="15">
                  <c:v>1360259186.8280303</c:v>
                </c:pt>
                <c:pt idx="16">
                  <c:v>1378718654.4422655</c:v>
                </c:pt>
                <c:pt idx="17">
                  <c:v>1393847205.0503354</c:v>
                </c:pt>
                <c:pt idx="18">
                  <c:v>1417702261.3780246</c:v>
                </c:pt>
                <c:pt idx="19" formatCode="General">
                  <c:v>1432612018.7857397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93-4EF0-A308-17EBACA26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590016"/>
        <c:axId val="219596288"/>
      </c:lineChart>
      <c:catAx>
        <c:axId val="2195900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anchor="t" anchorCtr="0"/>
          <a:lstStyle/>
          <a:p>
            <a:pPr>
              <a:defRPr sz="1500" baseline="0"/>
            </a:pPr>
            <a:endParaRPr lang="en-US"/>
          </a:p>
        </c:txPr>
        <c:crossAx val="219596288"/>
        <c:crosses val="autoZero"/>
        <c:auto val="1"/>
        <c:lblAlgn val="ctr"/>
        <c:lblOffset val="100"/>
        <c:noMultiLvlLbl val="0"/>
      </c:catAx>
      <c:valAx>
        <c:axId val="219596288"/>
        <c:scaling>
          <c:orientation val="minMax"/>
          <c:min val="400000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aseline="0"/>
                  <a:t>Annual Enerngy MMtherm per year</a:t>
                </a:r>
                <a:endParaRPr lang="en-US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crossAx val="219590016"/>
        <c:crosses val="autoZero"/>
        <c:crossBetween val="between"/>
        <c:dispUnits>
          <c:builtInUnit val="millions"/>
        </c:dispUnits>
      </c:valAx>
      <c:spPr>
        <a:noFill/>
        <a:ln w="25400">
          <a:solidFill>
            <a:sysClr val="windowText" lastClr="000000"/>
          </a:solidFill>
        </a:ln>
      </c:spPr>
    </c:plotArea>
    <c:legend>
      <c:legendPos val="b"/>
      <c:layout>
        <c:manualLayout>
          <c:xMode val="edge"/>
          <c:yMode val="edge"/>
          <c:x val="0.15199516900792473"/>
          <c:y val="5.3438054188269982E-2"/>
          <c:w val="0.42907621596770384"/>
          <c:h val="0.14122354036129589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14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3"/>
          <c:order val="0"/>
          <c:tx>
            <c:strRef>
              <c:f>'G2E Data'!$V$4</c:f>
              <c:strCache>
                <c:ptCount val="1"/>
                <c:pt idx="0">
                  <c:v>Sensitivity Q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25400">
              <a:noFill/>
            </a:ln>
            <a:effectLst/>
          </c:spPr>
          <c:val>
            <c:numRef>
              <c:f>'G2E Data'!$V$5:$V$28</c:f>
              <c:numCache>
                <c:formatCode>_("$"* #,##0_);_("$"* \(#,##0\);_("$"* "-"??_);_(@_)</c:formatCode>
                <c:ptCount val="24"/>
                <c:pt idx="0">
                  <c:v>2457489.741040396</c:v>
                </c:pt>
                <c:pt idx="1">
                  <c:v>2492698.6523687723</c:v>
                </c:pt>
                <c:pt idx="2">
                  <c:v>2758636.5049033994</c:v>
                </c:pt>
                <c:pt idx="3">
                  <c:v>2969767.4943762561</c:v>
                </c:pt>
                <c:pt idx="4">
                  <c:v>2807871.2598978356</c:v>
                </c:pt>
                <c:pt idx="5">
                  <c:v>2986856.4503480615</c:v>
                </c:pt>
                <c:pt idx="6">
                  <c:v>3205653.2702558171</c:v>
                </c:pt>
                <c:pt idx="7">
                  <c:v>3369461.0162433526</c:v>
                </c:pt>
                <c:pt idx="8">
                  <c:v>3651374.5960522117</c:v>
                </c:pt>
                <c:pt idx="9">
                  <c:v>3791554.1002996936</c:v>
                </c:pt>
                <c:pt idx="10">
                  <c:v>3969194.9218027848</c:v>
                </c:pt>
                <c:pt idx="11">
                  <c:v>4212642.6224497836</c:v>
                </c:pt>
                <c:pt idx="12">
                  <c:v>4395145.8656507619</c:v>
                </c:pt>
                <c:pt idx="13">
                  <c:v>4705898.471086869</c:v>
                </c:pt>
                <c:pt idx="14">
                  <c:v>5013858.1833978957</c:v>
                </c:pt>
                <c:pt idx="15">
                  <c:v>5296794.3134228699</c:v>
                </c:pt>
                <c:pt idx="16">
                  <c:v>5529151.4753024317</c:v>
                </c:pt>
                <c:pt idx="17">
                  <c:v>5905269.969617879</c:v>
                </c:pt>
                <c:pt idx="18">
                  <c:v>6280979.845555569</c:v>
                </c:pt>
                <c:pt idx="19">
                  <c:v>6572741.4915490011</c:v>
                </c:pt>
                <c:pt idx="20">
                  <c:v>6979671.5279424833</c:v>
                </c:pt>
                <c:pt idx="21">
                  <c:v>7363068.6158006433</c:v>
                </c:pt>
                <c:pt idx="22">
                  <c:v>7782288.4719901942</c:v>
                </c:pt>
                <c:pt idx="23">
                  <c:v>8180525.8137780745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B2-4FAB-B6BB-841CE34DE319}"/>
            </c:ext>
          </c:extLst>
        </c:ser>
        <c:ser>
          <c:idx val="0"/>
          <c:order val="2"/>
          <c:tx>
            <c:strRef>
              <c:f>'G2E Data'!$U$4</c:f>
              <c:strCache>
                <c:ptCount val="1"/>
                <c:pt idx="0">
                  <c:v>Mid Portolio</c:v>
                </c:pt>
              </c:strCache>
            </c:strRef>
          </c:tx>
          <c:spPr>
            <a:solidFill>
              <a:sysClr val="window" lastClr="FFFFFF"/>
            </a:solidFill>
            <a:ln>
              <a:noFill/>
            </a:ln>
            <a:effectLst/>
          </c:spPr>
          <c:val>
            <c:numRef>
              <c:f>'G2E Data'!$U$5:$U$28</c:f>
              <c:numCache>
                <c:formatCode>_("$"* #,##0.00_);_("$"* \(#,##0.00\);_("$"* "-"??_);_(@_)</c:formatCode>
                <c:ptCount val="24"/>
                <c:pt idx="0">
                  <c:v>2212867.3395897187</c:v>
                </c:pt>
                <c:pt idx="1">
                  <c:v>2219545.0338758612</c:v>
                </c:pt>
                <c:pt idx="2">
                  <c:v>2282161.5905383811</c:v>
                </c:pt>
                <c:pt idx="3">
                  <c:v>2369845.4175543189</c:v>
                </c:pt>
                <c:pt idx="4">
                  <c:v>2221020.5859971694</c:v>
                </c:pt>
                <c:pt idx="5">
                  <c:v>2432536.922897337</c:v>
                </c:pt>
                <c:pt idx="6">
                  <c:v>2555763.5284623643</c:v>
                </c:pt>
                <c:pt idx="7">
                  <c:v>2644123.6125918645</c:v>
                </c:pt>
                <c:pt idx="8">
                  <c:v>2875975.0578373722</c:v>
                </c:pt>
                <c:pt idx="9">
                  <c:v>2992610.078735414</c:v>
                </c:pt>
                <c:pt idx="10">
                  <c:v>3097637.1684891377</c:v>
                </c:pt>
                <c:pt idx="11">
                  <c:v>3134655.2522220723</c:v>
                </c:pt>
                <c:pt idx="12">
                  <c:v>3289609.345622153</c:v>
                </c:pt>
                <c:pt idx="13">
                  <c:v>3483534.50037733</c:v>
                </c:pt>
                <c:pt idx="14">
                  <c:v>3706965.6246829652</c:v>
                </c:pt>
                <c:pt idx="15">
                  <c:v>3881547.0395021909</c:v>
                </c:pt>
                <c:pt idx="16">
                  <c:v>3965375.3766137371</c:v>
                </c:pt>
                <c:pt idx="17">
                  <c:v>4153755.4777879776</c:v>
                </c:pt>
                <c:pt idx="18">
                  <c:v>4338479.7265081322</c:v>
                </c:pt>
                <c:pt idx="19">
                  <c:v>4532563.435180068</c:v>
                </c:pt>
                <c:pt idx="20">
                  <c:v>4831082.6487736078</c:v>
                </c:pt>
                <c:pt idx="21">
                  <c:v>5113933.37557487</c:v>
                </c:pt>
                <c:pt idx="22">
                  <c:v>5390359.7842932865</c:v>
                </c:pt>
                <c:pt idx="23">
                  <c:v>5605787.8154239245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B2-4FAB-B6BB-841CE34DE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4740016"/>
        <c:axId val="744735096"/>
      </c:areaChart>
      <c:lineChart>
        <c:grouping val="standard"/>
        <c:varyColors val="0"/>
        <c:ser>
          <c:idx val="2"/>
          <c:order val="1"/>
          <c:tx>
            <c:strRef>
              <c:f>'G2E Data'!$V$4</c:f>
              <c:strCache>
                <c:ptCount val="1"/>
                <c:pt idx="0">
                  <c:v>Sensitivity Q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'G2E Data'!$Y$5:$Y$28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'G2E Data'!$V$5:$V$28</c:f>
              <c:numCache>
                <c:formatCode>_("$"* #,##0_);_("$"* \(#,##0\);_("$"* "-"??_);_(@_)</c:formatCode>
                <c:ptCount val="24"/>
                <c:pt idx="0">
                  <c:v>2457489.741040396</c:v>
                </c:pt>
                <c:pt idx="1">
                  <c:v>2492698.6523687723</c:v>
                </c:pt>
                <c:pt idx="2">
                  <c:v>2758636.5049033994</c:v>
                </c:pt>
                <c:pt idx="3">
                  <c:v>2969767.4943762561</c:v>
                </c:pt>
                <c:pt idx="4">
                  <c:v>2807871.2598978356</c:v>
                </c:pt>
                <c:pt idx="5">
                  <c:v>2986856.4503480615</c:v>
                </c:pt>
                <c:pt idx="6">
                  <c:v>3205653.2702558171</c:v>
                </c:pt>
                <c:pt idx="7">
                  <c:v>3369461.0162433526</c:v>
                </c:pt>
                <c:pt idx="8">
                  <c:v>3651374.5960522117</c:v>
                </c:pt>
                <c:pt idx="9">
                  <c:v>3791554.1002996936</c:v>
                </c:pt>
                <c:pt idx="10">
                  <c:v>3969194.9218027848</c:v>
                </c:pt>
                <c:pt idx="11">
                  <c:v>4212642.6224497836</c:v>
                </c:pt>
                <c:pt idx="12">
                  <c:v>4395145.8656507619</c:v>
                </c:pt>
                <c:pt idx="13">
                  <c:v>4705898.471086869</c:v>
                </c:pt>
                <c:pt idx="14">
                  <c:v>5013858.1833978957</c:v>
                </c:pt>
                <c:pt idx="15">
                  <c:v>5296794.3134228699</c:v>
                </c:pt>
                <c:pt idx="16">
                  <c:v>5529151.4753024317</c:v>
                </c:pt>
                <c:pt idx="17">
                  <c:v>5905269.969617879</c:v>
                </c:pt>
                <c:pt idx="18">
                  <c:v>6280979.845555569</c:v>
                </c:pt>
                <c:pt idx="19">
                  <c:v>6572741.4915490011</c:v>
                </c:pt>
                <c:pt idx="20">
                  <c:v>6979671.5279424833</c:v>
                </c:pt>
                <c:pt idx="21">
                  <c:v>7363068.6158006433</c:v>
                </c:pt>
                <c:pt idx="22">
                  <c:v>7782288.4719901942</c:v>
                </c:pt>
                <c:pt idx="23">
                  <c:v>8180525.8137780745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AB-B6BB-841CE34DE319}"/>
            </c:ext>
          </c:extLst>
        </c:ser>
        <c:ser>
          <c:idx val="1"/>
          <c:order val="3"/>
          <c:tx>
            <c:strRef>
              <c:f>'G2E Data'!$U$4</c:f>
              <c:strCache>
                <c:ptCount val="1"/>
                <c:pt idx="0">
                  <c:v>Mid Portolio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'G2E Data'!$Y$5:$Y$28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'G2E Data'!$U$5:$U$28</c:f>
              <c:numCache>
                <c:formatCode>_("$"* #,##0.00_);_("$"* \(#,##0.00\);_("$"* "-"??_);_(@_)</c:formatCode>
                <c:ptCount val="24"/>
                <c:pt idx="0">
                  <c:v>2212867.3395897187</c:v>
                </c:pt>
                <c:pt idx="1">
                  <c:v>2219545.0338758612</c:v>
                </c:pt>
                <c:pt idx="2">
                  <c:v>2282161.5905383811</c:v>
                </c:pt>
                <c:pt idx="3">
                  <c:v>2369845.4175543189</c:v>
                </c:pt>
                <c:pt idx="4">
                  <c:v>2221020.5859971694</c:v>
                </c:pt>
                <c:pt idx="5">
                  <c:v>2432536.922897337</c:v>
                </c:pt>
                <c:pt idx="6">
                  <c:v>2555763.5284623643</c:v>
                </c:pt>
                <c:pt idx="7">
                  <c:v>2644123.6125918645</c:v>
                </c:pt>
                <c:pt idx="8">
                  <c:v>2875975.0578373722</c:v>
                </c:pt>
                <c:pt idx="9">
                  <c:v>2992610.078735414</c:v>
                </c:pt>
                <c:pt idx="10">
                  <c:v>3097637.1684891377</c:v>
                </c:pt>
                <c:pt idx="11">
                  <c:v>3134655.2522220723</c:v>
                </c:pt>
                <c:pt idx="12">
                  <c:v>3289609.345622153</c:v>
                </c:pt>
                <c:pt idx="13">
                  <c:v>3483534.50037733</c:v>
                </c:pt>
                <c:pt idx="14">
                  <c:v>3706965.6246829652</c:v>
                </c:pt>
                <c:pt idx="15">
                  <c:v>3881547.0395021909</c:v>
                </c:pt>
                <c:pt idx="16">
                  <c:v>3965375.3766137371</c:v>
                </c:pt>
                <c:pt idx="17">
                  <c:v>4153755.4777879776</c:v>
                </c:pt>
                <c:pt idx="18">
                  <c:v>4338479.7265081322</c:v>
                </c:pt>
                <c:pt idx="19">
                  <c:v>4532563.435180068</c:v>
                </c:pt>
                <c:pt idx="20">
                  <c:v>4831082.6487736078</c:v>
                </c:pt>
                <c:pt idx="21">
                  <c:v>5113933.37557487</c:v>
                </c:pt>
                <c:pt idx="22">
                  <c:v>5390359.7842932865</c:v>
                </c:pt>
                <c:pt idx="23">
                  <c:v>5605787.8154239245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AB-B6BB-841CE34DE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4740016"/>
        <c:axId val="744735096"/>
      </c:lineChart>
      <c:catAx>
        <c:axId val="74474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35096"/>
        <c:crosses val="autoZero"/>
        <c:auto val="1"/>
        <c:lblAlgn val="ctr"/>
        <c:lblOffset val="100"/>
        <c:noMultiLvlLbl val="0"/>
      </c:catAx>
      <c:valAx>
        <c:axId val="74473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Portfolio Costs ($000)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70798882047106"/>
          <c:y val="7.7544304525795291E-2"/>
          <c:w val="0.8697028117789467"/>
          <c:h val="0.82649419940799618"/>
        </c:manualLayout>
      </c:layout>
      <c:areaChart>
        <c:grouping val="standard"/>
        <c:varyColors val="0"/>
        <c:ser>
          <c:idx val="0"/>
          <c:order val="0"/>
          <c:tx>
            <c:strRef>
              <c:f>'G2E Data'!$Z$4</c:f>
              <c:strCache>
                <c:ptCount val="1"/>
                <c:pt idx="0">
                  <c:v>Mid Portolio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25400">
              <a:noFill/>
            </a:ln>
            <a:effectLst/>
          </c:spPr>
          <c:val>
            <c:numRef>
              <c:f>'G2E Data'!$Z$5:$Z$28</c:f>
              <c:numCache>
                <c:formatCode>_(* #,##0_);_(* \(#,##0\);_(* "-"??_);_(@_)</c:formatCode>
                <c:ptCount val="24"/>
                <c:pt idx="0">
                  <c:v>13626386.199860575</c:v>
                </c:pt>
                <c:pt idx="1">
                  <c:v>13122048.590861712</c:v>
                </c:pt>
                <c:pt idx="2">
                  <c:v>13076690.861384699</c:v>
                </c:pt>
                <c:pt idx="3">
                  <c:v>12625318.67578781</c:v>
                </c:pt>
                <c:pt idx="4">
                  <c:v>10181791.847016793</c:v>
                </c:pt>
                <c:pt idx="5">
                  <c:v>9662221.0379935689</c:v>
                </c:pt>
                <c:pt idx="6">
                  <c:v>9300805.8832548354</c:v>
                </c:pt>
                <c:pt idx="7">
                  <c:v>8752564.9119989593</c:v>
                </c:pt>
                <c:pt idx="8">
                  <c:v>8387855.2412026506</c:v>
                </c:pt>
                <c:pt idx="9">
                  <c:v>8304778.0206123609</c:v>
                </c:pt>
                <c:pt idx="10">
                  <c:v>8305766.9392377529</c:v>
                </c:pt>
                <c:pt idx="11">
                  <c:v>8190639.5307410136</c:v>
                </c:pt>
                <c:pt idx="12">
                  <c:v>8133354.1952033537</c:v>
                </c:pt>
                <c:pt idx="13">
                  <c:v>8053271.0269984109</c:v>
                </c:pt>
                <c:pt idx="14">
                  <c:v>8088089.6383649781</c:v>
                </c:pt>
                <c:pt idx="15">
                  <c:v>8020174.1259359065</c:v>
                </c:pt>
                <c:pt idx="16">
                  <c:v>8022411.9078683201</c:v>
                </c:pt>
                <c:pt idx="17">
                  <c:v>7974903.3590704482</c:v>
                </c:pt>
                <c:pt idx="18">
                  <c:v>7870953.9421759937</c:v>
                </c:pt>
                <c:pt idx="19">
                  <c:v>7741558.0577205159</c:v>
                </c:pt>
                <c:pt idx="20">
                  <c:v>7730040.079984</c:v>
                </c:pt>
                <c:pt idx="21">
                  <c:v>7665800.0325640664</c:v>
                </c:pt>
                <c:pt idx="22">
                  <c:v>7530158.8011985011</c:v>
                </c:pt>
                <c:pt idx="23">
                  <c:v>7475721.9070446212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A3-443E-964D-D13616E8A4B9}"/>
            </c:ext>
          </c:extLst>
        </c:ser>
        <c:ser>
          <c:idx val="3"/>
          <c:order val="2"/>
          <c:tx>
            <c:strRef>
              <c:f>'G2E Data'!$AA$4</c:f>
              <c:strCache>
                <c:ptCount val="1"/>
                <c:pt idx="0">
                  <c:v>Sensitivity Q</c:v>
                </c:pt>
              </c:strCache>
            </c:strRef>
          </c:tx>
          <c:spPr>
            <a:solidFill>
              <a:schemeClr val="bg1"/>
            </a:solidFill>
            <a:ln w="25400">
              <a:noFill/>
            </a:ln>
            <a:effectLst/>
          </c:spPr>
          <c:val>
            <c:numRef>
              <c:f>'G2E Data'!$AA$5:$AA$28</c:f>
              <c:numCache>
                <c:formatCode>_(* #,##0_);_(* \(#,##0\);_(* "-"??_);_(@_)</c:formatCode>
                <c:ptCount val="24"/>
                <c:pt idx="0">
                  <c:v>13666396.296174407</c:v>
                </c:pt>
                <c:pt idx="1">
                  <c:v>13168059.316885635</c:v>
                </c:pt>
                <c:pt idx="2">
                  <c:v>12512769.371511718</c:v>
                </c:pt>
                <c:pt idx="3">
                  <c:v>11829766.405800626</c:v>
                </c:pt>
                <c:pt idx="4">
                  <c:v>9545164.7162567172</c:v>
                </c:pt>
                <c:pt idx="5">
                  <c:v>9817177.1903523281</c:v>
                </c:pt>
                <c:pt idx="6">
                  <c:v>9092712.9716703743</c:v>
                </c:pt>
                <c:pt idx="7">
                  <c:v>8676354.509272173</c:v>
                </c:pt>
                <c:pt idx="8">
                  <c:v>7994747.4096895717</c:v>
                </c:pt>
                <c:pt idx="9">
                  <c:v>7907246.8764280118</c:v>
                </c:pt>
                <c:pt idx="10">
                  <c:v>7845873.9450795585</c:v>
                </c:pt>
                <c:pt idx="11">
                  <c:v>7674697.5677626655</c:v>
                </c:pt>
                <c:pt idx="12">
                  <c:v>7501763.8946657395</c:v>
                </c:pt>
                <c:pt idx="13">
                  <c:v>7317926.4348421171</c:v>
                </c:pt>
                <c:pt idx="14">
                  <c:v>7065418.0768436966</c:v>
                </c:pt>
                <c:pt idx="15">
                  <c:v>6946399.9301481051</c:v>
                </c:pt>
                <c:pt idx="16">
                  <c:v>6792878.3544404963</c:v>
                </c:pt>
                <c:pt idx="17">
                  <c:v>6731571.0112614855</c:v>
                </c:pt>
                <c:pt idx="18">
                  <c:v>6543783.3879125621</c:v>
                </c:pt>
                <c:pt idx="19">
                  <c:v>6324842.7796636317</c:v>
                </c:pt>
                <c:pt idx="20">
                  <c:v>6186164.253115098</c:v>
                </c:pt>
                <c:pt idx="21">
                  <c:v>5976114.8132894896</c:v>
                </c:pt>
                <c:pt idx="22">
                  <c:v>5573441.7554762503</c:v>
                </c:pt>
                <c:pt idx="23">
                  <c:v>5272064.5511576235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A3-443E-964D-D13616E8A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4740016"/>
        <c:axId val="744735096"/>
      </c:areaChart>
      <c:lineChart>
        <c:grouping val="standard"/>
        <c:varyColors val="0"/>
        <c:ser>
          <c:idx val="1"/>
          <c:order val="1"/>
          <c:tx>
            <c:strRef>
              <c:f>'G2E Data'!$Z$4</c:f>
              <c:strCache>
                <c:ptCount val="1"/>
                <c:pt idx="0">
                  <c:v>Mid Portolio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'G2E Data'!$Y$5:$Y$28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'G2E Data'!$Z$5:$Z$28</c:f>
              <c:numCache>
                <c:formatCode>_(* #,##0_);_(* \(#,##0\);_(* "-"??_);_(@_)</c:formatCode>
                <c:ptCount val="24"/>
                <c:pt idx="0">
                  <c:v>13626386.199860575</c:v>
                </c:pt>
                <c:pt idx="1">
                  <c:v>13122048.590861712</c:v>
                </c:pt>
                <c:pt idx="2">
                  <c:v>13076690.861384699</c:v>
                </c:pt>
                <c:pt idx="3">
                  <c:v>12625318.67578781</c:v>
                </c:pt>
                <c:pt idx="4">
                  <c:v>10181791.847016793</c:v>
                </c:pt>
                <c:pt idx="5">
                  <c:v>9662221.0379935689</c:v>
                </c:pt>
                <c:pt idx="6">
                  <c:v>9300805.8832548354</c:v>
                </c:pt>
                <c:pt idx="7">
                  <c:v>8752564.9119989593</c:v>
                </c:pt>
                <c:pt idx="8">
                  <c:v>8387855.2412026506</c:v>
                </c:pt>
                <c:pt idx="9">
                  <c:v>8304778.0206123609</c:v>
                </c:pt>
                <c:pt idx="10">
                  <c:v>8305766.9392377529</c:v>
                </c:pt>
                <c:pt idx="11">
                  <c:v>8190639.5307410136</c:v>
                </c:pt>
                <c:pt idx="12">
                  <c:v>8133354.1952033537</c:v>
                </c:pt>
                <c:pt idx="13">
                  <c:v>8053271.0269984109</c:v>
                </c:pt>
                <c:pt idx="14">
                  <c:v>8088089.6383649781</c:v>
                </c:pt>
                <c:pt idx="15">
                  <c:v>8020174.1259359065</c:v>
                </c:pt>
                <c:pt idx="16">
                  <c:v>8022411.9078683201</c:v>
                </c:pt>
                <c:pt idx="17">
                  <c:v>7974903.3590704482</c:v>
                </c:pt>
                <c:pt idx="18">
                  <c:v>7870953.9421759937</c:v>
                </c:pt>
                <c:pt idx="19">
                  <c:v>7741558.0577205159</c:v>
                </c:pt>
                <c:pt idx="20">
                  <c:v>7730040.079984</c:v>
                </c:pt>
                <c:pt idx="21">
                  <c:v>7665800.0325640664</c:v>
                </c:pt>
                <c:pt idx="22">
                  <c:v>7530158.8011985011</c:v>
                </c:pt>
                <c:pt idx="23">
                  <c:v>7475721.9070446212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A3-443E-964D-D13616E8A4B9}"/>
            </c:ext>
          </c:extLst>
        </c:ser>
        <c:ser>
          <c:idx val="2"/>
          <c:order val="3"/>
          <c:tx>
            <c:strRef>
              <c:f>'G2E Data'!$AA$4</c:f>
              <c:strCache>
                <c:ptCount val="1"/>
                <c:pt idx="0">
                  <c:v>Sensitivity Q</c:v>
                </c:pt>
              </c:strCache>
            </c:strRef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'G2E Data'!$Y$5:$Y$28</c:f>
              <c:numCache>
                <c:formatCode>General</c:formatCode>
                <c:ptCount val="24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  <c:pt idx="20">
                  <c:v>2042</c:v>
                </c:pt>
                <c:pt idx="21">
                  <c:v>2043</c:v>
                </c:pt>
                <c:pt idx="22">
                  <c:v>2044</c:v>
                </c:pt>
                <c:pt idx="23">
                  <c:v>2045</c:v>
                </c:pt>
              </c:numCache>
            </c:numRef>
          </c:cat>
          <c:val>
            <c:numRef>
              <c:f>'G2E Data'!$AA$5:$AA$28</c:f>
              <c:numCache>
                <c:formatCode>_(* #,##0_);_(* \(#,##0\);_(* "-"??_);_(@_)</c:formatCode>
                <c:ptCount val="24"/>
                <c:pt idx="0">
                  <c:v>13666396.296174407</c:v>
                </c:pt>
                <c:pt idx="1">
                  <c:v>13168059.316885635</c:v>
                </c:pt>
                <c:pt idx="2">
                  <c:v>12512769.371511718</c:v>
                </c:pt>
                <c:pt idx="3">
                  <c:v>11829766.405800626</c:v>
                </c:pt>
                <c:pt idx="4">
                  <c:v>9545164.7162567172</c:v>
                </c:pt>
                <c:pt idx="5">
                  <c:v>9817177.1903523281</c:v>
                </c:pt>
                <c:pt idx="6">
                  <c:v>9092712.9716703743</c:v>
                </c:pt>
                <c:pt idx="7">
                  <c:v>8676354.509272173</c:v>
                </c:pt>
                <c:pt idx="8">
                  <c:v>7994747.4096895717</c:v>
                </c:pt>
                <c:pt idx="9">
                  <c:v>7907246.8764280118</c:v>
                </c:pt>
                <c:pt idx="10">
                  <c:v>7845873.9450795585</c:v>
                </c:pt>
                <c:pt idx="11">
                  <c:v>7674697.5677626655</c:v>
                </c:pt>
                <c:pt idx="12">
                  <c:v>7501763.8946657395</c:v>
                </c:pt>
                <c:pt idx="13">
                  <c:v>7317926.4348421171</c:v>
                </c:pt>
                <c:pt idx="14">
                  <c:v>7065418.0768436966</c:v>
                </c:pt>
                <c:pt idx="15">
                  <c:v>6946399.9301481051</c:v>
                </c:pt>
                <c:pt idx="16">
                  <c:v>6792878.3544404963</c:v>
                </c:pt>
                <c:pt idx="17">
                  <c:v>6731571.0112614855</c:v>
                </c:pt>
                <c:pt idx="18">
                  <c:v>6543783.3879125621</c:v>
                </c:pt>
                <c:pt idx="19">
                  <c:v>6324842.7796636317</c:v>
                </c:pt>
                <c:pt idx="20">
                  <c:v>6186164.253115098</c:v>
                </c:pt>
                <c:pt idx="21">
                  <c:v>5976114.8132894896</c:v>
                </c:pt>
                <c:pt idx="22">
                  <c:v>5573441.7554762503</c:v>
                </c:pt>
                <c:pt idx="23">
                  <c:v>5272064.5511576235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A3-443E-964D-D13616E8A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4740016"/>
        <c:axId val="744735096"/>
      </c:lineChart>
      <c:catAx>
        <c:axId val="74474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35096"/>
        <c:crosses val="autoZero"/>
        <c:auto val="1"/>
        <c:lblAlgn val="ctr"/>
        <c:lblOffset val="100"/>
        <c:noMultiLvlLbl val="0"/>
      </c:catAx>
      <c:valAx>
        <c:axId val="74473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Metric Tons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4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'G2E Data'!$V$71</c:f>
              <c:strCache>
                <c:ptCount val="1"/>
                <c:pt idx="0">
                  <c:v>Mid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'G2E Data'!$U$72:$U$91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'G2E Data'!$V$72:$V$91</c:f>
              <c:numCache>
                <c:formatCode>_(* #,##0_);_(* \(#,##0\);_(* "-"??_);_(@_)</c:formatCode>
                <c:ptCount val="20"/>
                <c:pt idx="0">
                  <c:v>5065634.8423695769</c:v>
                </c:pt>
                <c:pt idx="1">
                  <c:v>5104395.2606598157</c:v>
                </c:pt>
                <c:pt idx="2">
                  <c:v>5157677.4554624846</c:v>
                </c:pt>
                <c:pt idx="3">
                  <c:v>5163187.2000058442</c:v>
                </c:pt>
                <c:pt idx="4">
                  <c:v>5161654.3062296668</c:v>
                </c:pt>
                <c:pt idx="5">
                  <c:v>5155095.1019273028</c:v>
                </c:pt>
                <c:pt idx="6">
                  <c:v>5163072.0220549051</c:v>
                </c:pt>
                <c:pt idx="7">
                  <c:v>5142343.7695651669</c:v>
                </c:pt>
                <c:pt idx="8">
                  <c:v>5138208.2668082751</c:v>
                </c:pt>
                <c:pt idx="9">
                  <c:v>5145535.6718754666</c:v>
                </c:pt>
                <c:pt idx="10">
                  <c:v>5170285.273877997</c:v>
                </c:pt>
                <c:pt idx="11">
                  <c:v>5176909.1535709146</c:v>
                </c:pt>
                <c:pt idx="12">
                  <c:v>5197753.194452608</c:v>
                </c:pt>
                <c:pt idx="13">
                  <c:v>5222502.9112750608</c:v>
                </c:pt>
                <c:pt idx="14">
                  <c:v>5258713.4997197641</c:v>
                </c:pt>
                <c:pt idx="15">
                  <c:v>5260110.8095025355</c:v>
                </c:pt>
                <c:pt idx="16">
                  <c:v>5276029.1988748554</c:v>
                </c:pt>
                <c:pt idx="17">
                  <c:v>5305151.7265751902</c:v>
                </c:pt>
                <c:pt idx="18">
                  <c:v>5347771.2343380889</c:v>
                </c:pt>
                <c:pt idx="19">
                  <c:v>5368164.9291356625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C6-437A-B1C3-0E3213C2D910}"/>
            </c:ext>
          </c:extLst>
        </c:ser>
        <c:ser>
          <c:idx val="1"/>
          <c:order val="1"/>
          <c:tx>
            <c:strRef>
              <c:f>'G2E Data'!$W$71</c:f>
              <c:strCache>
                <c:ptCount val="1"/>
                <c:pt idx="0">
                  <c:v>Senstivity D - Gas to Electric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'G2E Data'!$U$72:$U$91</c:f>
              <c:numCache>
                <c:formatCode>General</c:formatCode>
                <c:ptCount val="20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  <c:pt idx="5">
                  <c:v>2027</c:v>
                </c:pt>
                <c:pt idx="6">
                  <c:v>2028</c:v>
                </c:pt>
                <c:pt idx="7">
                  <c:v>2029</c:v>
                </c:pt>
                <c:pt idx="8">
                  <c:v>2030</c:v>
                </c:pt>
                <c:pt idx="9">
                  <c:v>2031</c:v>
                </c:pt>
                <c:pt idx="10">
                  <c:v>2032</c:v>
                </c:pt>
                <c:pt idx="11">
                  <c:v>2033</c:v>
                </c:pt>
                <c:pt idx="12">
                  <c:v>2034</c:v>
                </c:pt>
                <c:pt idx="13">
                  <c:v>2035</c:v>
                </c:pt>
                <c:pt idx="14">
                  <c:v>2036</c:v>
                </c:pt>
                <c:pt idx="15">
                  <c:v>2037</c:v>
                </c:pt>
                <c:pt idx="16">
                  <c:v>2038</c:v>
                </c:pt>
                <c:pt idx="17">
                  <c:v>2039</c:v>
                </c:pt>
                <c:pt idx="18">
                  <c:v>2040</c:v>
                </c:pt>
                <c:pt idx="19">
                  <c:v>2041</c:v>
                </c:pt>
              </c:numCache>
            </c:numRef>
          </c:cat>
          <c:val>
            <c:numRef>
              <c:f>'G2E Data'!$W$72:$W$91</c:f>
              <c:numCache>
                <c:formatCode>_(* #,##0_);_(* \(#,##0\);_(* "-"??_);_(@_)</c:formatCode>
                <c:ptCount val="20"/>
                <c:pt idx="0">
                  <c:v>4922762.2400227413</c:v>
                </c:pt>
                <c:pt idx="1">
                  <c:v>4890284.6033875449</c:v>
                </c:pt>
                <c:pt idx="2">
                  <c:v>4861159.3100709375</c:v>
                </c:pt>
                <c:pt idx="3">
                  <c:v>4770685.8973811585</c:v>
                </c:pt>
                <c:pt idx="4">
                  <c:v>4666719.8557176115</c:v>
                </c:pt>
                <c:pt idx="5">
                  <c:v>4547640.6159321265</c:v>
                </c:pt>
                <c:pt idx="6">
                  <c:v>4433078.2919485737</c:v>
                </c:pt>
                <c:pt idx="7">
                  <c:v>4278821.9990166537</c:v>
                </c:pt>
                <c:pt idx="8">
                  <c:v>4132437.0577331423</c:v>
                </c:pt>
                <c:pt idx="9">
                  <c:v>3992013.7415842563</c:v>
                </c:pt>
                <c:pt idx="10">
                  <c:v>3850190.5813597483</c:v>
                </c:pt>
                <c:pt idx="11">
                  <c:v>3670621.5028139185</c:v>
                </c:pt>
                <c:pt idx="12">
                  <c:v>3499847.5427804757</c:v>
                </c:pt>
                <c:pt idx="13">
                  <c:v>3332669.9235132975</c:v>
                </c:pt>
                <c:pt idx="14">
                  <c:v>3171451.4855357832</c:v>
                </c:pt>
                <c:pt idx="15">
                  <c:v>3015881.379747537</c:v>
                </c:pt>
                <c:pt idx="16">
                  <c:v>2837510.4011129262</c:v>
                </c:pt>
                <c:pt idx="17">
                  <c:v>2693305.8925018939</c:v>
                </c:pt>
                <c:pt idx="18">
                  <c:v>2537370.3814050118</c:v>
                </c:pt>
                <c:pt idx="19">
                  <c:v>2352403.304854691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C6-437A-B1C3-0E3213C2D9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439048"/>
        <c:axId val="435439376"/>
      </c:lineChart>
      <c:catAx>
        <c:axId val="43543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439376"/>
        <c:crosses val="autoZero"/>
        <c:auto val="1"/>
        <c:lblAlgn val="ctr"/>
        <c:lblOffset val="100"/>
        <c:noMultiLvlLbl val="0"/>
      </c:catAx>
      <c:valAx>
        <c:axId val="43543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Metric Tons CO2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543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87900385115752"/>
          <c:y val="0.66112857114020107"/>
          <c:w val="0.22864943571447693"/>
          <c:h val="0.1047147164759891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35980326506107"/>
          <c:y val="4.4493756462260406E-2"/>
          <c:w val="0.83951116447687446"/>
          <c:h val="0.7811327447705401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0219648"/>
        <c:axId val="220226304"/>
      </c:barChart>
      <c:lineChart>
        <c:grouping val="standard"/>
        <c:varyColors val="0"/>
        <c:ser>
          <c:idx val="6"/>
          <c:order val="4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ser>
          <c:idx val="0"/>
          <c:order val="5"/>
          <c:tx>
            <c:strRef>
              <c:f>'L&amp;R Bal - Mid'!$R$6</c:f>
              <c:strCache>
                <c:ptCount val="1"/>
                <c:pt idx="0">
                  <c:v>2021 IRP Mid Demand After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  <a:prstDash val="sysDash"/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Mid'!$R$14:$R$33</c:f>
              <c:numCache>
                <c:formatCode>#,##0</c:formatCode>
                <c:ptCount val="20"/>
                <c:pt idx="0">
                  <c:v>961.94952259283718</c:v>
                </c:pt>
                <c:pt idx="1">
                  <c:v>966.5941725923218</c:v>
                </c:pt>
                <c:pt idx="2">
                  <c:v>972.47343121526455</c:v>
                </c:pt>
                <c:pt idx="3">
                  <c:v>974.19983006828409</c:v>
                </c:pt>
                <c:pt idx="4">
                  <c:v>976.33186525971485</c:v>
                </c:pt>
                <c:pt idx="5">
                  <c:v>978.05182634162111</c:v>
                </c:pt>
                <c:pt idx="6">
                  <c:v>981.19703053621095</c:v>
                </c:pt>
                <c:pt idx="7">
                  <c:v>981.12571263197162</c:v>
                </c:pt>
                <c:pt idx="8">
                  <c:v>982.63219255722242</c:v>
                </c:pt>
                <c:pt idx="9">
                  <c:v>984.44608817618894</c:v>
                </c:pt>
                <c:pt idx="10">
                  <c:v>990.24700911927175</c:v>
                </c:pt>
                <c:pt idx="11">
                  <c:v>992.52213216468454</c:v>
                </c:pt>
                <c:pt idx="12">
                  <c:v>996.32225931902235</c:v>
                </c:pt>
                <c:pt idx="13">
                  <c:v>1000.1875951343367</c:v>
                </c:pt>
                <c:pt idx="14">
                  <c:v>1005.6945048534951</c:v>
                </c:pt>
                <c:pt idx="15">
                  <c:v>1007.5323065437747</c:v>
                </c:pt>
                <c:pt idx="16">
                  <c:v>1011.0284337603146</c:v>
                </c:pt>
                <c:pt idx="17">
                  <c:v>1015.0448369303227</c:v>
                </c:pt>
                <c:pt idx="18">
                  <c:v>1020.7932542059182</c:v>
                </c:pt>
                <c:pt idx="19">
                  <c:v>1023.3188160762811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219648"/>
        <c:axId val="220226304"/>
      </c:lineChart>
      <c:catAx>
        <c:axId val="220219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0226304"/>
        <c:crosses val="autoZero"/>
        <c:auto val="1"/>
        <c:lblAlgn val="ctr"/>
        <c:lblOffset val="100"/>
        <c:noMultiLvlLbl val="0"/>
      </c:catAx>
      <c:valAx>
        <c:axId val="2202263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02196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032578121594267"/>
          <c:y val="0.62952959422270904"/>
          <c:w val="0.7223327853249113"/>
          <c:h val="0.1276306161090156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35980326506107"/>
          <c:y val="6.4695776664280613E-2"/>
          <c:w val="0.83951116447687446"/>
          <c:h val="0.76093072456851985"/>
        </c:manualLayout>
      </c:layout>
      <c:lineChart>
        <c:grouping val="standard"/>
        <c:varyColors val="0"/>
        <c:ser>
          <c:idx val="6"/>
          <c:order val="0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13-491B-82E2-FE80B93677A2}"/>
            </c:ext>
          </c:extLst>
        </c:ser>
        <c:ser>
          <c:idx val="0"/>
          <c:order val="1"/>
          <c:tx>
            <c:strRef>
              <c:f>'L&amp;R Bal - Mid'!$R$6</c:f>
              <c:strCache>
                <c:ptCount val="1"/>
                <c:pt idx="0">
                  <c:v>2021 IRP Mid Demand After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  <a:prstDash val="sysDash"/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Mid'!$R$14:$R$33</c:f>
              <c:numCache>
                <c:formatCode>#,##0</c:formatCode>
                <c:ptCount val="20"/>
                <c:pt idx="0">
                  <c:v>961.94952259283718</c:v>
                </c:pt>
                <c:pt idx="1">
                  <c:v>966.5941725923218</c:v>
                </c:pt>
                <c:pt idx="2">
                  <c:v>972.47343121526455</c:v>
                </c:pt>
                <c:pt idx="3">
                  <c:v>974.19983006828409</c:v>
                </c:pt>
                <c:pt idx="4">
                  <c:v>976.33186525971485</c:v>
                </c:pt>
                <c:pt idx="5">
                  <c:v>978.05182634162111</c:v>
                </c:pt>
                <c:pt idx="6">
                  <c:v>981.19703053621095</c:v>
                </c:pt>
                <c:pt idx="7">
                  <c:v>981.12571263197162</c:v>
                </c:pt>
                <c:pt idx="8">
                  <c:v>982.63219255722242</c:v>
                </c:pt>
                <c:pt idx="9">
                  <c:v>984.44608817618894</c:v>
                </c:pt>
                <c:pt idx="10">
                  <c:v>990.24700911927175</c:v>
                </c:pt>
                <c:pt idx="11">
                  <c:v>992.52213216468454</c:v>
                </c:pt>
                <c:pt idx="12">
                  <c:v>996.32225931902235</c:v>
                </c:pt>
                <c:pt idx="13">
                  <c:v>1000.1875951343367</c:v>
                </c:pt>
                <c:pt idx="14">
                  <c:v>1005.6945048534951</c:v>
                </c:pt>
                <c:pt idx="15">
                  <c:v>1007.5323065437747</c:v>
                </c:pt>
                <c:pt idx="16">
                  <c:v>1011.0284337603146</c:v>
                </c:pt>
                <c:pt idx="17">
                  <c:v>1015.0448369303227</c:v>
                </c:pt>
                <c:pt idx="18">
                  <c:v>1020.7932542059182</c:v>
                </c:pt>
                <c:pt idx="19">
                  <c:v>1023.3188160762811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3-491B-82E2-FE80B93677A2}"/>
            </c:ext>
          </c:extLst>
        </c:ser>
        <c:ser>
          <c:idx val="5"/>
          <c:order val="2"/>
          <c:tx>
            <c:strRef>
              <c:f>'L&amp;R Bal - Mid No carbon'!$AG$6</c:f>
              <c:strCache>
                <c:ptCount val="1"/>
                <c:pt idx="0">
                  <c:v>2021 IRP Mid No Carbon Demand After DSR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diamond"/>
            <c:size val="6"/>
            <c:spPr>
              <a:ln w="66675" cmpd="sng">
                <a:solidFill>
                  <a:schemeClr val="accent3">
                    <a:lumMod val="90000"/>
                  </a:schemeClr>
                </a:solidFill>
                <a:prstDash val="solid"/>
              </a:ln>
            </c:spPr>
          </c:marker>
          <c:val>
            <c:numRef>
              <c:f>'L&amp;R Bal - Mid No carbon'!$AG$14:$AG$33</c:f>
              <c:numCache>
                <c:formatCode>#,##0</c:formatCode>
                <c:ptCount val="20"/>
                <c:pt idx="0">
                  <c:v>964.48738526972829</c:v>
                </c:pt>
                <c:pt idx="1">
                  <c:v>972.11776937918432</c:v>
                </c:pt>
                <c:pt idx="2">
                  <c:v>981.27463613087173</c:v>
                </c:pt>
                <c:pt idx="3">
                  <c:v>986.54349586276271</c:v>
                </c:pt>
                <c:pt idx="4">
                  <c:v>992.43457709624829</c:v>
                </c:pt>
                <c:pt idx="5">
                  <c:v>998.10595481043777</c:v>
                </c:pt>
                <c:pt idx="6">
                  <c:v>1005.3919983950371</c:v>
                </c:pt>
                <c:pt idx="7">
                  <c:v>1009.5708579033663</c:v>
                </c:pt>
                <c:pt idx="8">
                  <c:v>1015.4203911963318</c:v>
                </c:pt>
                <c:pt idx="9">
                  <c:v>1021.6974447710738</c:v>
                </c:pt>
                <c:pt idx="10">
                  <c:v>1030.1312550582627</c:v>
                </c:pt>
                <c:pt idx="11">
                  <c:v>1035.0996970313895</c:v>
                </c:pt>
                <c:pt idx="12">
                  <c:v>1041.6467800123023</c:v>
                </c:pt>
                <c:pt idx="13">
                  <c:v>1048.2820131468548</c:v>
                </c:pt>
                <c:pt idx="14">
                  <c:v>1056.5797652084211</c:v>
                </c:pt>
                <c:pt idx="15">
                  <c:v>1061.2289579511335</c:v>
                </c:pt>
                <c:pt idx="16">
                  <c:v>1067.5515510524856</c:v>
                </c:pt>
                <c:pt idx="17">
                  <c:v>1074.3871820197971</c:v>
                </c:pt>
                <c:pt idx="18">
                  <c:v>1082.9446422137273</c:v>
                </c:pt>
                <c:pt idx="19">
                  <c:v>1088.105005263229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13-491B-82E2-FE80B9367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138880"/>
        <c:axId val="218141440"/>
      </c:lineChart>
      <c:catAx>
        <c:axId val="218138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18141440"/>
        <c:crosses val="autoZero"/>
        <c:auto val="1"/>
        <c:lblAlgn val="ctr"/>
        <c:lblOffset val="100"/>
        <c:noMultiLvlLbl val="0"/>
      </c:catAx>
      <c:valAx>
        <c:axId val="218141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18138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032578121594267"/>
          <c:y val="0.62952959422270904"/>
          <c:w val="0.49516875775143493"/>
          <c:h val="0.15825849041597076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Mid Scenario No DSR 2021 IRP -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ser>
          <c:idx val="7"/>
          <c:order val="5"/>
          <c:tx>
            <c:strRef>
              <c:f>'L&amp;R Bal - Mid No DSR'!$AC$6</c:f>
              <c:strCache>
                <c:ptCount val="1"/>
                <c:pt idx="0">
                  <c:v>Ply LNG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val>
            <c:numRef>
              <c:f>'L&amp;R Bal - Mid No DSR'!$AC$14:$AC$33</c:f>
              <c:numCache>
                <c:formatCode>General</c:formatCode>
                <c:ptCount val="20"/>
                <c:pt idx="0">
                  <c:v>0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56-4DA8-93A0-4CE2B94C0B2B}"/>
            </c:ext>
          </c:extLst>
        </c:ser>
        <c:ser>
          <c:idx val="5"/>
          <c:order val="6"/>
          <c:tx>
            <c:strRef>
              <c:f>'L&amp;R Bal - Mid No DSR'!$AB$6</c:f>
              <c:strCache>
                <c:ptCount val="1"/>
                <c:pt idx="0">
                  <c:v>Mist Storage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'L&amp;R Bal - Mid No DSR'!$AB$14:$AB$33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56-4DA8-93A0-4CE2B94C0B2B}"/>
            </c:ext>
          </c:extLst>
        </c:ser>
        <c:ser>
          <c:idx val="8"/>
          <c:order val="7"/>
          <c:tx>
            <c:strRef>
              <c:f>'L&amp;R Bal - Mid No DSR'!$AE$6</c:f>
              <c:strCache>
                <c:ptCount val="1"/>
                <c:pt idx="0">
                  <c:v>Swarr</c:v>
                </c:pt>
              </c:strCache>
            </c:strRef>
          </c:tx>
          <c:spPr>
            <a:solidFill>
              <a:schemeClr val="accent5">
                <a:lumMod val="25000"/>
                <a:lumOff val="75000"/>
              </a:schemeClr>
            </a:solidFill>
          </c:spPr>
          <c:invertIfNegative val="0"/>
          <c:val>
            <c:numRef>
              <c:f>'L&amp;R Bal - Mid No DSR'!$AE$14:$AE$33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15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56-4DA8-93A0-4CE2B94C0B2B}"/>
            </c:ext>
          </c:extLst>
        </c:ser>
        <c:ser>
          <c:idx val="0"/>
          <c:order val="8"/>
          <c:tx>
            <c:strRef>
              <c:f>'L&amp;R Bal - Mid No DSR'!$X$6</c:f>
              <c:strCache>
                <c:ptCount val="1"/>
                <c:pt idx="0">
                  <c:v>NWP Additions + Westcoast</c:v>
                </c:pt>
              </c:strCache>
            </c:strRef>
          </c:tx>
          <c:invertIfNegative val="0"/>
          <c:val>
            <c:numRef>
              <c:f>'L&amp;R Bal - Mid No DSR'!$X$14:$X$33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56-4DA8-93A0-4CE2B94C0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1866624"/>
        <c:axId val="221877376"/>
      </c:barChart>
      <c:lineChart>
        <c:grouping val="standard"/>
        <c:varyColors val="0"/>
        <c:ser>
          <c:idx val="6"/>
          <c:order val="4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Mid'!$I$14:$I$33</c:f>
              <c:numCache>
                <c:formatCode>0</c:formatCode>
                <c:ptCount val="20"/>
                <c:pt idx="0">
                  <c:v>966.56050000000005</c:v>
                </c:pt>
                <c:pt idx="1">
                  <c:v>976.51042000000007</c:v>
                </c:pt>
                <c:pt idx="2">
                  <c:v>987.94945999999993</c:v>
                </c:pt>
                <c:pt idx="3">
                  <c:v>995.33915999999999</c:v>
                </c:pt>
                <c:pt idx="4">
                  <c:v>1003.3576700000001</c:v>
                </c:pt>
                <c:pt idx="5">
                  <c:v>1011.2176899999998</c:v>
                </c:pt>
                <c:pt idx="6">
                  <c:v>1020.75771</c:v>
                </c:pt>
                <c:pt idx="7">
                  <c:v>1027.3149399999998</c:v>
                </c:pt>
                <c:pt idx="8">
                  <c:v>1035.65245</c:v>
                </c:pt>
                <c:pt idx="9">
                  <c:v>1044.54214</c:v>
                </c:pt>
                <c:pt idx="10">
                  <c:v>1054.7405199999998</c:v>
                </c:pt>
                <c:pt idx="11">
                  <c:v>1061.5890300000001</c:v>
                </c:pt>
                <c:pt idx="12">
                  <c:v>1070.0812900000001</c:v>
                </c:pt>
                <c:pt idx="13">
                  <c:v>1078.7246899999998</c:v>
                </c:pt>
                <c:pt idx="14">
                  <c:v>1088.9309900000001</c:v>
                </c:pt>
                <c:pt idx="15">
                  <c:v>1095.51595</c:v>
                </c:pt>
                <c:pt idx="16">
                  <c:v>1103.7608200000002</c:v>
                </c:pt>
                <c:pt idx="17">
                  <c:v>1112.5185900000001</c:v>
                </c:pt>
                <c:pt idx="18">
                  <c:v>1122.97398</c:v>
                </c:pt>
                <c:pt idx="19">
                  <c:v>1130.08322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66624"/>
        <c:axId val="221877376"/>
      </c:lineChart>
      <c:catAx>
        <c:axId val="221866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1877376"/>
        <c:crosses val="autoZero"/>
        <c:auto val="1"/>
        <c:lblAlgn val="ctr"/>
        <c:lblOffset val="100"/>
        <c:noMultiLvlLbl val="0"/>
      </c:catAx>
      <c:valAx>
        <c:axId val="221877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18666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713893455625736"/>
          <c:y val="0.5872397995705082"/>
          <c:w val="0.74878841208621094"/>
          <c:h val="0.18166420106577588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Resource Need BASE 2021 IRP vs 2019 IRP </a:t>
            </a:r>
            <a:r>
              <a:rPr lang="en-US" sz="1800" b="1" i="0" u="sng" baseline="0">
                <a:effectLst/>
              </a:rPr>
              <a:t>Before DSR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Mid'!$D$13:$D$32</c:f>
              <c:numCache>
                <c:formatCode>#,##0.0</c:formatCode>
                <c:ptCount val="19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9-4C1E-9EB8-ADBB6013AC06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Mid'!$E$13:$E$32</c:f>
              <c:numCache>
                <c:formatCode>#,##0.0</c:formatCode>
                <c:ptCount val="19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9-4C1E-9EB8-ADBB6013AC06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Mid'!$F$13:$F$32</c:f>
              <c:numCache>
                <c:formatCode>General</c:formatCode>
                <c:ptCount val="19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99-4C1E-9EB8-ADBB6013AC06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Mid'!$G$13:$G$32</c:f>
              <c:numCache>
                <c:formatCode>0.0</c:formatCode>
                <c:ptCount val="19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99-4C1E-9EB8-ADBB6013A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0460160"/>
        <c:axId val="220462464"/>
      </c:barChart>
      <c:lineChart>
        <c:grouping val="standard"/>
        <c:varyColors val="0"/>
        <c:ser>
          <c:idx val="6"/>
          <c:order val="4"/>
          <c:tx>
            <c:strRef>
              <c:f>'L&amp;R Bal - Mid'!$I$6</c:f>
              <c:strCache>
                <c:ptCount val="1"/>
                <c:pt idx="0">
                  <c:v>2021 IRP Mid Demand Before DSR</c:v>
                </c:pt>
              </c:strCache>
            </c:strRef>
          </c:tx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Mid'!$I$13:$I$13</c:f>
            </c:numRef>
          </c:val>
          <c:smooth val="0"/>
          <c:extLst>
            <c:ext xmlns:c16="http://schemas.microsoft.com/office/drawing/2014/chart" uri="{C3380CC4-5D6E-409C-BE32-E72D297353CC}">
              <c16:uniqueId val="{00000004-D999-4C1E-9EB8-ADBB6013AC06}"/>
            </c:ext>
          </c:extLst>
        </c:ser>
        <c:ser>
          <c:idx val="0"/>
          <c:order val="5"/>
          <c:tx>
            <c:strRef>
              <c:f>'L&amp;R Bal - Mid'!$AI$6</c:f>
              <c:strCache>
                <c:ptCount val="1"/>
                <c:pt idx="0">
                  <c:v>2019 IRP BASE Demand before DSR</c:v>
                </c:pt>
              </c:strCache>
            </c:strRef>
          </c:tx>
          <c:spPr>
            <a:ln w="38100">
              <a:prstDash val="sysDot"/>
            </a:ln>
          </c:spPr>
          <c:marker>
            <c:symbol val="circle"/>
            <c:size val="7"/>
            <c:spPr>
              <a:ln w="38100">
                <a:prstDash val="solid"/>
              </a:ln>
            </c:spPr>
          </c:marker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Mid'!$AI$12:$AI$31</c:f>
              <c:numCache>
                <c:formatCode>0</c:formatCode>
                <c:ptCount val="18"/>
                <c:pt idx="0">
                  <c:v>1053.5407413432795</c:v>
                </c:pt>
                <c:pt idx="1">
                  <c:v>1062.70947981108</c:v>
                </c:pt>
                <c:pt idx="2">
                  <c:v>1069.875394233997</c:v>
                </c:pt>
                <c:pt idx="3">
                  <c:v>1074.046576766304</c:v>
                </c:pt>
                <c:pt idx="4">
                  <c:v>1081.3726145732787</c:v>
                </c:pt>
                <c:pt idx="5">
                  <c:v>1088.9478443321157</c:v>
                </c:pt>
                <c:pt idx="6">
                  <c:v>1096.2966233757172</c:v>
                </c:pt>
                <c:pt idx="7">
                  <c:v>1102.2936430343566</c:v>
                </c:pt>
                <c:pt idx="8">
                  <c:v>1110.8754963941149</c:v>
                </c:pt>
                <c:pt idx="9">
                  <c:v>1118.7950078327895</c:v>
                </c:pt>
                <c:pt idx="10">
                  <c:v>1128.6245193965246</c:v>
                </c:pt>
                <c:pt idx="11">
                  <c:v>1137.439360122042</c:v>
                </c:pt>
                <c:pt idx="12">
                  <c:v>1149.2166802752236</c:v>
                </c:pt>
                <c:pt idx="13">
                  <c:v>1160.2287308284001</c:v>
                </c:pt>
                <c:pt idx="14">
                  <c:v>1172.9807565724554</c:v>
                </c:pt>
                <c:pt idx="15">
                  <c:v>1184.6688191641585</c:v>
                </c:pt>
                <c:pt idx="16">
                  <c:v>1200.0978356738965</c:v>
                </c:pt>
                <c:pt idx="17">
                  <c:v>1214.5413742702863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99-4C1E-9EB8-ADBB6013A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460160"/>
        <c:axId val="220462464"/>
      </c:lineChart>
      <c:catAx>
        <c:axId val="220460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0462464"/>
        <c:crosses val="autoZero"/>
        <c:auto val="1"/>
        <c:lblAlgn val="ctr"/>
        <c:lblOffset val="100"/>
        <c:noMultiLvlLbl val="0"/>
      </c:catAx>
      <c:valAx>
        <c:axId val="220462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04601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032578121594267"/>
          <c:y val="0.62145901989639063"/>
          <c:w val="0.70741274916001939"/>
          <c:h val="0.135801642790913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High Scenario 2021 IRP - Builds 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HIGH'!$D$6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HIGH'!$D$14:$D$33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9-4C1E-9EB8-ADBB6013AC06}"/>
            </c:ext>
          </c:extLst>
        </c:ser>
        <c:ser>
          <c:idx val="2"/>
          <c:order val="1"/>
          <c:tx>
            <c:strRef>
              <c:f>'L&amp;R Bal - HIGH'!$E$6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HIGH'!$E$14:$E$33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99-4C1E-9EB8-ADBB6013AC06}"/>
            </c:ext>
          </c:extLst>
        </c:ser>
        <c:ser>
          <c:idx val="3"/>
          <c:order val="2"/>
          <c:tx>
            <c:strRef>
              <c:f>'L&amp;R Bal - HIGH'!$F$6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99-4C1E-9EB8-ADBB6013AC06}"/>
            </c:ext>
          </c:extLst>
        </c:ser>
        <c:ser>
          <c:idx val="4"/>
          <c:order val="3"/>
          <c:tx>
            <c:strRef>
              <c:f>'L&amp;R Bal - HIGH'!$G$6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99-4C1E-9EB8-ADBB6013AC06}"/>
            </c:ext>
          </c:extLst>
        </c:ser>
        <c:ser>
          <c:idx val="0"/>
          <c:order val="4"/>
          <c:tx>
            <c:strRef>
              <c:f>'L&amp;R Bal - HIGH'!$AA$6</c:f>
              <c:strCache>
                <c:ptCount val="1"/>
                <c:pt idx="0">
                  <c:v>Ply LNG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HIGH'!$AA$14:$AA$33</c:f>
              <c:numCache>
                <c:formatCode>General</c:formatCode>
                <c:ptCount val="20"/>
                <c:pt idx="0">
                  <c:v>0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FF-4B2E-A09F-CDADD9E32E88}"/>
            </c:ext>
          </c:extLst>
        </c:ser>
        <c:ser>
          <c:idx val="8"/>
          <c:order val="6"/>
          <c:tx>
            <c:strRef>
              <c:f>'L&amp;R Bal - HIGH'!$AD$6</c:f>
              <c:strCache>
                <c:ptCount val="1"/>
                <c:pt idx="0">
                  <c:v>DSR (Incl Standard Bundle) in MDth/day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</c:spPr>
          <c:invertIfNegative val="0"/>
          <c:cat>
            <c:strRef>
              <c:f>'L&amp;R Bal - Mid'!$B$13:$B$32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HIGH'!$AD$14:$AD$33</c:f>
              <c:numCache>
                <c:formatCode>0</c:formatCode>
                <c:ptCount val="20"/>
                <c:pt idx="0">
                  <c:v>4.6318667643361797</c:v>
                </c:pt>
                <c:pt idx="1">
                  <c:v>9.9577571668474913</c:v>
                </c:pt>
                <c:pt idx="2">
                  <c:v>15.538125107818678</c:v>
                </c:pt>
                <c:pt idx="3">
                  <c:v>21.222035606716283</c:v>
                </c:pt>
                <c:pt idx="4">
                  <c:v>27.129068832316101</c:v>
                </c:pt>
                <c:pt idx="5">
                  <c:v>33.289625157163734</c:v>
                </c:pt>
                <c:pt idx="6">
                  <c:v>39.704912943457749</c:v>
                </c:pt>
                <c:pt idx="7">
                  <c:v>46.35392727602521</c:v>
                </c:pt>
                <c:pt idx="8">
                  <c:v>53.205362409376228</c:v>
                </c:pt>
                <c:pt idx="9">
                  <c:v>60.301475870693764</c:v>
                </c:pt>
                <c:pt idx="10">
                  <c:v>64.697841299247429</c:v>
                </c:pt>
                <c:pt idx="11">
                  <c:v>69.270096037161764</c:v>
                </c:pt>
                <c:pt idx="12">
                  <c:v>73.961063497843298</c:v>
                </c:pt>
                <c:pt idx="13">
                  <c:v>78.737891361682856</c:v>
                </c:pt>
                <c:pt idx="14">
                  <c:v>83.436153129403692</c:v>
                </c:pt>
                <c:pt idx="15">
                  <c:v>88.182181166437161</c:v>
                </c:pt>
                <c:pt idx="16">
                  <c:v>92.929797918278652</c:v>
                </c:pt>
                <c:pt idx="17">
                  <c:v>97.670053136093202</c:v>
                </c:pt>
                <c:pt idx="18">
                  <c:v>102.37590959050084</c:v>
                </c:pt>
                <c:pt idx="19">
                  <c:v>106.95842847332402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FF-4B2E-A09F-CDADD9E32E88}"/>
            </c:ext>
          </c:extLst>
        </c:ser>
        <c:ser>
          <c:idx val="7"/>
          <c:order val="7"/>
          <c:tx>
            <c:strRef>
              <c:f>'L&amp;R Bal - HIGH'!$AC$6</c:f>
              <c:strCache>
                <c:ptCount val="1"/>
                <c:pt idx="0">
                  <c:v>Swarr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val>
            <c:numRef>
              <c:f>'L&amp;R Bal - HIGH'!$AC$14:$AC$33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FF-4B2E-A09F-CDADD9E32E88}"/>
            </c:ext>
          </c:extLst>
        </c:ser>
        <c:ser>
          <c:idx val="9"/>
          <c:order val="8"/>
          <c:tx>
            <c:strRef>
              <c:f>'L&amp;R Bal - HIGH'!$W$6</c:f>
              <c:strCache>
                <c:ptCount val="1"/>
                <c:pt idx="0">
                  <c:v>NWP Additions + Westcoast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</c:spPr>
          <c:invertIfNegative val="0"/>
          <c:val>
            <c:numRef>
              <c:f>'L&amp;R Bal - HIGH'!$W$14:$W$33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21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60-4D7C-8BBC-78F68FE83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9687552"/>
        <c:axId val="219694208"/>
      </c:barChart>
      <c:lineChart>
        <c:grouping val="standard"/>
        <c:varyColors val="0"/>
        <c:ser>
          <c:idx val="6"/>
          <c:order val="5"/>
          <c:tx>
            <c:strRef>
              <c:f>'L&amp;R Bal - HIGH'!$I$6</c:f>
              <c:strCache>
                <c:ptCount val="1"/>
                <c:pt idx="0">
                  <c:v>2021 IRP HIGH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HIGH'!$I$14:$I$33</c:f>
              <c:numCache>
                <c:formatCode>#,##0</c:formatCode>
                <c:ptCount val="20"/>
                <c:pt idx="0">
                  <c:v>983.84658242787464</c:v>
                </c:pt>
                <c:pt idx="1">
                  <c:v>1001.8232300421203</c:v>
                </c:pt>
                <c:pt idx="2">
                  <c:v>1020.266999669704</c:v>
                </c:pt>
                <c:pt idx="3">
                  <c:v>1035.9636506551724</c:v>
                </c:pt>
                <c:pt idx="4">
                  <c:v>1047.1741396870491</c:v>
                </c:pt>
                <c:pt idx="5">
                  <c:v>1052.0788902962893</c:v>
                </c:pt>
                <c:pt idx="6">
                  <c:v>1067.3171043397062</c:v>
                </c:pt>
                <c:pt idx="7">
                  <c:v>1076.1852519591553</c:v>
                </c:pt>
                <c:pt idx="8">
                  <c:v>1088.3251681807692</c:v>
                </c:pt>
                <c:pt idx="9">
                  <c:v>1098.5393278798222</c:v>
                </c:pt>
                <c:pt idx="10">
                  <c:v>1111.3174437515399</c:v>
                </c:pt>
                <c:pt idx="11">
                  <c:v>1116.1661670496994</c:v>
                </c:pt>
                <c:pt idx="12">
                  <c:v>1129.4278116928631</c:v>
                </c:pt>
                <c:pt idx="13">
                  <c:v>1140.6654744964358</c:v>
                </c:pt>
                <c:pt idx="14">
                  <c:v>1151.4681146254293</c:v>
                </c:pt>
                <c:pt idx="15">
                  <c:v>1167.5029116370577</c:v>
                </c:pt>
                <c:pt idx="16">
                  <c:v>1175.0787929781238</c:v>
                </c:pt>
                <c:pt idx="17">
                  <c:v>1184.0682758783091</c:v>
                </c:pt>
                <c:pt idx="18">
                  <c:v>1202.4220697551273</c:v>
                </c:pt>
                <c:pt idx="19">
                  <c:v>1207.6142494340922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99-4C1E-9EB8-ADBB6013A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687552"/>
        <c:axId val="219694208"/>
      </c:lineChart>
      <c:catAx>
        <c:axId val="21968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19694208"/>
        <c:crosses val="autoZero"/>
        <c:auto val="1"/>
        <c:lblAlgn val="ctr"/>
        <c:lblOffset val="100"/>
        <c:noMultiLvlLbl val="0"/>
      </c:catAx>
      <c:valAx>
        <c:axId val="219694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196875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8102171843904127"/>
          <c:y val="0.59929399899142721"/>
          <c:w val="0.755520175362695"/>
          <c:h val="0.19988881873880743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Low Scenario 2021 IRP -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22135808"/>
        <c:axId val="222142464"/>
      </c:barChart>
      <c:lineChart>
        <c:grouping val="standard"/>
        <c:varyColors val="0"/>
        <c:ser>
          <c:idx val="6"/>
          <c:order val="4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ser>
          <c:idx val="0"/>
          <c:order val="5"/>
          <c:tx>
            <c:strRef>
              <c:f>'L&amp;R Bal - LOW'!$R$6</c:f>
              <c:strCache>
                <c:ptCount val="1"/>
                <c:pt idx="0">
                  <c:v>2021 IRP LOW Demand After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  <a:prstDash val="sysDash"/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LOW'!$R$14:$R$33</c:f>
              <c:numCache>
                <c:formatCode>#,##0</c:formatCode>
                <c:ptCount val="20"/>
                <c:pt idx="0">
                  <c:v>945.06031888426776</c:v>
                </c:pt>
                <c:pt idx="1">
                  <c:v>942.77065700164496</c:v>
                </c:pt>
                <c:pt idx="2">
                  <c:v>941.33263030397268</c:v>
                </c:pt>
                <c:pt idx="3">
                  <c:v>938.4001848475815</c:v>
                </c:pt>
                <c:pt idx="4">
                  <c:v>939.00343985832001</c:v>
                </c:pt>
                <c:pt idx="5">
                  <c:v>941.21324604806637</c:v>
                </c:pt>
                <c:pt idx="6">
                  <c:v>940.31430757573992</c:v>
                </c:pt>
                <c:pt idx="7">
                  <c:v>936.76453786139928</c:v>
                </c:pt>
                <c:pt idx="8">
                  <c:v>934.65246757125067</c:v>
                </c:pt>
                <c:pt idx="9">
                  <c:v>934.02131729045186</c:v>
                </c:pt>
                <c:pt idx="10">
                  <c:v>936.73807954197514</c:v>
                </c:pt>
                <c:pt idx="11">
                  <c:v>935.9695185911836</c:v>
                </c:pt>
                <c:pt idx="12">
                  <c:v>938.67222504366373</c:v>
                </c:pt>
                <c:pt idx="13">
                  <c:v>938.10365684360977</c:v>
                </c:pt>
                <c:pt idx="14">
                  <c:v>944.38104455117605</c:v>
                </c:pt>
                <c:pt idx="15">
                  <c:v>943.5926760267414</c:v>
                </c:pt>
                <c:pt idx="16">
                  <c:v>944.98633996062949</c:v>
                </c:pt>
                <c:pt idx="17">
                  <c:v>945.08363873177007</c:v>
                </c:pt>
                <c:pt idx="18">
                  <c:v>948.33465368570978</c:v>
                </c:pt>
                <c:pt idx="19">
                  <c:v>949.38472749409948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135808"/>
        <c:axId val="222142464"/>
      </c:lineChart>
      <c:catAx>
        <c:axId val="222135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2142464"/>
        <c:crosses val="autoZero"/>
        <c:auto val="1"/>
        <c:lblAlgn val="ctr"/>
        <c:lblOffset val="100"/>
        <c:noMultiLvlLbl val="0"/>
      </c:catAx>
      <c:valAx>
        <c:axId val="222142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21358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032578121594267"/>
          <c:y val="0.62952959422270904"/>
          <c:w val="0.7223327853249113"/>
          <c:h val="0.1276306161090156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1800" b="1" i="0" baseline="0">
                <a:effectLst/>
              </a:rPr>
              <a:t>Low Scenario No DSR 2021 IRP - Builds</a:t>
            </a:r>
            <a:endParaRPr lang="en-US" sz="2400" u="sng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5980326506107"/>
          <c:y val="0.10711994929684665"/>
          <c:w val="0.83951116447687446"/>
          <c:h val="0.718506412527761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'L&amp;R Bal - Mid'!$D$6</c:f>
              <c:strCache>
                <c:ptCount val="1"/>
                <c:pt idx="0">
                  <c:v>NWP Firm Transportation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Mid'!$D$14:$D$33</c:f>
              <c:numCache>
                <c:formatCode>#,##0.0</c:formatCode>
                <c:ptCount val="20"/>
                <c:pt idx="0">
                  <c:v>523.9</c:v>
                </c:pt>
                <c:pt idx="1">
                  <c:v>523.9</c:v>
                </c:pt>
                <c:pt idx="2">
                  <c:v>523.9</c:v>
                </c:pt>
                <c:pt idx="3">
                  <c:v>523.9</c:v>
                </c:pt>
                <c:pt idx="4">
                  <c:v>523.9</c:v>
                </c:pt>
                <c:pt idx="5">
                  <c:v>523.9</c:v>
                </c:pt>
                <c:pt idx="6">
                  <c:v>523.9</c:v>
                </c:pt>
                <c:pt idx="7">
                  <c:v>523.9</c:v>
                </c:pt>
                <c:pt idx="8">
                  <c:v>523.9</c:v>
                </c:pt>
                <c:pt idx="9">
                  <c:v>523.9</c:v>
                </c:pt>
                <c:pt idx="10">
                  <c:v>523.9</c:v>
                </c:pt>
                <c:pt idx="11">
                  <c:v>523.9</c:v>
                </c:pt>
                <c:pt idx="12">
                  <c:v>523.9</c:v>
                </c:pt>
                <c:pt idx="13">
                  <c:v>523.9</c:v>
                </c:pt>
                <c:pt idx="14">
                  <c:v>523.9</c:v>
                </c:pt>
                <c:pt idx="15">
                  <c:v>523.9</c:v>
                </c:pt>
                <c:pt idx="16">
                  <c:v>523.9</c:v>
                </c:pt>
                <c:pt idx="17">
                  <c:v>523.9</c:v>
                </c:pt>
                <c:pt idx="18">
                  <c:v>523.9</c:v>
                </c:pt>
                <c:pt idx="19">
                  <c:v>523.9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E8C-A663-B72530F958E9}"/>
            </c:ext>
          </c:extLst>
        </c:ser>
        <c:ser>
          <c:idx val="2"/>
          <c:order val="1"/>
          <c:tx>
            <c:strRef>
              <c:f>'L&amp;R Bal - Mid'!$E$6</c:f>
              <c:strCache>
                <c:ptCount val="1"/>
                <c:pt idx="0">
                  <c:v>Jackson Prairie &amp; Redelivery Service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Mid'!$E$14:$E$33</c:f>
              <c:numCache>
                <c:formatCode>#,##0.0</c:formatCode>
                <c:ptCount val="20"/>
                <c:pt idx="0">
                  <c:v>447.05700000000002</c:v>
                </c:pt>
                <c:pt idx="1">
                  <c:v>447.05700000000002</c:v>
                </c:pt>
                <c:pt idx="2">
                  <c:v>447.05700000000002</c:v>
                </c:pt>
                <c:pt idx="3">
                  <c:v>447.05700000000002</c:v>
                </c:pt>
                <c:pt idx="4">
                  <c:v>447.05700000000002</c:v>
                </c:pt>
                <c:pt idx="5">
                  <c:v>447.05700000000002</c:v>
                </c:pt>
                <c:pt idx="6">
                  <c:v>447.05700000000002</c:v>
                </c:pt>
                <c:pt idx="7">
                  <c:v>447.05700000000002</c:v>
                </c:pt>
                <c:pt idx="8">
                  <c:v>447.05700000000002</c:v>
                </c:pt>
                <c:pt idx="9">
                  <c:v>447.05700000000002</c:v>
                </c:pt>
                <c:pt idx="10">
                  <c:v>447.05700000000002</c:v>
                </c:pt>
                <c:pt idx="11">
                  <c:v>447.05700000000002</c:v>
                </c:pt>
                <c:pt idx="12">
                  <c:v>447.05700000000002</c:v>
                </c:pt>
                <c:pt idx="13">
                  <c:v>447.05700000000002</c:v>
                </c:pt>
                <c:pt idx="14">
                  <c:v>447.05700000000002</c:v>
                </c:pt>
                <c:pt idx="15">
                  <c:v>447.05700000000002</c:v>
                </c:pt>
                <c:pt idx="16">
                  <c:v>447.05700000000002</c:v>
                </c:pt>
                <c:pt idx="17">
                  <c:v>447.05700000000002</c:v>
                </c:pt>
                <c:pt idx="18">
                  <c:v>447.05700000000002</c:v>
                </c:pt>
                <c:pt idx="19">
                  <c:v>447.05700000000002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5-4E8C-A663-B72530F958E9}"/>
            </c:ext>
          </c:extLst>
        </c:ser>
        <c:ser>
          <c:idx val="3"/>
          <c:order val="2"/>
          <c:tx>
            <c:strRef>
              <c:f>'L&amp;R Bal - Mid'!$F$6</c:f>
              <c:strCache>
                <c:ptCount val="1"/>
                <c:pt idx="0">
                  <c:v>Gig Harbor LNG (2.5 Mdth/day)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Mid'!$F$14:$F$33</c:f>
              <c:numCache>
                <c:formatCode>General</c:formatCode>
                <c:ptCount val="2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5-4E8C-A663-B72530F958E9}"/>
            </c:ext>
          </c:extLst>
        </c:ser>
        <c:ser>
          <c:idx val="4"/>
          <c:order val="3"/>
          <c:tx>
            <c:strRef>
              <c:f>'L&amp;R Bal - Mid'!$G$6</c:f>
              <c:strCache>
                <c:ptCount val="1"/>
                <c:pt idx="0">
                  <c:v>Tacoma LNG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'L&amp;R Bal - Mid'!$B$12:$B$32</c:f>
              <c:strCache>
                <c:ptCount val="19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</c:strCache>
            </c:strRef>
          </c:cat>
          <c:val>
            <c:numRef>
              <c:f>'L&amp;R Bal - Mid'!$G$14:$G$33</c:f>
              <c:numCache>
                <c:formatCode>0.0</c:formatCode>
                <c:ptCount val="20"/>
                <c:pt idx="0">
                  <c:v>69</c:v>
                </c:pt>
                <c:pt idx="1">
                  <c:v>69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69</c:v>
                </c:pt>
                <c:pt idx="9">
                  <c:v>69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69</c:v>
                </c:pt>
                <c:pt idx="17">
                  <c:v>69</c:v>
                </c:pt>
                <c:pt idx="18">
                  <c:v>69</c:v>
                </c:pt>
                <c:pt idx="19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5-4E8C-A663-B72530F958E9}"/>
            </c:ext>
          </c:extLst>
        </c:ser>
        <c:ser>
          <c:idx val="0"/>
          <c:order val="5"/>
          <c:tx>
            <c:strRef>
              <c:f>'L&amp;R Bal - LOW No DSR'!$AC$6</c:f>
              <c:strCache>
                <c:ptCount val="1"/>
                <c:pt idx="0">
                  <c:v>Ply LNG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val>
            <c:numRef>
              <c:f>'L&amp;R Bal - LOW No DSR'!$AC$14:$AC$33</c:f>
              <c:numCache>
                <c:formatCode>General</c:formatCode>
                <c:ptCount val="20"/>
                <c:pt idx="0">
                  <c:v>0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76-4CE7-95EB-86CFFE8F0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2039040"/>
        <c:axId val="222045696"/>
      </c:barChart>
      <c:lineChart>
        <c:grouping val="standard"/>
        <c:varyColors val="0"/>
        <c:ser>
          <c:idx val="6"/>
          <c:order val="4"/>
          <c:tx>
            <c:strRef>
              <c:f>'L&amp;R Bal - LOW'!$I$6</c:f>
              <c:strCache>
                <c:ptCount val="1"/>
                <c:pt idx="0">
                  <c:v>2021 IRP LOW Demand Before DSR</c:v>
                </c:pt>
              </c:strCache>
            </c:strRef>
          </c:tx>
          <c:spPr>
            <a:ln w="3810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chemeClr val="bg1">
                  <a:lumMod val="95000"/>
                </a:schemeClr>
              </a:solidFill>
              <a:ln w="38100">
                <a:solidFill>
                  <a:sysClr val="windowText" lastClr="000000"/>
                </a:solidFill>
              </a:ln>
            </c:spPr>
          </c:marker>
          <c:cat>
            <c:strRef>
              <c:f>'L&amp;R Bal - Mid'!$B$14:$B$33</c:f>
              <c:strCache>
                <c:ptCount val="2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</c:v>
                </c:pt>
                <c:pt idx="4">
                  <c:v>2026-27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  <c:pt idx="10">
                  <c:v>2032-33</c:v>
                </c:pt>
                <c:pt idx="11">
                  <c:v>2033-34</c:v>
                </c:pt>
                <c:pt idx="12">
                  <c:v>2034-35</c:v>
                </c:pt>
                <c:pt idx="13">
                  <c:v>2035-36</c:v>
                </c:pt>
                <c:pt idx="14">
                  <c:v>2036-37</c:v>
                </c:pt>
                <c:pt idx="15">
                  <c:v>2037-38</c:v>
                </c:pt>
                <c:pt idx="16">
                  <c:v>2038-39</c:v>
                </c:pt>
                <c:pt idx="17">
                  <c:v>2039-40</c:v>
                </c:pt>
                <c:pt idx="18">
                  <c:v>2040-41</c:v>
                </c:pt>
                <c:pt idx="19">
                  <c:v>2041-42</c:v>
                </c:pt>
              </c:strCache>
            </c:strRef>
          </c:cat>
          <c:val>
            <c:numRef>
              <c:f>'L&amp;R Bal - LOW'!$I$14:$I$33</c:f>
              <c:numCache>
                <c:formatCode>#,##0</c:formatCode>
                <c:ptCount val="20"/>
                <c:pt idx="0">
                  <c:v>949.67129629143062</c:v>
                </c:pt>
                <c:pt idx="1">
                  <c:v>952.68690440932323</c:v>
                </c:pt>
                <c:pt idx="2">
                  <c:v>956.80865908870805</c:v>
                </c:pt>
                <c:pt idx="3">
                  <c:v>959.53951477929741</c:v>
                </c:pt>
                <c:pt idx="4">
                  <c:v>966.02924459860526</c:v>
                </c:pt>
                <c:pt idx="5">
                  <c:v>974.37910970644509</c:v>
                </c:pt>
                <c:pt idx="6">
                  <c:v>979.87498703952895</c:v>
                </c:pt>
                <c:pt idx="7">
                  <c:v>982.9537652294274</c:v>
                </c:pt>
                <c:pt idx="8">
                  <c:v>987.67272501402829</c:v>
                </c:pt>
                <c:pt idx="9">
                  <c:v>994.11736911426294</c:v>
                </c:pt>
                <c:pt idx="10">
                  <c:v>1001.2315904227033</c:v>
                </c:pt>
                <c:pt idx="11">
                  <c:v>1005.0364164264992</c:v>
                </c:pt>
                <c:pt idx="12">
                  <c:v>1012.4312557246415</c:v>
                </c:pt>
                <c:pt idx="13">
                  <c:v>1016.6407517092729</c:v>
                </c:pt>
                <c:pt idx="14">
                  <c:v>1027.617529697681</c:v>
                </c:pt>
                <c:pt idx="15">
                  <c:v>1031.5763194829667</c:v>
                </c:pt>
                <c:pt idx="16">
                  <c:v>1037.7187262003151</c:v>
                </c:pt>
                <c:pt idx="17">
                  <c:v>1042.5573918014475</c:v>
                </c:pt>
                <c:pt idx="18">
                  <c:v>1050.5153794797916</c:v>
                </c:pt>
                <c:pt idx="19">
                  <c:v>1056.1491314178184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475-4E8C-A663-B72530F95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039040"/>
        <c:axId val="222045696"/>
      </c:lineChart>
      <c:catAx>
        <c:axId val="222039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Winter</a:t>
                </a:r>
                <a:r>
                  <a:rPr lang="en-US" baseline="0"/>
                  <a:t> Period</a:t>
                </a:r>
                <a:endParaRPr lang="en-US"/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txPr>
          <a:bodyPr rot="-2760000" vert="horz" anchor="t" anchorCtr="1"/>
          <a:lstStyle/>
          <a:p>
            <a:pPr>
              <a:defRPr/>
            </a:pPr>
            <a:endParaRPr lang="en-US"/>
          </a:p>
        </c:txPr>
        <c:crossAx val="222045696"/>
        <c:crosses val="autoZero"/>
        <c:auto val="1"/>
        <c:lblAlgn val="ctr"/>
        <c:lblOffset val="100"/>
        <c:noMultiLvlLbl val="0"/>
      </c:catAx>
      <c:valAx>
        <c:axId val="222045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Peak</a:t>
                </a:r>
                <a:r>
                  <a:rPr lang="en-US" baseline="0"/>
                  <a:t> Day, MDth/day</a:t>
                </a:r>
                <a:endParaRPr lang="en-US"/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2220390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032578121594267"/>
          <c:y val="0.62952959422270904"/>
          <c:w val="0.6666551296472556"/>
          <c:h val="0.13566702800576555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6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3.bin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chart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chart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9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1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09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67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09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60" workbookViewId="0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09" workbookViewId="0" zoomToFit="1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09" workbookViewId="0" zoomToFit="1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1" header="0.3" footer="0.3"/>
  <pageSetup orientation="landscape" r:id="rId1"/>
  <headerFooter>
    <oddHeader xml:space="preserve">&amp;L
</oddHeader>
    <oddFooter>&amp;C
&amp;R&amp;D&amp;T
&amp;A
&amp;Z&amp;F</oddFooter>
  </headerFooter>
  <drawing r:id="rId2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1" header="0.3" footer="0.3"/>
  <pageSetup orientation="landscape" r:id="rId1"/>
  <headerFooter>
    <oddHeader xml:space="preserve">&amp;L
</oddHeader>
    <oddFooter>&amp;C
&amp;R&amp;D&amp;T
&amp;A
&amp;Z&amp;F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20" workbookViewId="0"/>
  </sheetViews>
  <pageMargins left="0.7" right="0.7" top="0.75" bottom="1" header="0.3" footer="0.3"/>
  <pageSetup orientation="landscape" r:id="rId1"/>
  <headerFooter>
    <oddHeader xml:space="preserve">&amp;L
</oddHeader>
    <oddFooter>&amp;C
&amp;R&amp;D&amp;T
&amp;A
&amp;Z&amp;F</oddFooter>
  </headerFooter>
  <drawing r:id="rId2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114" workbookViewId="0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114" workbookViewId="0"/>
  </sheetViews>
  <pageMargins left="0.7" right="0.7" top="0.75" bottom="0.75" header="0.3" footer="0.3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>
    <tabColor rgb="FF00B050"/>
  </sheetPr>
  <sheetViews>
    <sheetView zoomScale="114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horizontalDpi="4294967295" verticalDpi="4294967295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rgb="FF92D050"/>
  </sheetPr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171450</xdr:colOff>
      <xdr:row>0</xdr:row>
      <xdr:rowOff>0</xdr:rowOff>
    </xdr:from>
    <xdr:to>
      <xdr:col>70</xdr:col>
      <xdr:colOff>95250</xdr:colOff>
      <xdr:row>19</xdr:row>
      <xdr:rowOff>23812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3004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3004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72015" cy="629787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3004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0.12849</cdr:x>
      <cdr:y>0.26187</cdr:y>
    </cdr:from>
    <cdr:to>
      <cdr:x>0.97207</cdr:x>
      <cdr:y>0.26187</cdr:y>
    </cdr:to>
    <cdr:cxnSp macro="">
      <cdr:nvCxnSpPr>
        <cdr:cNvPr id="10" name="Straight Connector 9"/>
        <cdr:cNvCxnSpPr/>
      </cdr:nvCxnSpPr>
      <cdr:spPr>
        <a:xfrm xmlns:a="http://schemas.openxmlformats.org/drawingml/2006/main">
          <a:off x="1113941" y="1646695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0.12849</cdr:x>
      <cdr:y>0.39538</cdr:y>
    </cdr:from>
    <cdr:to>
      <cdr:x>0.97207</cdr:x>
      <cdr:y>0.39538</cdr:y>
    </cdr:to>
    <cdr:cxnSp macro="">
      <cdr:nvCxnSpPr>
        <cdr:cNvPr id="11" name="Straight Connector 10"/>
        <cdr:cNvCxnSpPr/>
      </cdr:nvCxnSpPr>
      <cdr:spPr>
        <a:xfrm xmlns:a="http://schemas.openxmlformats.org/drawingml/2006/main">
          <a:off x="1113941" y="2486186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0.12756</cdr:x>
      <cdr:y>0.5276</cdr:y>
    </cdr:from>
    <cdr:to>
      <cdr:x>0.97114</cdr:x>
      <cdr:y>0.5276</cdr:y>
    </cdr:to>
    <cdr:cxnSp macro="">
      <cdr:nvCxnSpPr>
        <cdr:cNvPr id="12" name="Straight Connector 11"/>
        <cdr:cNvCxnSpPr/>
      </cdr:nvCxnSpPr>
      <cdr:spPr>
        <a:xfrm xmlns:a="http://schemas.openxmlformats.org/drawingml/2006/main">
          <a:off x="1105869" y="3317606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0.12756</cdr:x>
      <cdr:y>0.6611</cdr:y>
    </cdr:from>
    <cdr:to>
      <cdr:x>0.97114</cdr:x>
      <cdr:y>0.6611</cdr:y>
    </cdr:to>
    <cdr:cxnSp macro="">
      <cdr:nvCxnSpPr>
        <cdr:cNvPr id="13" name="Straight Connector 12"/>
        <cdr:cNvCxnSpPr/>
      </cdr:nvCxnSpPr>
      <cdr:spPr>
        <a:xfrm xmlns:a="http://schemas.openxmlformats.org/drawingml/2006/main">
          <a:off x="1105869" y="4157097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0.12849</cdr:x>
      <cdr:y>0.79332</cdr:y>
    </cdr:from>
    <cdr:to>
      <cdr:x>0.97207</cdr:x>
      <cdr:y>0.79332</cdr:y>
    </cdr:to>
    <cdr:cxnSp macro="">
      <cdr:nvCxnSpPr>
        <cdr:cNvPr id="14" name="Straight Connector 13"/>
        <cdr:cNvCxnSpPr/>
      </cdr:nvCxnSpPr>
      <cdr:spPr>
        <a:xfrm xmlns:a="http://schemas.openxmlformats.org/drawingml/2006/main">
          <a:off x="1113941" y="4988517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0.12663</cdr:x>
      <cdr:y>0.92683</cdr:y>
    </cdr:from>
    <cdr:to>
      <cdr:x>0.9702</cdr:x>
      <cdr:y>0.92683</cdr:y>
    </cdr:to>
    <cdr:cxnSp macro="">
      <cdr:nvCxnSpPr>
        <cdr:cNvPr id="15" name="Straight Connector 14"/>
        <cdr:cNvCxnSpPr/>
      </cdr:nvCxnSpPr>
      <cdr:spPr>
        <a:xfrm xmlns:a="http://schemas.openxmlformats.org/drawingml/2006/main">
          <a:off x="1097796" y="5828008"/>
          <a:ext cx="7313262" cy="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3004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05270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05270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0642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0.65808</cdr:x>
      <cdr:y>0.19952</cdr:y>
    </cdr:from>
    <cdr:to>
      <cdr:x>0.97959</cdr:x>
      <cdr:y>0.27587</cdr:y>
    </cdr:to>
    <cdr:sp macro="" textlink="">
      <cdr:nvSpPr>
        <cdr:cNvPr id="2" name="Rectangle 1"/>
        <cdr:cNvSpPr/>
      </cdr:nvSpPr>
      <cdr:spPr>
        <a:xfrm xmlns:a="http://schemas.openxmlformats.org/drawingml/2006/main" rot="19260647">
          <a:off x="5701880" y="1255277"/>
          <a:ext cx="2785713" cy="480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solidFill>
                <a:sysClr val="windowText" lastClr="000000"/>
              </a:solidFill>
            </a:rPr>
            <a:t>Gas</a:t>
          </a:r>
          <a:r>
            <a:rPr lang="en-US" sz="1600" baseline="0">
              <a:solidFill>
                <a:sysClr val="windowText" lastClr="000000"/>
              </a:solidFill>
            </a:rPr>
            <a:t> to Electric </a:t>
          </a:r>
          <a:r>
            <a:rPr lang="en-US" sz="1600">
              <a:solidFill>
                <a:sysClr val="windowText" lastClr="000000"/>
              </a:solidFill>
            </a:rPr>
            <a:t>Sensitivity Costs</a:t>
          </a:r>
        </a:p>
      </cdr:txBody>
    </cdr:sp>
  </cdr:relSizeAnchor>
  <cdr:relSizeAnchor xmlns:cdr="http://schemas.openxmlformats.org/drawingml/2006/chartDrawing">
    <cdr:from>
      <cdr:x>0.76887</cdr:x>
      <cdr:y>0.43849</cdr:y>
    </cdr:from>
    <cdr:to>
      <cdr:x>0.98711</cdr:x>
      <cdr:y>0.52143</cdr:y>
    </cdr:to>
    <cdr:sp macro="" textlink="">
      <cdr:nvSpPr>
        <cdr:cNvPr id="3" name="Rectangle 2"/>
        <cdr:cNvSpPr/>
      </cdr:nvSpPr>
      <cdr:spPr>
        <a:xfrm xmlns:a="http://schemas.openxmlformats.org/drawingml/2006/main" rot="19792666">
          <a:off x="6661791" y="2758769"/>
          <a:ext cx="1890900" cy="5218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solidFill>
                <a:sysClr val="windowText" lastClr="000000"/>
              </a:solidFill>
            </a:rPr>
            <a:t>Mid Scenario Costs</a:t>
          </a:r>
        </a:p>
      </cdr:txBody>
    </cdr:sp>
  </cdr:relSizeAnchor>
  <cdr:relSizeAnchor xmlns:cdr="http://schemas.openxmlformats.org/drawingml/2006/chartDrawing">
    <cdr:from>
      <cdr:x>0.68254</cdr:x>
      <cdr:y>0.3357</cdr:y>
    </cdr:from>
    <cdr:to>
      <cdr:x>0.97314</cdr:x>
      <cdr:y>0.42917</cdr:y>
    </cdr:to>
    <cdr:sp macro="" textlink="">
      <cdr:nvSpPr>
        <cdr:cNvPr id="4" name="Rectangle 3"/>
        <cdr:cNvSpPr/>
      </cdr:nvSpPr>
      <cdr:spPr>
        <a:xfrm xmlns:a="http://schemas.openxmlformats.org/drawingml/2006/main" rot="20024876">
          <a:off x="5913784" y="2112067"/>
          <a:ext cx="2517912" cy="5880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solidFill>
                <a:sysClr val="windowText" lastClr="000000"/>
              </a:solidFill>
            </a:rPr>
            <a:t>Gas to Electric Cost Increase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0.62127</cdr:x>
      <cdr:y>0.58654</cdr:y>
    </cdr:from>
    <cdr:to>
      <cdr:x>0.98966</cdr:x>
      <cdr:y>0.66289</cdr:y>
    </cdr:to>
    <cdr:sp macro="" textlink="">
      <cdr:nvSpPr>
        <cdr:cNvPr id="2" name="Rectangle 1"/>
        <cdr:cNvSpPr/>
      </cdr:nvSpPr>
      <cdr:spPr>
        <a:xfrm xmlns:a="http://schemas.openxmlformats.org/drawingml/2006/main" rot="798640">
          <a:off x="5382968" y="3690240"/>
          <a:ext cx="3191838" cy="480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solidFill>
                <a:sysClr val="windowText" lastClr="000000"/>
              </a:solidFill>
            </a:rPr>
            <a:t>Gas</a:t>
          </a:r>
          <a:r>
            <a:rPr lang="en-US" sz="1600" baseline="0">
              <a:solidFill>
                <a:sysClr val="windowText" lastClr="000000"/>
              </a:solidFill>
            </a:rPr>
            <a:t> to Electric </a:t>
          </a:r>
          <a:r>
            <a:rPr lang="en-US" sz="1600">
              <a:solidFill>
                <a:sysClr val="windowText" lastClr="000000"/>
              </a:solidFill>
            </a:rPr>
            <a:t>Sensitivity Emissions</a:t>
          </a:r>
        </a:p>
      </cdr:txBody>
    </cdr:sp>
  </cdr:relSizeAnchor>
  <cdr:relSizeAnchor xmlns:cdr="http://schemas.openxmlformats.org/drawingml/2006/chartDrawing">
    <cdr:from>
      <cdr:x>0.6554</cdr:x>
      <cdr:y>0.44406</cdr:y>
    </cdr:from>
    <cdr:to>
      <cdr:x>0.90948</cdr:x>
      <cdr:y>0.52699</cdr:y>
    </cdr:to>
    <cdr:sp macro="" textlink="">
      <cdr:nvSpPr>
        <cdr:cNvPr id="3" name="Rectangle 2"/>
        <cdr:cNvSpPr/>
      </cdr:nvSpPr>
      <cdr:spPr>
        <a:xfrm xmlns:a="http://schemas.openxmlformats.org/drawingml/2006/main" rot="236162">
          <a:off x="5678687" y="2793794"/>
          <a:ext cx="2201447" cy="5217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solidFill>
                <a:sysClr val="windowText" lastClr="000000"/>
              </a:solidFill>
            </a:rPr>
            <a:t>Mid Scenario Emissions</a:t>
          </a:r>
        </a:p>
      </cdr:txBody>
    </cdr:sp>
  </cdr:relSizeAnchor>
  <cdr:relSizeAnchor xmlns:cdr="http://schemas.openxmlformats.org/drawingml/2006/chartDrawing">
    <cdr:from>
      <cdr:x>0.64233</cdr:x>
      <cdr:y>0.51912</cdr:y>
    </cdr:from>
    <cdr:to>
      <cdr:x>0.99708</cdr:x>
      <cdr:y>0.61259</cdr:y>
    </cdr:to>
    <cdr:sp macro="" textlink="">
      <cdr:nvSpPr>
        <cdr:cNvPr id="4" name="Rectangle 3"/>
        <cdr:cNvSpPr/>
      </cdr:nvSpPr>
      <cdr:spPr>
        <a:xfrm xmlns:a="http://schemas.openxmlformats.org/drawingml/2006/main" rot="453973">
          <a:off x="5565440" y="3266024"/>
          <a:ext cx="3073632" cy="5880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400">
              <a:solidFill>
                <a:sysClr val="windowText" lastClr="000000"/>
              </a:solidFill>
            </a:rPr>
            <a:t>Gas to Electric Emissions Decrease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A--kb%20edits--scenario%202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NG%20DEVELOPMENT\11.%20Analytics\%23LNG%20Financial%20Model\%23%23LNG%20Financial%20Model%200119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NG%20DEVELOPMENT\1.%20Project%20Development%20&amp;%20Strategy\BOD%20Materials\Board%20Meeting%2001.2014\%23%23LNG%20Financial%20Model%20082613%20_%202014%205%20Year%20Plan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donah\Local%20Settings\Temporary%20Internet%20Files\OLK6D\1_EV%20&amp;%20CNG\EV%20Proforma_Case%201&amp;2&amp;3_11%2010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willi\Local%20Settings\Temporary%20Internet%20Files\Content.Outlook\RL9YYJBD\Analyzer2011%20v5%20-%20Templat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IA"/>
      <sheetName val="Therms"/>
      <sheetName val="ConstructionCosts"/>
      <sheetName val="ReadMe"/>
      <sheetName val="pmt stream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etitive Analysis"/>
      <sheetName val="PM and Change Log"/>
      <sheetName val="Assumptions"/>
      <sheetName val="Inventory &amp; Allocation"/>
      <sheetName val="Capital Inputs"/>
      <sheetName val="O&amp;M Inputs"/>
      <sheetName val="Energy Costs"/>
      <sheetName val="LNG Plant COS Rev Req "/>
      <sheetName val="Contract Premium"/>
      <sheetName val="Contract Revenues"/>
      <sheetName val="FIN STMT PLANT"/>
      <sheetName val="Dist Plant Rev Req"/>
      <sheetName val="FIN STMT DIST UPGRADES"/>
      <sheetName val="LNG Plant Summary for Kelly"/>
      <sheetName val="Fuel Charge"/>
      <sheetName val="Alt. Analysis"/>
      <sheetName val="Stand Alone Peaker"/>
      <sheetName val="Rev &amp; Inc Stm for BOD"/>
      <sheetName val="May Board Tables"/>
      <sheetName val="TOTE Price History"/>
      <sheetName val="TOTE LOI&amp;FSA Support"/>
      <sheetName val="TOTE Price Cap"/>
      <sheetName val="TOTE Pricing Analysis"/>
      <sheetName val="TOTE LOI BackEND"/>
      <sheetName val="BP Pricing 6.05.2014"/>
      <sheetName val="BP Pricing 6.02.2014"/>
      <sheetName val="BP Pricing 4.29.2014"/>
      <sheetName val="BLU 03.05.14"/>
      <sheetName val="State Tax Benefits"/>
      <sheetName val="For Credit Folks"/>
      <sheetName val="5 Year Plan - 09.25.13"/>
      <sheetName val="Chart1"/>
      <sheetName val="MACRS Schedule"/>
      <sheetName val="Clean Energy 12.21"/>
      <sheetName val="Sheet1"/>
      <sheetName val="Ratebased Liab."/>
      <sheetName val="Blu Pricing"/>
      <sheetName val="FP&amp;A Tab (Last Updated 08 14)"/>
    </sheetNames>
    <sheetDataSet>
      <sheetData sheetId="0"/>
      <sheetData sheetId="1"/>
      <sheetData sheetId="2">
        <row r="5">
          <cell r="B5">
            <v>2019</v>
          </cell>
        </row>
        <row r="11">
          <cell r="G11" t="b">
            <v>1</v>
          </cell>
        </row>
        <row r="16">
          <cell r="B16">
            <v>5.9837400000000001</v>
          </cell>
        </row>
        <row r="17">
          <cell r="B17">
            <v>11.709190543657716</v>
          </cell>
        </row>
        <row r="18">
          <cell r="B18">
            <v>12.990555865885501</v>
          </cell>
        </row>
        <row r="20">
          <cell r="B20">
            <v>1.68</v>
          </cell>
        </row>
        <row r="23">
          <cell r="B23">
            <v>10</v>
          </cell>
        </row>
        <row r="24">
          <cell r="B24">
            <v>25</v>
          </cell>
        </row>
        <row r="28">
          <cell r="B28">
            <v>0</v>
          </cell>
          <cell r="C28">
            <v>0</v>
          </cell>
        </row>
        <row r="37">
          <cell r="E37">
            <v>39643375.466036282</v>
          </cell>
        </row>
        <row r="47">
          <cell r="B47">
            <v>2.5000000000000001E-2</v>
          </cell>
        </row>
        <row r="48">
          <cell r="B48">
            <v>0.03</v>
          </cell>
        </row>
        <row r="50">
          <cell r="B50">
            <v>6.6900000000000001E-2</v>
          </cell>
        </row>
        <row r="51">
          <cell r="B51">
            <v>7.7700000000000005E-2</v>
          </cell>
        </row>
        <row r="58">
          <cell r="B58">
            <v>0.63689265895742597</v>
          </cell>
        </row>
        <row r="61">
          <cell r="B61">
            <v>9.5000000000000001E-2</v>
          </cell>
        </row>
        <row r="65">
          <cell r="B65">
            <v>5.8100000000000001E-3</v>
          </cell>
        </row>
        <row r="70">
          <cell r="B70">
            <v>2.3964870499999957E-2</v>
          </cell>
          <cell r="C70">
            <v>5.94E-3</v>
          </cell>
          <cell r="D70">
            <v>4.0063235844739357E-2</v>
          </cell>
        </row>
        <row r="71">
          <cell r="B71">
            <v>1.4196421833144247E-2</v>
          </cell>
        </row>
        <row r="111">
          <cell r="C111">
            <v>0.10845025089865867</v>
          </cell>
        </row>
        <row r="113">
          <cell r="B113">
            <v>0.89948000000000006</v>
          </cell>
        </row>
      </sheetData>
      <sheetData sheetId="3"/>
      <sheetData sheetId="4">
        <row r="29">
          <cell r="E29">
            <v>0.54659029502071854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49">
          <cell r="C49">
            <v>4.5872999999999997E-2</v>
          </cell>
        </row>
      </sheetData>
      <sheetData sheetId="12"/>
      <sheetData sheetId="13"/>
      <sheetData sheetId="14"/>
      <sheetData sheetId="15">
        <row r="36">
          <cell r="H36" t="str">
            <v>Tacoma LNG Facility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 Year Plan"/>
      <sheetName val="Inventory&amp;Allocation"/>
      <sheetName val="Assumptions"/>
      <sheetName val="Capital Inputs"/>
      <sheetName val="$ per BOE"/>
      <sheetName val="O&amp;M Inputs"/>
      <sheetName val="Gas Cost"/>
      <sheetName val="Distribution Cost-&gt; Rev Req"/>
      <sheetName val="Distr Inc Stmt"/>
      <sheetName val="Stnd Revenue "/>
      <sheetName val="Stnd  Inc Stmt"/>
      <sheetName val="Def. Revenue"/>
      <sheetName val="Revenue Req"/>
      <sheetName val="Income Stmt"/>
      <sheetName val="FIN STMT Total Project"/>
      <sheetName val="FIN STMT LNG Total"/>
      <sheetName val="FIN STMT LNG "/>
      <sheetName val="FIN STMT Distribution"/>
      <sheetName val="FIN STMT Deferred revenue"/>
      <sheetName val="Deferred Rev Calc"/>
      <sheetName val="Rev. Exp. EBITDA. Cash."/>
      <sheetName val="Reg Liability"/>
      <sheetName val="Scenarios"/>
      <sheetName val="Chart2"/>
      <sheetName val="MACRS Schedule"/>
      <sheetName val="LNG SALES &amp; Gas Cost"/>
      <sheetName val="Variable Stream"/>
      <sheetName val="Sheet1"/>
      <sheetName val="Ratebased Liab."/>
      <sheetName val="BP JV Pricing 050113"/>
      <sheetName val="TOTE Summary 2012"/>
      <sheetName val="Pricing 05102013"/>
      <sheetName val="BP Pricing 042913"/>
      <sheetName val="BP Pricing 042513"/>
      <sheetName val="Pricing 04182013"/>
      <sheetName val="BP Pricing 030812"/>
      <sheetName val="Linde Pricing 03 13 13"/>
      <sheetName val="BP Pricing 05 23 13"/>
      <sheetName val="Summary for Janet"/>
    </sheetNames>
    <sheetDataSet>
      <sheetData sheetId="0"/>
      <sheetData sheetId="1"/>
      <sheetData sheetId="2">
        <row r="19">
          <cell r="B19" t="b">
            <v>1</v>
          </cell>
        </row>
        <row r="103">
          <cell r="B103">
            <v>0.04</v>
          </cell>
        </row>
      </sheetData>
      <sheetData sheetId="3"/>
      <sheetData sheetId="4"/>
      <sheetData sheetId="5"/>
      <sheetData sheetId="6"/>
      <sheetData sheetId="7">
        <row r="29">
          <cell r="D29">
            <v>0.10500200000000001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s"/>
      <sheetName val="Gen Inputs"/>
      <sheetName val="Inc Stmt"/>
      <sheetName val="Load &amp; Rev"/>
      <sheetName val="O&amp;M"/>
      <sheetName val="Case 3a - Differentiated Cust"/>
      <sheetName val="CapEx Case3"/>
      <sheetName val="Case 2 - Enhanced Cust Service"/>
      <sheetName val="CapEx Case2"/>
      <sheetName val="Case 1 - Basic Cust Service"/>
      <sheetName val="Stmts|Cost+"/>
      <sheetName val="DATA=&gt;"/>
      <sheetName val="Elec Vehicle Load Estimates"/>
      <sheetName val="Old=&gt;"/>
      <sheetName val="Stmts| Take rate"/>
      <sheetName val="Stmts|Rate Case"/>
      <sheetName val="Rates"/>
    </sheetNames>
    <sheetDataSet>
      <sheetData sheetId="0"/>
      <sheetData sheetId="1">
        <row r="20">
          <cell r="B20">
            <v>2011</v>
          </cell>
        </row>
        <row r="21">
          <cell r="B21">
            <v>20</v>
          </cell>
        </row>
        <row r="34">
          <cell r="B34">
            <v>0.35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NG SALES &amp; Gas Cost"/>
      <sheetName val="Instructions"/>
      <sheetName val="Description"/>
      <sheetName val="Assumptions (Input)"/>
      <sheetName val="Capital Projects(Input)"/>
      <sheetName val="Plant(Input)"/>
      <sheetName val="Operations(Input)"/>
      <sheetName val="Results-Print"/>
      <sheetName val="Summary of Results"/>
      <sheetName val="Income Statement (Results)"/>
      <sheetName val="Cash Flow Statement (Results)"/>
      <sheetName val="Tax Statement (Results)"/>
      <sheetName val="IS-Output"/>
      <sheetName val="BS-Output"/>
      <sheetName val="CF-Output"/>
      <sheetName val="Capital Projects(Results)"/>
      <sheetName val="Book Depreciation"/>
      <sheetName val="Tax Depreciation"/>
      <sheetName val="MACRS RATES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</row>
      </sheetData>
      <sheetData sheetId="6">
        <row r="6">
          <cell r="B6">
            <v>5000000</v>
          </cell>
          <cell r="C6">
            <v>5000000</v>
          </cell>
          <cell r="D6">
            <v>5000000</v>
          </cell>
          <cell r="E6">
            <v>5000000</v>
          </cell>
          <cell r="F6">
            <v>5000000</v>
          </cell>
          <cell r="G6">
            <v>5000000</v>
          </cell>
          <cell r="H6">
            <v>5000000</v>
          </cell>
          <cell r="I6">
            <v>5000000</v>
          </cell>
          <cell r="J6">
            <v>5000000</v>
          </cell>
          <cell r="K6">
            <v>5000000</v>
          </cell>
          <cell r="L6">
            <v>5000000</v>
          </cell>
          <cell r="M6">
            <v>5000000</v>
          </cell>
          <cell r="N6">
            <v>5000000</v>
          </cell>
          <cell r="O6">
            <v>5000000</v>
          </cell>
          <cell r="P6">
            <v>5000000</v>
          </cell>
          <cell r="Q6">
            <v>5000000</v>
          </cell>
          <cell r="R6">
            <v>5000000</v>
          </cell>
          <cell r="S6">
            <v>5000000</v>
          </cell>
          <cell r="T6">
            <v>5000000</v>
          </cell>
          <cell r="U6">
            <v>5000000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id="1" name="Table1" displayName="Table1" ref="B3:C7" totalsRowShown="0" headerRowDxfId="8" dataDxfId="7">
  <tableColumns count="2">
    <tableColumn id="1" name="Sensitivity" dataDxfId="6"/>
    <tableColumn id="2" name="Portfolio NPV, $ billion" dataDxfId="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B10:C13" totalsRowShown="0" headerRowDxfId="4" dataDxfId="3">
  <tableColumns count="2">
    <tableColumn id="1" name="Scenario" dataDxfId="2"/>
    <tableColumn id="2" name="Portfolio NPV, $ billion" dataDxfId="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SE theme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6671"/>
      </a:accent1>
      <a:accent2>
        <a:srgbClr val="58C3B4"/>
      </a:accent2>
      <a:accent3>
        <a:srgbClr val="C3E7E3"/>
      </a:accent3>
      <a:accent4>
        <a:srgbClr val="668B53"/>
      </a:accent4>
      <a:accent5>
        <a:srgbClr val="2C1126"/>
      </a:accent5>
      <a:accent6>
        <a:srgbClr val="E45D48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/>
  </sheetViews>
  <sheetFormatPr defaultRowHeight="15" x14ac:dyDescent="0.25"/>
  <cols>
    <col min="1" max="16384" width="9.140625" style="244"/>
  </cols>
  <sheetData>
    <row r="1" spans="1:3" x14ac:dyDescent="0.25">
      <c r="A1" s="245" t="s">
        <v>168</v>
      </c>
    </row>
    <row r="3" spans="1:3" x14ac:dyDescent="0.25">
      <c r="B3" s="244" t="s">
        <v>169</v>
      </c>
    </row>
    <row r="5" spans="1:3" x14ac:dyDescent="0.25">
      <c r="B5" s="247" t="s">
        <v>170</v>
      </c>
      <c r="C5" s="247"/>
    </row>
    <row r="7" spans="1:3" x14ac:dyDescent="0.25">
      <c r="C7" s="244" t="s">
        <v>173</v>
      </c>
    </row>
    <row r="9" spans="1:3" x14ac:dyDescent="0.25">
      <c r="B9" s="246" t="s">
        <v>171</v>
      </c>
      <c r="C9" s="246"/>
    </row>
    <row r="11" spans="1:3" x14ac:dyDescent="0.25">
      <c r="C11" s="244" t="s">
        <v>174</v>
      </c>
    </row>
    <row r="13" spans="1:3" x14ac:dyDescent="0.25">
      <c r="B13" s="248" t="s">
        <v>172</v>
      </c>
      <c r="C13" s="248"/>
    </row>
    <row r="15" spans="1:3" x14ac:dyDescent="0.25">
      <c r="C15" s="244" t="s">
        <v>175</v>
      </c>
    </row>
    <row r="17" spans="2:3" x14ac:dyDescent="0.25">
      <c r="B17" s="279" t="s">
        <v>194</v>
      </c>
      <c r="C17" s="279"/>
    </row>
    <row r="19" spans="2:3" x14ac:dyDescent="0.25">
      <c r="C19" s="244" t="s">
        <v>195</v>
      </c>
    </row>
    <row r="20" spans="2:3" x14ac:dyDescent="0.25">
      <c r="C20" s="244" t="s">
        <v>196</v>
      </c>
    </row>
    <row r="21" spans="2:3" x14ac:dyDescent="0.25">
      <c r="C21" s="244" t="s">
        <v>197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D98"/>
  <sheetViews>
    <sheetView zoomScale="60" zoomScaleNormal="60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5" width="9.42578125" customWidth="1"/>
    <col min="26" max="26" width="9.7109375" customWidth="1"/>
    <col min="27" max="27" width="9.5703125" customWidth="1"/>
    <col min="28" max="28" width="8.85546875" customWidth="1"/>
    <col min="29" max="29" width="8.5703125" customWidth="1"/>
    <col min="30" max="30" width="10.7109375" customWidth="1"/>
    <col min="31" max="31" width="10.28515625" customWidth="1"/>
    <col min="32" max="32" width="9.28515625" customWidth="1"/>
    <col min="33" max="33" width="14.28515625" customWidth="1"/>
    <col min="35" max="35" width="12.42578125" customWidth="1"/>
    <col min="36" max="36" width="13.42578125" customWidth="1"/>
    <col min="37" max="37" width="10.5703125" customWidth="1"/>
    <col min="38" max="38" width="12.5703125" style="64" customWidth="1"/>
    <col min="41" max="41" width="10.5703125" customWidth="1"/>
    <col min="54" max="56" width="9.5703125" bestFit="1" customWidth="1"/>
  </cols>
  <sheetData>
    <row r="1" spans="2:56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3"/>
    </row>
    <row r="2" spans="2:56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</row>
    <row r="3" spans="2:56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</row>
    <row r="4" spans="2:56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9"/>
      <c r="AA4" s="8"/>
      <c r="AB4" s="8"/>
      <c r="AE4" s="9"/>
    </row>
    <row r="5" spans="2:56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13" t="s">
        <v>90</v>
      </c>
      <c r="AA5" s="14"/>
      <c r="AB5" s="14"/>
      <c r="AC5" s="15"/>
      <c r="AD5" s="15"/>
      <c r="AE5" s="9"/>
      <c r="AJ5" t="s">
        <v>162</v>
      </c>
    </row>
    <row r="6" spans="2:56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87</v>
      </c>
      <c r="J6" s="18" t="s">
        <v>12</v>
      </c>
      <c r="K6" s="19"/>
      <c r="L6" s="18" t="s">
        <v>89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HIGH Demand Before DSR</v>
      </c>
      <c r="R6" s="16" t="s">
        <v>88</v>
      </c>
      <c r="S6" s="18" t="s">
        <v>18</v>
      </c>
      <c r="T6" s="10"/>
      <c r="V6" s="71" t="s">
        <v>6</v>
      </c>
      <c r="W6" s="71" t="s">
        <v>19</v>
      </c>
      <c r="X6" s="71" t="s">
        <v>21</v>
      </c>
      <c r="Y6" s="71" t="s">
        <v>85</v>
      </c>
      <c r="Z6" s="71" t="s">
        <v>22</v>
      </c>
      <c r="AA6" s="71" t="s">
        <v>23</v>
      </c>
      <c r="AB6" s="71" t="s">
        <v>24</v>
      </c>
      <c r="AC6" s="71" t="s">
        <v>14</v>
      </c>
      <c r="AD6" s="71" t="s">
        <v>86</v>
      </c>
      <c r="AE6" s="16" t="s">
        <v>25</v>
      </c>
      <c r="AF6" s="16" t="s">
        <v>26</v>
      </c>
      <c r="AH6" s="20" t="s">
        <v>73</v>
      </c>
      <c r="AI6" s="16"/>
      <c r="AJ6" s="16" t="s">
        <v>87</v>
      </c>
      <c r="AK6" s="65"/>
      <c r="AL6"/>
    </row>
    <row r="7" spans="2:56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3" t="s">
        <v>30</v>
      </c>
      <c r="X7" s="73" t="s">
        <v>32</v>
      </c>
      <c r="Y7" s="73" t="s">
        <v>33</v>
      </c>
      <c r="Z7" s="73" t="s">
        <v>34</v>
      </c>
      <c r="AA7" s="73" t="s">
        <v>35</v>
      </c>
      <c r="AB7" s="73" t="s">
        <v>36</v>
      </c>
      <c r="AC7" s="73" t="s">
        <v>37</v>
      </c>
      <c r="AD7" s="72" t="s">
        <v>83</v>
      </c>
      <c r="AE7" s="27"/>
      <c r="AF7" s="27"/>
      <c r="AK7" s="64"/>
      <c r="AL7"/>
      <c r="BB7" s="70"/>
      <c r="BC7" s="70"/>
      <c r="BD7" s="70"/>
    </row>
    <row r="8" spans="2:56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6"/>
      <c r="AA8" s="74"/>
      <c r="AB8" s="74"/>
      <c r="AC8" s="74"/>
      <c r="AD8" s="74"/>
      <c r="AE8" s="82">
        <f t="shared" ref="AE8:AE33" si="1">SUM(W8:AC8)</f>
        <v>0</v>
      </c>
      <c r="AF8" s="37">
        <f>(H8+AE8)-I8</f>
        <v>-37.987134765585211</v>
      </c>
      <c r="AK8" s="64"/>
      <c r="AL8"/>
      <c r="AO8" s="39"/>
    </row>
    <row r="9" spans="2:56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6"/>
      <c r="AA9" s="74"/>
      <c r="AB9" s="74"/>
      <c r="AC9" s="74"/>
      <c r="AD9" s="74"/>
      <c r="AE9" s="82">
        <f t="shared" si="1"/>
        <v>0</v>
      </c>
      <c r="AF9" s="37">
        <f>(H9+AE9)-I9</f>
        <v>11.37245977232817</v>
      </c>
      <c r="AK9" s="64"/>
      <c r="AL9"/>
      <c r="AN9" s="40"/>
    </row>
    <row r="10" spans="2:56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Q10-AD10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7"/>
      <c r="X10" s="77"/>
      <c r="Y10" s="77"/>
      <c r="Z10" s="77"/>
      <c r="AA10" s="78"/>
      <c r="AB10" s="78"/>
      <c r="AC10" s="78"/>
      <c r="AD10" s="79">
        <v>1.8945724714614274</v>
      </c>
      <c r="AE10" s="41">
        <f t="shared" si="1"/>
        <v>0</v>
      </c>
      <c r="AF10" s="42">
        <f>(H10+AE10)-I10</f>
        <v>-17.075660813225795</v>
      </c>
      <c r="AH10" s="44"/>
      <c r="AI10" s="45"/>
      <c r="AJ10" s="43"/>
      <c r="AK10" s="64"/>
      <c r="AL10"/>
      <c r="AN10" s="46"/>
      <c r="AO10" s="43"/>
      <c r="AP10" s="46"/>
      <c r="AQ10" s="46"/>
      <c r="AT10" s="46"/>
      <c r="AU10" s="46"/>
    </row>
    <row r="11" spans="2:56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7"/>
      <c r="X11" s="77"/>
      <c r="Y11" s="77"/>
      <c r="Z11" s="77"/>
      <c r="AA11" s="77"/>
      <c r="AB11" s="77"/>
      <c r="AC11" s="77"/>
      <c r="AD11" s="79">
        <v>6.0589568905517144</v>
      </c>
      <c r="AE11" s="41">
        <f t="shared" si="1"/>
        <v>0</v>
      </c>
      <c r="AF11" s="42">
        <f>(H11+AE11)-I11</f>
        <v>19.165108790513955</v>
      </c>
      <c r="AH11" s="44"/>
      <c r="AI11" s="45"/>
      <c r="AJ11" s="43"/>
      <c r="AK11" s="64"/>
      <c r="AL11"/>
      <c r="AN11" s="46"/>
      <c r="AO11" s="43"/>
      <c r="AP11" s="46"/>
      <c r="AQ11" s="46"/>
      <c r="AT11" s="46"/>
      <c r="AU11" s="46"/>
    </row>
    <row r="12" spans="2:56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AD13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7">H12+P12-Q12</f>
        <v>-7.5889205675269977</v>
      </c>
      <c r="T12" s="10"/>
      <c r="V12" s="80" t="str">
        <f t="shared" si="6"/>
        <v>2020-21</v>
      </c>
      <c r="W12" s="80"/>
      <c r="X12" s="80"/>
      <c r="Y12" s="80"/>
      <c r="Z12" s="80"/>
      <c r="AA12" s="80"/>
      <c r="AB12" s="80"/>
      <c r="AC12" s="80"/>
      <c r="AD12" s="75">
        <v>0</v>
      </c>
      <c r="AE12" s="59">
        <f t="shared" si="1"/>
        <v>0</v>
      </c>
      <c r="AF12" s="32">
        <f t="shared" ref="AF12:AF33" si="8">AE12+H12-I12</f>
        <v>35.454700000000003</v>
      </c>
      <c r="AH12" s="44">
        <v>1035.500620567527</v>
      </c>
      <c r="AI12" s="45"/>
      <c r="AJ12" s="43"/>
      <c r="AK12" s="66"/>
      <c r="AL12" s="52"/>
      <c r="AN12" s="46"/>
      <c r="AO12" s="43"/>
      <c r="AP12" s="46"/>
      <c r="AQ12" s="46"/>
      <c r="AT12" s="46"/>
      <c r="AU12" s="46"/>
    </row>
    <row r="13" spans="2:56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AD14</f>
        <v>4.6318667643361797</v>
      </c>
      <c r="M13" s="50"/>
      <c r="N13" s="51">
        <v>-3.1532888603364881</v>
      </c>
      <c r="O13" s="50"/>
      <c r="P13" s="32">
        <f t="shared" si="3"/>
        <v>1.4785779039996916</v>
      </c>
      <c r="Q13" s="37">
        <f t="shared" si="4"/>
        <v>957.00229999999999</v>
      </c>
      <c r="R13" s="37">
        <f t="shared" si="5"/>
        <v>957.00229999999999</v>
      </c>
      <c r="S13" s="33">
        <f t="shared" si="7"/>
        <v>86.93327790399951</v>
      </c>
      <c r="T13" s="10"/>
      <c r="V13" s="80" t="str">
        <f t="shared" si="6"/>
        <v>2021-22</v>
      </c>
      <c r="W13" s="80"/>
      <c r="X13" s="80"/>
      <c r="Y13" s="80"/>
      <c r="Z13" s="80"/>
      <c r="AA13" s="80"/>
      <c r="AB13" s="80"/>
      <c r="AC13" s="80"/>
      <c r="AD13" s="81">
        <v>0</v>
      </c>
      <c r="AE13" s="59">
        <f t="shared" si="1"/>
        <v>0</v>
      </c>
      <c r="AF13" s="32">
        <f t="shared" si="8"/>
        <v>85.454699999999889</v>
      </c>
      <c r="AH13" s="44">
        <v>1045.6102888603364</v>
      </c>
      <c r="AI13" s="45"/>
      <c r="AJ13" s="43"/>
      <c r="AK13" s="66"/>
      <c r="AL13" s="52"/>
      <c r="AN13" s="46"/>
      <c r="AO13" s="43"/>
      <c r="AP13" s="46"/>
      <c r="AQ13" s="46"/>
      <c r="AT13" s="46"/>
      <c r="AU13" s="46"/>
    </row>
    <row r="14" spans="2:56" x14ac:dyDescent="0.25">
      <c r="B14" s="28" t="s">
        <v>47</v>
      </c>
      <c r="C14" s="29"/>
      <c r="D14" s="30">
        <f t="shared" ref="D14:D33" si="9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983.84658242787464</v>
      </c>
      <c r="J14" s="33">
        <f t="shared" si="0"/>
        <v>58.610417572125243</v>
      </c>
      <c r="K14" s="34"/>
      <c r="L14" s="32">
        <f t="shared" ref="L14:L33" si="10">AD14</f>
        <v>4.6318667643361797</v>
      </c>
      <c r="M14" s="53"/>
      <c r="N14" s="54"/>
      <c r="O14" s="50"/>
      <c r="P14" s="32">
        <f t="shared" si="3"/>
        <v>4.6318667643361797</v>
      </c>
      <c r="Q14" s="37">
        <f t="shared" si="4"/>
        <v>983.84658242787464</v>
      </c>
      <c r="R14" s="37">
        <f t="shared" si="5"/>
        <v>979.21471566353841</v>
      </c>
      <c r="S14" s="33">
        <f t="shared" si="7"/>
        <v>63.242284336461353</v>
      </c>
      <c r="T14" s="10"/>
      <c r="V14" s="80" t="str">
        <f t="shared" si="6"/>
        <v>2022-23</v>
      </c>
      <c r="W14" s="80" t="s">
        <v>82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3">
        <v>4.6318667643361797</v>
      </c>
      <c r="AE14" s="59">
        <f t="shared" si="1"/>
        <v>0</v>
      </c>
      <c r="AF14" s="32">
        <f t="shared" si="8"/>
        <v>58.610417572125243</v>
      </c>
      <c r="AH14" s="44">
        <v>1053.5407413432795</v>
      </c>
      <c r="AI14" s="45"/>
      <c r="AJ14" s="43">
        <v>1100242639.1082337</v>
      </c>
      <c r="AK14" s="66"/>
      <c r="AL14" s="52"/>
      <c r="AN14" s="46"/>
      <c r="AO14" s="43"/>
      <c r="AP14" s="46"/>
      <c r="AQ14" s="46"/>
      <c r="AT14" s="46"/>
      <c r="AU14" s="46"/>
      <c r="BB14" s="66"/>
      <c r="BC14" s="66"/>
      <c r="BD14" s="66"/>
    </row>
    <row r="15" spans="2:56" x14ac:dyDescent="0.25">
      <c r="B15" s="28" t="s">
        <v>48</v>
      </c>
      <c r="C15" s="29"/>
      <c r="D15" s="30">
        <f t="shared" si="9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1001.8232300421203</v>
      </c>
      <c r="J15" s="33">
        <f t="shared" si="0"/>
        <v>40.633769957879622</v>
      </c>
      <c r="K15" s="34"/>
      <c r="L15" s="32">
        <f t="shared" si="10"/>
        <v>9.9577571668474913</v>
      </c>
      <c r="M15" s="53"/>
      <c r="N15" s="54"/>
      <c r="O15" s="50"/>
      <c r="P15" s="32">
        <f t="shared" si="3"/>
        <v>9.9577571668474913</v>
      </c>
      <c r="Q15" s="37">
        <f t="shared" si="4"/>
        <v>1001.8232300421203</v>
      </c>
      <c r="R15" s="37">
        <f t="shared" si="5"/>
        <v>991.86547287527276</v>
      </c>
      <c r="S15" s="33">
        <f t="shared" si="7"/>
        <v>50.591527124727008</v>
      </c>
      <c r="T15" s="10"/>
      <c r="V15" s="80" t="str">
        <f t="shared" si="6"/>
        <v>2023-24</v>
      </c>
      <c r="W15" s="80" t="s">
        <v>82</v>
      </c>
      <c r="X15" s="80" t="s">
        <v>82</v>
      </c>
      <c r="Y15" s="80" t="s">
        <v>82</v>
      </c>
      <c r="Z15" s="80" t="s">
        <v>82</v>
      </c>
      <c r="AA15" s="80">
        <v>15</v>
      </c>
      <c r="AB15" s="80" t="s">
        <v>82</v>
      </c>
      <c r="AC15" s="80" t="s">
        <v>82</v>
      </c>
      <c r="AD15" s="83">
        <v>9.9577571668474913</v>
      </c>
      <c r="AE15" s="59">
        <f t="shared" si="1"/>
        <v>15</v>
      </c>
      <c r="AF15" s="32">
        <f t="shared" si="8"/>
        <v>55.633769957879622</v>
      </c>
      <c r="AH15" s="44">
        <v>1062.70947981108</v>
      </c>
      <c r="AI15" s="45"/>
      <c r="AJ15" s="43">
        <v>1123963195.6576014</v>
      </c>
      <c r="AK15" s="66"/>
      <c r="AL15" s="52"/>
      <c r="AN15" s="46"/>
      <c r="AO15" s="43"/>
      <c r="AP15" s="46"/>
      <c r="AQ15" s="46"/>
      <c r="AT15" s="46"/>
      <c r="AU15" s="46"/>
      <c r="BB15" s="66"/>
      <c r="BC15" s="66"/>
      <c r="BD15" s="66"/>
    </row>
    <row r="16" spans="2:56" x14ac:dyDescent="0.25">
      <c r="B16" s="28" t="s">
        <v>49</v>
      </c>
      <c r="C16" s="29"/>
      <c r="D16" s="30">
        <f t="shared" si="9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1020.266999669704</v>
      </c>
      <c r="J16" s="33">
        <f t="shared" si="0"/>
        <v>22.190000330295902</v>
      </c>
      <c r="K16" s="34"/>
      <c r="L16" s="32">
        <f t="shared" si="10"/>
        <v>15.538125107818678</v>
      </c>
      <c r="M16" s="53"/>
      <c r="N16" s="54"/>
      <c r="O16" s="50"/>
      <c r="P16" s="32">
        <f t="shared" si="3"/>
        <v>15.538125107818678</v>
      </c>
      <c r="Q16" s="37">
        <f t="shared" si="4"/>
        <v>1020.266999669704</v>
      </c>
      <c r="R16" s="37">
        <f t="shared" si="5"/>
        <v>1004.7288745618853</v>
      </c>
      <c r="S16" s="33">
        <f t="shared" si="7"/>
        <v>37.728125438114489</v>
      </c>
      <c r="T16" s="10"/>
      <c r="V16" s="80" t="str">
        <f t="shared" si="6"/>
        <v>2024-25</v>
      </c>
      <c r="W16" s="80" t="s">
        <v>82</v>
      </c>
      <c r="X16" s="80" t="s">
        <v>82</v>
      </c>
      <c r="Y16" s="80" t="s">
        <v>82</v>
      </c>
      <c r="Z16" s="80" t="s">
        <v>82</v>
      </c>
      <c r="AA16" s="80">
        <v>15</v>
      </c>
      <c r="AB16" s="80" t="s">
        <v>82</v>
      </c>
      <c r="AC16" s="85"/>
      <c r="AD16" s="83">
        <v>15.538125107818678</v>
      </c>
      <c r="AE16" s="59">
        <f t="shared" si="1"/>
        <v>15</v>
      </c>
      <c r="AF16" s="32">
        <f t="shared" si="8"/>
        <v>37.190000330295902</v>
      </c>
      <c r="AH16" s="44">
        <v>1069.875394233997</v>
      </c>
      <c r="AI16" s="45"/>
      <c r="AJ16" s="43">
        <v>1162922788.3992975</v>
      </c>
      <c r="AK16" s="66"/>
      <c r="AL16" s="52"/>
      <c r="AN16" s="46"/>
      <c r="AO16" s="43"/>
      <c r="AP16" s="46"/>
      <c r="AQ16" s="46"/>
      <c r="AT16" s="46"/>
      <c r="AU16" s="46"/>
      <c r="BB16" s="66"/>
      <c r="BC16" s="66"/>
      <c r="BD16" s="66"/>
    </row>
    <row r="17" spans="2:56" x14ac:dyDescent="0.25">
      <c r="B17" s="28" t="s">
        <v>50</v>
      </c>
      <c r="C17" s="29"/>
      <c r="D17" s="30">
        <f t="shared" si="9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1035.9636506551724</v>
      </c>
      <c r="J17" s="33">
        <f t="shared" si="0"/>
        <v>6.493349344827493</v>
      </c>
      <c r="K17" s="34"/>
      <c r="L17" s="32">
        <f t="shared" si="10"/>
        <v>21.222035606716283</v>
      </c>
      <c r="M17" s="53"/>
      <c r="N17" s="54"/>
      <c r="O17" s="50"/>
      <c r="P17" s="32">
        <f t="shared" si="3"/>
        <v>21.222035606716283</v>
      </c>
      <c r="Q17" s="37">
        <f t="shared" si="4"/>
        <v>1035.9636506551724</v>
      </c>
      <c r="R17" s="37">
        <f t="shared" si="5"/>
        <v>1014.7416150484561</v>
      </c>
      <c r="S17" s="33">
        <f t="shared" si="7"/>
        <v>27.715384951543683</v>
      </c>
      <c r="T17" s="10"/>
      <c r="V17" s="80" t="str">
        <f t="shared" si="6"/>
        <v>2025-26</v>
      </c>
      <c r="W17" s="80" t="s">
        <v>82</v>
      </c>
      <c r="X17" s="80" t="s">
        <v>82</v>
      </c>
      <c r="Y17" s="80" t="s">
        <v>82</v>
      </c>
      <c r="Z17" s="80" t="s">
        <v>82</v>
      </c>
      <c r="AA17" s="80">
        <v>15</v>
      </c>
      <c r="AB17" s="80" t="s">
        <v>82</v>
      </c>
      <c r="AC17" s="85"/>
      <c r="AD17" s="83">
        <v>21.222035606716283</v>
      </c>
      <c r="AE17" s="59">
        <f t="shared" si="1"/>
        <v>15</v>
      </c>
      <c r="AF17" s="32">
        <f t="shared" si="8"/>
        <v>21.493349344827493</v>
      </c>
      <c r="AH17" s="44">
        <v>1074.046576766304</v>
      </c>
      <c r="AI17" s="45"/>
      <c r="AJ17" s="43">
        <v>1184236254.9277434</v>
      </c>
      <c r="AK17" s="66"/>
      <c r="AL17" s="52"/>
      <c r="AN17" s="46"/>
      <c r="AO17" s="43"/>
      <c r="AP17" s="46"/>
      <c r="AQ17" s="46"/>
      <c r="AT17" s="46"/>
      <c r="AU17" s="46"/>
      <c r="BB17" s="66"/>
      <c r="BC17" s="66"/>
      <c r="BD17" s="66"/>
    </row>
    <row r="18" spans="2:56" x14ac:dyDescent="0.25">
      <c r="B18" s="28" t="s">
        <v>51</v>
      </c>
      <c r="C18" s="29"/>
      <c r="D18" s="30">
        <f t="shared" si="9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1047.1741396870491</v>
      </c>
      <c r="J18" s="33">
        <f t="shared" si="0"/>
        <v>-4.7171396870492117</v>
      </c>
      <c r="K18" s="34"/>
      <c r="L18" s="32">
        <f t="shared" si="10"/>
        <v>27.129068832316101</v>
      </c>
      <c r="M18" s="53"/>
      <c r="N18" s="54"/>
      <c r="O18" s="50"/>
      <c r="P18" s="32">
        <f t="shared" si="3"/>
        <v>27.129068832316101</v>
      </c>
      <c r="Q18" s="37">
        <f t="shared" si="4"/>
        <v>1047.1741396870491</v>
      </c>
      <c r="R18" s="37">
        <f t="shared" si="5"/>
        <v>1020.045070854733</v>
      </c>
      <c r="S18" s="33">
        <f t="shared" si="7"/>
        <v>22.411929145266868</v>
      </c>
      <c r="T18" s="10"/>
      <c r="V18" s="80" t="str">
        <f t="shared" si="6"/>
        <v>2026-27</v>
      </c>
      <c r="W18" s="80" t="s">
        <v>82</v>
      </c>
      <c r="X18" s="80" t="s">
        <v>82</v>
      </c>
      <c r="Y18" s="80" t="s">
        <v>82</v>
      </c>
      <c r="Z18" s="80" t="s">
        <v>82</v>
      </c>
      <c r="AA18" s="80">
        <v>15</v>
      </c>
      <c r="AB18" s="80" t="s">
        <v>82</v>
      </c>
      <c r="AC18" s="85"/>
      <c r="AD18" s="83">
        <v>27.129068832316101</v>
      </c>
      <c r="AE18" s="59">
        <f t="shared" si="1"/>
        <v>15</v>
      </c>
      <c r="AF18" s="32">
        <f t="shared" si="8"/>
        <v>10.282860312950788</v>
      </c>
      <c r="AH18" s="44">
        <v>1081.3726145732787</v>
      </c>
      <c r="AI18" s="45"/>
      <c r="AJ18" s="43">
        <v>1197855183.7059073</v>
      </c>
      <c r="AK18" s="66"/>
      <c r="AL18" s="52"/>
      <c r="AN18" s="46"/>
      <c r="AO18" s="43"/>
      <c r="AP18" s="46"/>
      <c r="AQ18" s="46"/>
      <c r="AT18" s="46"/>
      <c r="AU18" s="46"/>
      <c r="BB18" s="66"/>
      <c r="BC18" s="66"/>
      <c r="BD18" s="66"/>
    </row>
    <row r="19" spans="2:56" x14ac:dyDescent="0.25">
      <c r="B19" s="28" t="s">
        <v>52</v>
      </c>
      <c r="C19" s="29"/>
      <c r="D19" s="30">
        <f t="shared" si="9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1052.0788902962893</v>
      </c>
      <c r="J19" s="33">
        <f t="shared" si="0"/>
        <v>-9.6218902962893935</v>
      </c>
      <c r="K19" s="34"/>
      <c r="L19" s="32">
        <f t="shared" si="10"/>
        <v>33.289625157163734</v>
      </c>
      <c r="M19" s="53"/>
      <c r="N19" s="54"/>
      <c r="O19" s="50"/>
      <c r="P19" s="32">
        <f t="shared" si="3"/>
        <v>33.289625157163734</v>
      </c>
      <c r="Q19" s="37">
        <f t="shared" si="4"/>
        <v>1052.0788902962893</v>
      </c>
      <c r="R19" s="37">
        <f t="shared" si="5"/>
        <v>1018.7892651391255</v>
      </c>
      <c r="S19" s="33">
        <f t="shared" si="7"/>
        <v>23.667734860874361</v>
      </c>
      <c r="T19" s="10"/>
      <c r="V19" s="80" t="str">
        <f t="shared" si="6"/>
        <v>2027-28</v>
      </c>
      <c r="W19" s="80" t="s">
        <v>82</v>
      </c>
      <c r="X19" s="80" t="s">
        <v>82</v>
      </c>
      <c r="Y19" s="80" t="s">
        <v>82</v>
      </c>
      <c r="Z19" s="80" t="s">
        <v>82</v>
      </c>
      <c r="AA19" s="80">
        <v>15</v>
      </c>
      <c r="AB19" s="80" t="s">
        <v>82</v>
      </c>
      <c r="AC19" s="85"/>
      <c r="AD19" s="83">
        <v>33.289625157163734</v>
      </c>
      <c r="AE19" s="59">
        <f t="shared" si="1"/>
        <v>15</v>
      </c>
      <c r="AF19" s="32">
        <f t="shared" si="8"/>
        <v>5.3781097037106065</v>
      </c>
      <c r="AH19" s="44">
        <v>1088.9478443321157</v>
      </c>
      <c r="AI19" s="45"/>
      <c r="AJ19" s="43">
        <v>1208754740.7913213</v>
      </c>
      <c r="AK19" s="66"/>
      <c r="AL19" s="52"/>
      <c r="AN19" s="46"/>
      <c r="AO19" s="43"/>
      <c r="AP19" s="46"/>
      <c r="AQ19" s="46"/>
      <c r="AT19" s="46"/>
      <c r="AU19" s="46"/>
      <c r="BB19" s="66"/>
      <c r="BC19" s="66"/>
      <c r="BD19" s="66"/>
    </row>
    <row r="20" spans="2:56" x14ac:dyDescent="0.25">
      <c r="B20" s="28" t="s">
        <v>53</v>
      </c>
      <c r="C20" s="29"/>
      <c r="D20" s="30">
        <f t="shared" si="9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1067.3171043397062</v>
      </c>
      <c r="J20" s="33">
        <f t="shared" si="0"/>
        <v>-24.860104339706368</v>
      </c>
      <c r="K20" s="34"/>
      <c r="L20" s="32">
        <f t="shared" si="10"/>
        <v>39.704912943457749</v>
      </c>
      <c r="M20" s="53"/>
      <c r="N20" s="54"/>
      <c r="O20" s="50"/>
      <c r="P20" s="32">
        <f t="shared" si="3"/>
        <v>39.704912943457749</v>
      </c>
      <c r="Q20" s="37">
        <f t="shared" si="4"/>
        <v>1067.3171043397062</v>
      </c>
      <c r="R20" s="37">
        <f t="shared" si="5"/>
        <v>1027.6121913962486</v>
      </c>
      <c r="S20" s="33">
        <f t="shared" si="7"/>
        <v>14.844808603751289</v>
      </c>
      <c r="T20" s="10"/>
      <c r="V20" s="80" t="str">
        <f t="shared" si="6"/>
        <v>2028-29</v>
      </c>
      <c r="W20" s="80" t="s">
        <v>82</v>
      </c>
      <c r="X20" s="80" t="s">
        <v>82</v>
      </c>
      <c r="Y20" s="80" t="s">
        <v>82</v>
      </c>
      <c r="Z20" s="80" t="s">
        <v>82</v>
      </c>
      <c r="AA20" s="80">
        <v>15</v>
      </c>
      <c r="AB20" s="80" t="s">
        <v>82</v>
      </c>
      <c r="AC20" s="85"/>
      <c r="AD20" s="83">
        <v>39.704912943457749</v>
      </c>
      <c r="AE20" s="59">
        <f t="shared" si="1"/>
        <v>15</v>
      </c>
      <c r="AF20" s="32">
        <f t="shared" si="8"/>
        <v>-9.8601043397063677</v>
      </c>
      <c r="AH20" s="44">
        <v>1096.2966233757172</v>
      </c>
      <c r="AI20" s="45"/>
      <c r="AJ20" s="43">
        <v>1230868413.6866264</v>
      </c>
      <c r="AK20" s="66"/>
      <c r="AL20" s="52"/>
      <c r="AN20" s="46"/>
      <c r="AO20" s="43"/>
      <c r="AP20" s="46"/>
      <c r="AQ20" s="46"/>
      <c r="AT20" s="46"/>
      <c r="AU20" s="46"/>
      <c r="BB20" s="66"/>
      <c r="BC20" s="66"/>
      <c r="BD20" s="66"/>
    </row>
    <row r="21" spans="2:56" x14ac:dyDescent="0.25">
      <c r="B21" s="28" t="s">
        <v>54</v>
      </c>
      <c r="C21" s="29"/>
      <c r="D21" s="30">
        <f t="shared" si="9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1076.1852519591553</v>
      </c>
      <c r="J21" s="33">
        <f t="shared" si="0"/>
        <v>-33.728251959155386</v>
      </c>
      <c r="K21" s="34"/>
      <c r="L21" s="32">
        <f t="shared" si="10"/>
        <v>46.35392727602521</v>
      </c>
      <c r="M21" s="53"/>
      <c r="N21" s="54"/>
      <c r="O21" s="50"/>
      <c r="P21" s="32">
        <f t="shared" si="3"/>
        <v>46.35392727602521</v>
      </c>
      <c r="Q21" s="37">
        <f t="shared" si="4"/>
        <v>1076.1852519591553</v>
      </c>
      <c r="R21" s="37">
        <f t="shared" si="5"/>
        <v>1029.8313246831301</v>
      </c>
      <c r="S21" s="33">
        <f t="shared" si="7"/>
        <v>12.625675316869774</v>
      </c>
      <c r="T21" s="10"/>
      <c r="V21" s="80" t="str">
        <f t="shared" si="6"/>
        <v>2029-30</v>
      </c>
      <c r="W21" s="80" t="s">
        <v>82</v>
      </c>
      <c r="X21" s="80" t="s">
        <v>82</v>
      </c>
      <c r="Y21" s="80" t="s">
        <v>82</v>
      </c>
      <c r="Z21" s="80" t="s">
        <v>82</v>
      </c>
      <c r="AA21" s="80">
        <v>15</v>
      </c>
      <c r="AB21" s="80" t="s">
        <v>82</v>
      </c>
      <c r="AC21" s="85"/>
      <c r="AD21" s="83">
        <v>46.35392727602521</v>
      </c>
      <c r="AE21" s="59">
        <f t="shared" si="1"/>
        <v>15</v>
      </c>
      <c r="AF21" s="32">
        <f t="shared" si="8"/>
        <v>-18.728251959155386</v>
      </c>
      <c r="AH21" s="44">
        <v>1102.2936430343566</v>
      </c>
      <c r="AI21" s="45"/>
      <c r="AJ21" s="43">
        <v>1240762088.1339619</v>
      </c>
      <c r="AK21" s="66"/>
      <c r="AL21" s="52"/>
      <c r="AN21" s="46"/>
      <c r="AO21" s="43"/>
      <c r="AP21" s="46"/>
      <c r="AQ21" s="46"/>
      <c r="AT21" s="46"/>
      <c r="AU21" s="46"/>
      <c r="BB21" s="66"/>
      <c r="BC21" s="66"/>
      <c r="BD21" s="66"/>
    </row>
    <row r="22" spans="2:56" x14ac:dyDescent="0.25">
      <c r="B22" s="28" t="s">
        <v>55</v>
      </c>
      <c r="C22" s="29"/>
      <c r="D22" s="30">
        <f t="shared" si="9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1088.3251681807692</v>
      </c>
      <c r="J22" s="33">
        <f t="shared" si="0"/>
        <v>-45.868168180769317</v>
      </c>
      <c r="K22" s="34"/>
      <c r="L22" s="32">
        <f t="shared" si="10"/>
        <v>53.205362409376228</v>
      </c>
      <c r="M22" s="53"/>
      <c r="N22" s="54"/>
      <c r="O22" s="50"/>
      <c r="P22" s="32">
        <f t="shared" si="3"/>
        <v>53.205362409376228</v>
      </c>
      <c r="Q22" s="37">
        <f t="shared" si="4"/>
        <v>1088.3251681807692</v>
      </c>
      <c r="R22" s="37">
        <f t="shared" si="5"/>
        <v>1035.119805771393</v>
      </c>
      <c r="S22" s="33">
        <f t="shared" si="7"/>
        <v>7.3371942286069043</v>
      </c>
      <c r="T22" s="10"/>
      <c r="V22" s="80" t="str">
        <f t="shared" si="6"/>
        <v>2030-31</v>
      </c>
      <c r="W22" s="80" t="s">
        <v>82</v>
      </c>
      <c r="X22" s="80" t="s">
        <v>82</v>
      </c>
      <c r="Y22" s="80" t="s">
        <v>82</v>
      </c>
      <c r="Z22" s="80" t="s">
        <v>82</v>
      </c>
      <c r="AA22" s="80">
        <v>15</v>
      </c>
      <c r="AB22" s="80" t="s">
        <v>82</v>
      </c>
      <c r="AC22" s="85"/>
      <c r="AD22" s="83">
        <v>53.205362409376228</v>
      </c>
      <c r="AE22" s="59">
        <f t="shared" si="1"/>
        <v>15</v>
      </c>
      <c r="AF22" s="32">
        <f t="shared" si="8"/>
        <v>-30.868168180769317</v>
      </c>
      <c r="AH22" s="44">
        <v>1110.8754963941149</v>
      </c>
      <c r="AI22" s="45"/>
      <c r="AJ22" s="43">
        <v>1255417377.492727</v>
      </c>
      <c r="AK22" s="66"/>
      <c r="AL22" s="52"/>
      <c r="AN22" s="46"/>
      <c r="AO22" s="43"/>
      <c r="AP22" s="46"/>
      <c r="AQ22" s="46"/>
      <c r="AT22" s="46"/>
      <c r="AU22" s="46"/>
      <c r="BB22" s="66"/>
      <c r="BC22" s="66"/>
      <c r="BD22" s="66"/>
    </row>
    <row r="23" spans="2:56" x14ac:dyDescent="0.25">
      <c r="B23" s="28" t="s">
        <v>56</v>
      </c>
      <c r="C23" s="29"/>
      <c r="D23" s="30">
        <f t="shared" si="9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1098.5393278798222</v>
      </c>
      <c r="J23" s="33">
        <f t="shared" si="0"/>
        <v>-56.082327879822287</v>
      </c>
      <c r="K23" s="34"/>
      <c r="L23" s="32">
        <f t="shared" si="10"/>
        <v>60.301475870693764</v>
      </c>
      <c r="M23" s="53"/>
      <c r="N23" s="54"/>
      <c r="O23" s="50"/>
      <c r="P23" s="32">
        <f t="shared" si="3"/>
        <v>60.301475870693764</v>
      </c>
      <c r="Q23" s="37">
        <f t="shared" si="4"/>
        <v>1098.5393278798222</v>
      </c>
      <c r="R23" s="37">
        <f t="shared" si="5"/>
        <v>1038.2378520091283</v>
      </c>
      <c r="S23" s="33">
        <f t="shared" si="7"/>
        <v>4.2191479908715337</v>
      </c>
      <c r="T23" s="10"/>
      <c r="V23" s="80" t="str">
        <f t="shared" si="6"/>
        <v>2031-32</v>
      </c>
      <c r="W23" s="80" t="s">
        <v>82</v>
      </c>
      <c r="X23" s="80" t="s">
        <v>82</v>
      </c>
      <c r="Y23" s="80" t="s">
        <v>82</v>
      </c>
      <c r="Z23" s="80" t="s">
        <v>82</v>
      </c>
      <c r="AA23" s="80">
        <v>15</v>
      </c>
      <c r="AB23" s="80" t="s">
        <v>82</v>
      </c>
      <c r="AC23" s="85"/>
      <c r="AD23" s="83">
        <v>60.301475870693764</v>
      </c>
      <c r="AE23" s="59">
        <f t="shared" si="1"/>
        <v>15</v>
      </c>
      <c r="AF23" s="32">
        <f t="shared" si="8"/>
        <v>-41.082327879822287</v>
      </c>
      <c r="AH23" s="44">
        <v>1118.7950078327895</v>
      </c>
      <c r="AI23" s="45"/>
      <c r="AJ23" s="43">
        <v>1274202441.2623682</v>
      </c>
      <c r="AK23" s="66"/>
      <c r="AL23" s="52"/>
      <c r="AN23" s="46"/>
      <c r="AO23" s="43"/>
      <c r="AP23" s="46"/>
      <c r="AQ23" s="46"/>
      <c r="AT23" s="46"/>
      <c r="AU23" s="46"/>
      <c r="BB23" s="66"/>
      <c r="BC23" s="66"/>
      <c r="BD23" s="66"/>
    </row>
    <row r="24" spans="2:56" x14ac:dyDescent="0.25">
      <c r="B24" s="28" t="s">
        <v>57</v>
      </c>
      <c r="C24" s="29"/>
      <c r="D24" s="30">
        <f t="shared" si="9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1111.3174437515399</v>
      </c>
      <c r="J24" s="33">
        <f t="shared" si="0"/>
        <v>-68.86044375154006</v>
      </c>
      <c r="K24" s="34"/>
      <c r="L24" s="32">
        <f t="shared" si="10"/>
        <v>64.697841299247429</v>
      </c>
      <c r="M24" s="53"/>
      <c r="N24" s="54"/>
      <c r="O24" s="50"/>
      <c r="P24" s="32">
        <f t="shared" si="3"/>
        <v>64.697841299247429</v>
      </c>
      <c r="Q24" s="37">
        <f t="shared" si="4"/>
        <v>1111.3174437515399</v>
      </c>
      <c r="R24" s="37">
        <f t="shared" si="5"/>
        <v>1046.6196024522926</v>
      </c>
      <c r="S24" s="33">
        <f t="shared" si="7"/>
        <v>-4.162602452292731</v>
      </c>
      <c r="T24" s="10"/>
      <c r="V24" s="80" t="str">
        <f t="shared" si="6"/>
        <v>2032-33</v>
      </c>
      <c r="W24" s="80" t="s">
        <v>82</v>
      </c>
      <c r="X24" s="80" t="s">
        <v>82</v>
      </c>
      <c r="Y24" s="80" t="s">
        <v>82</v>
      </c>
      <c r="Z24" s="80" t="s">
        <v>82</v>
      </c>
      <c r="AA24" s="80">
        <v>15</v>
      </c>
      <c r="AB24" s="80" t="s">
        <v>82</v>
      </c>
      <c r="AC24" s="85"/>
      <c r="AD24" s="83">
        <v>64.697841299247429</v>
      </c>
      <c r="AE24" s="59">
        <f t="shared" si="1"/>
        <v>15</v>
      </c>
      <c r="AF24" s="32">
        <f t="shared" si="8"/>
        <v>-53.86044375154006</v>
      </c>
      <c r="AH24" s="44">
        <v>1128.6245193965246</v>
      </c>
      <c r="AI24" s="45"/>
      <c r="AJ24" s="43">
        <v>1296511436.8734088</v>
      </c>
      <c r="AK24" s="66"/>
      <c r="AL24" s="52"/>
      <c r="AN24" s="46"/>
      <c r="AO24" s="43"/>
      <c r="AP24" s="46"/>
      <c r="AQ24" s="46"/>
      <c r="AT24" s="46"/>
      <c r="AU24" s="46"/>
      <c r="BB24" s="66"/>
      <c r="BC24" s="66"/>
      <c r="BD24" s="66"/>
    </row>
    <row r="25" spans="2:56" x14ac:dyDescent="0.25">
      <c r="B25" s="28" t="s">
        <v>58</v>
      </c>
      <c r="C25" s="29"/>
      <c r="D25" s="30">
        <f t="shared" si="9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1116.1661670496994</v>
      </c>
      <c r="J25" s="33">
        <f t="shared" si="0"/>
        <v>-73.709167049699545</v>
      </c>
      <c r="K25" s="34"/>
      <c r="L25" s="32">
        <f t="shared" si="10"/>
        <v>69.270096037161764</v>
      </c>
      <c r="M25" s="53"/>
      <c r="N25" s="54"/>
      <c r="O25" s="50"/>
      <c r="P25" s="32">
        <f t="shared" si="3"/>
        <v>69.270096037161764</v>
      </c>
      <c r="Q25" s="37">
        <f t="shared" si="4"/>
        <v>1116.1661670496994</v>
      </c>
      <c r="R25" s="37">
        <f t="shared" si="5"/>
        <v>1046.8960710125377</v>
      </c>
      <c r="S25" s="33">
        <f t="shared" si="7"/>
        <v>-4.4390710125378519</v>
      </c>
      <c r="T25" s="10"/>
      <c r="V25" s="80" t="str">
        <f t="shared" si="6"/>
        <v>2033-34</v>
      </c>
      <c r="W25" s="80" t="s">
        <v>82</v>
      </c>
      <c r="X25" s="80" t="s">
        <v>82</v>
      </c>
      <c r="Y25" s="80" t="s">
        <v>82</v>
      </c>
      <c r="Z25" s="80" t="s">
        <v>82</v>
      </c>
      <c r="AA25" s="80">
        <v>15</v>
      </c>
      <c r="AB25" s="80" t="s">
        <v>82</v>
      </c>
      <c r="AC25" s="85"/>
      <c r="AD25" s="83">
        <v>69.270096037161764</v>
      </c>
      <c r="AE25" s="59">
        <f t="shared" si="1"/>
        <v>15</v>
      </c>
      <c r="AF25" s="32">
        <f t="shared" si="8"/>
        <v>-58.709167049699545</v>
      </c>
      <c r="AH25" s="44">
        <v>1137.439360122042</v>
      </c>
      <c r="AI25" s="45"/>
      <c r="AJ25" s="43">
        <v>1305717808.9171345</v>
      </c>
      <c r="AK25" s="66"/>
      <c r="AL25" s="52"/>
      <c r="AN25" s="46"/>
      <c r="AO25" s="43"/>
      <c r="AP25" s="46"/>
      <c r="AQ25" s="46"/>
      <c r="AT25" s="46"/>
      <c r="AU25" s="46"/>
      <c r="BB25" s="66"/>
      <c r="BC25" s="66"/>
      <c r="BD25" s="66"/>
    </row>
    <row r="26" spans="2:56" x14ac:dyDescent="0.25">
      <c r="B26" s="28" t="s">
        <v>59</v>
      </c>
      <c r="C26" s="29"/>
      <c r="D26" s="30">
        <f t="shared" si="9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1129.4278116928631</v>
      </c>
      <c r="J26" s="33">
        <f t="shared" si="0"/>
        <v>-86.970811692863208</v>
      </c>
      <c r="K26" s="34"/>
      <c r="L26" s="32">
        <f t="shared" si="10"/>
        <v>73.961063497843298</v>
      </c>
      <c r="M26" s="53"/>
      <c r="N26" s="54"/>
      <c r="O26" s="50"/>
      <c r="P26" s="32">
        <f t="shared" si="3"/>
        <v>73.961063497843298</v>
      </c>
      <c r="Q26" s="37">
        <f t="shared" si="4"/>
        <v>1129.4278116928631</v>
      </c>
      <c r="R26" s="37">
        <f t="shared" si="5"/>
        <v>1055.4667481950198</v>
      </c>
      <c r="S26" s="33">
        <f t="shared" si="7"/>
        <v>-13.009748195019938</v>
      </c>
      <c r="T26" s="10"/>
      <c r="V26" s="80" t="str">
        <f t="shared" si="6"/>
        <v>2034-35</v>
      </c>
      <c r="W26" s="80">
        <v>21</v>
      </c>
      <c r="X26" s="80" t="s">
        <v>82</v>
      </c>
      <c r="Y26" s="80" t="s">
        <v>82</v>
      </c>
      <c r="Z26" s="80" t="s">
        <v>82</v>
      </c>
      <c r="AA26" s="80">
        <v>15</v>
      </c>
      <c r="AB26" s="80" t="s">
        <v>82</v>
      </c>
      <c r="AC26" s="85"/>
      <c r="AD26" s="83">
        <v>73.961063497843298</v>
      </c>
      <c r="AE26" s="59">
        <f t="shared" si="1"/>
        <v>36</v>
      </c>
      <c r="AF26" s="32">
        <f t="shared" si="8"/>
        <v>-50.970811692863208</v>
      </c>
      <c r="AH26" s="44">
        <v>1149.2166802752236</v>
      </c>
      <c r="AI26" s="45"/>
      <c r="AJ26" s="43">
        <v>1306372037.0749118</v>
      </c>
      <c r="AK26" s="66"/>
      <c r="AL26" s="52"/>
      <c r="AN26" s="46"/>
      <c r="AO26" s="43"/>
      <c r="AP26" s="46"/>
      <c r="AQ26" s="46"/>
      <c r="AT26" s="46"/>
      <c r="AU26" s="46"/>
      <c r="BB26" s="66"/>
      <c r="BC26" s="66"/>
      <c r="BD26" s="66"/>
    </row>
    <row r="27" spans="2:56" x14ac:dyDescent="0.25">
      <c r="B27" s="28" t="s">
        <v>60</v>
      </c>
      <c r="C27" s="29"/>
      <c r="D27" s="30">
        <f t="shared" si="9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1140.6654744964358</v>
      </c>
      <c r="J27" s="33">
        <f t="shared" si="0"/>
        <v>-98.208474496435883</v>
      </c>
      <c r="K27" s="34"/>
      <c r="L27" s="32">
        <f t="shared" si="10"/>
        <v>78.737891361682856</v>
      </c>
      <c r="M27" s="53"/>
      <c r="N27" s="54"/>
      <c r="O27" s="50"/>
      <c r="P27" s="32">
        <f t="shared" si="3"/>
        <v>78.737891361682856</v>
      </c>
      <c r="Q27" s="37">
        <f t="shared" si="4"/>
        <v>1140.6654744964358</v>
      </c>
      <c r="R27" s="37">
        <f t="shared" si="5"/>
        <v>1061.9275831347529</v>
      </c>
      <c r="S27" s="33">
        <f t="shared" si="7"/>
        <v>-19.470583134753042</v>
      </c>
      <c r="T27" s="10"/>
      <c r="V27" s="80" t="str">
        <f t="shared" si="6"/>
        <v>2035-36</v>
      </c>
      <c r="W27" s="80">
        <v>21</v>
      </c>
      <c r="X27" s="80" t="s">
        <v>82</v>
      </c>
      <c r="Y27" s="80" t="s">
        <v>82</v>
      </c>
      <c r="Z27" s="80" t="s">
        <v>82</v>
      </c>
      <c r="AA27" s="80">
        <v>15</v>
      </c>
      <c r="AB27" s="80" t="s">
        <v>82</v>
      </c>
      <c r="AC27" s="85"/>
      <c r="AD27" s="83">
        <v>78.737891361682856</v>
      </c>
      <c r="AE27" s="59">
        <f t="shared" si="1"/>
        <v>36</v>
      </c>
      <c r="AF27" s="32">
        <f t="shared" si="8"/>
        <v>-62.208474496435883</v>
      </c>
      <c r="AH27" s="44">
        <v>1160.2287308284001</v>
      </c>
      <c r="AI27" s="45"/>
      <c r="AJ27" s="43">
        <v>1323214448.2797668</v>
      </c>
      <c r="AK27" s="66"/>
      <c r="AL27" s="52"/>
      <c r="AN27" s="46"/>
      <c r="AO27" s="43"/>
      <c r="AP27" s="46"/>
      <c r="AQ27" s="46"/>
      <c r="AT27" s="46"/>
      <c r="AU27" s="46"/>
      <c r="BB27" s="66"/>
      <c r="BC27" s="66"/>
      <c r="BD27" s="66"/>
    </row>
    <row r="28" spans="2:56" x14ac:dyDescent="0.25">
      <c r="B28" s="28" t="s">
        <v>61</v>
      </c>
      <c r="C28" s="29"/>
      <c r="D28" s="30">
        <f t="shared" si="9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1151.4681146254293</v>
      </c>
      <c r="J28" s="33">
        <f t="shared" si="0"/>
        <v>-109.0111146254294</v>
      </c>
      <c r="K28" s="34"/>
      <c r="L28" s="32">
        <f t="shared" si="10"/>
        <v>83.436153129403692</v>
      </c>
      <c r="M28" s="53"/>
      <c r="N28" s="54"/>
      <c r="O28" s="50"/>
      <c r="P28" s="32">
        <f t="shared" si="3"/>
        <v>83.436153129403692</v>
      </c>
      <c r="Q28" s="37">
        <f t="shared" si="4"/>
        <v>1151.4681146254293</v>
      </c>
      <c r="R28" s="37">
        <f t="shared" si="5"/>
        <v>1068.0319614960256</v>
      </c>
      <c r="S28" s="33">
        <f t="shared" si="7"/>
        <v>-25.574961496025708</v>
      </c>
      <c r="T28" s="10"/>
      <c r="V28" s="80" t="str">
        <f t="shared" si="6"/>
        <v>2036-37</v>
      </c>
      <c r="W28" s="80">
        <v>21</v>
      </c>
      <c r="X28" s="80" t="s">
        <v>82</v>
      </c>
      <c r="Y28" s="80" t="s">
        <v>82</v>
      </c>
      <c r="Z28" s="80" t="s">
        <v>82</v>
      </c>
      <c r="AA28" s="80">
        <v>15</v>
      </c>
      <c r="AB28" s="80" t="s">
        <v>82</v>
      </c>
      <c r="AC28" s="85"/>
      <c r="AD28" s="83">
        <v>83.436153129403692</v>
      </c>
      <c r="AE28" s="59">
        <f t="shared" si="1"/>
        <v>36</v>
      </c>
      <c r="AF28" s="32">
        <f t="shared" si="8"/>
        <v>-73.0111146254294</v>
      </c>
      <c r="AH28" s="44">
        <v>1172.9807565724554</v>
      </c>
      <c r="AI28" s="45"/>
      <c r="AJ28" s="43">
        <v>1348671613.3676529</v>
      </c>
      <c r="AK28" s="66"/>
      <c r="AL28" s="52"/>
      <c r="AN28" s="46"/>
      <c r="AO28" s="43"/>
      <c r="AP28" s="46"/>
      <c r="AQ28" s="46"/>
      <c r="AT28" s="46"/>
      <c r="AU28" s="46"/>
      <c r="BB28" s="66"/>
      <c r="BC28" s="66"/>
      <c r="BD28" s="66"/>
    </row>
    <row r="29" spans="2:56" x14ac:dyDescent="0.25">
      <c r="B29" s="28" t="s">
        <v>62</v>
      </c>
      <c r="C29" s="29"/>
      <c r="D29" s="30">
        <f t="shared" si="9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1167.5029116370577</v>
      </c>
      <c r="J29" s="33">
        <f>H29-I29</f>
        <v>-125.04591163705777</v>
      </c>
      <c r="K29" s="34"/>
      <c r="L29" s="32">
        <f t="shared" si="10"/>
        <v>88.182181166437161</v>
      </c>
      <c r="M29" s="53"/>
      <c r="N29" s="54"/>
      <c r="O29" s="50"/>
      <c r="P29" s="32">
        <f>SUM(L29:O29)</f>
        <v>88.182181166437161</v>
      </c>
      <c r="Q29" s="37">
        <f t="shared" si="4"/>
        <v>1167.5029116370577</v>
      </c>
      <c r="R29" s="37">
        <f t="shared" si="5"/>
        <v>1079.3207304706204</v>
      </c>
      <c r="S29" s="33">
        <f t="shared" si="7"/>
        <v>-36.863730470620567</v>
      </c>
      <c r="T29" s="10"/>
      <c r="V29" s="80" t="str">
        <f t="shared" si="6"/>
        <v>2037-38</v>
      </c>
      <c r="W29" s="80">
        <v>21</v>
      </c>
      <c r="X29" s="80" t="s">
        <v>82</v>
      </c>
      <c r="Y29" s="80" t="s">
        <v>82</v>
      </c>
      <c r="Z29" s="80" t="s">
        <v>82</v>
      </c>
      <c r="AA29" s="80">
        <v>15</v>
      </c>
      <c r="AB29" s="80" t="s">
        <v>82</v>
      </c>
      <c r="AC29" s="85">
        <v>30</v>
      </c>
      <c r="AD29" s="83">
        <v>88.182181166437161</v>
      </c>
      <c r="AE29" s="59">
        <f t="shared" si="1"/>
        <v>66</v>
      </c>
      <c r="AF29" s="32">
        <f t="shared" si="8"/>
        <v>-59.04591163705777</v>
      </c>
      <c r="AH29" s="44">
        <v>1184.6688191641585</v>
      </c>
      <c r="AI29" s="45"/>
      <c r="AJ29" s="43">
        <v>1360259186.8280303</v>
      </c>
      <c r="AK29" s="66"/>
      <c r="AL29" s="52"/>
      <c r="AN29" s="46"/>
      <c r="AO29" s="43"/>
      <c r="AP29" s="46"/>
      <c r="AQ29" s="46"/>
      <c r="AT29" s="46"/>
      <c r="AU29" s="46"/>
      <c r="BB29" s="66"/>
      <c r="BC29" s="66"/>
      <c r="BD29" s="66"/>
    </row>
    <row r="30" spans="2:56" x14ac:dyDescent="0.25">
      <c r="B30" s="28" t="s">
        <v>63</v>
      </c>
      <c r="C30" s="29"/>
      <c r="D30" s="30">
        <f t="shared" si="9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1175.0787929781238</v>
      </c>
      <c r="J30" s="33">
        <f>H30-I30</f>
        <v>-132.62179297812395</v>
      </c>
      <c r="K30" s="34"/>
      <c r="L30" s="32">
        <f t="shared" si="10"/>
        <v>92.929797918278652</v>
      </c>
      <c r="M30" s="53"/>
      <c r="N30" s="54"/>
      <c r="O30" s="50"/>
      <c r="P30" s="32">
        <f>SUM(L30:O30)</f>
        <v>92.929797918278652</v>
      </c>
      <c r="Q30" s="37">
        <f t="shared" si="4"/>
        <v>1175.0787929781238</v>
      </c>
      <c r="R30" s="37">
        <f t="shared" si="5"/>
        <v>1082.1489950598452</v>
      </c>
      <c r="S30" s="33">
        <f t="shared" si="7"/>
        <v>-39.69199505984534</v>
      </c>
      <c r="T30" s="10"/>
      <c r="V30" s="80" t="str">
        <f t="shared" si="6"/>
        <v>2038-39</v>
      </c>
      <c r="W30" s="80">
        <v>21</v>
      </c>
      <c r="X30" s="80" t="s">
        <v>82</v>
      </c>
      <c r="Y30" s="80" t="s">
        <v>82</v>
      </c>
      <c r="Z30" s="80" t="s">
        <v>82</v>
      </c>
      <c r="AA30" s="80">
        <v>15</v>
      </c>
      <c r="AB30" s="80" t="s">
        <v>82</v>
      </c>
      <c r="AC30" s="85">
        <v>30</v>
      </c>
      <c r="AD30" s="83">
        <v>92.929797918278652</v>
      </c>
      <c r="AE30" s="59">
        <f t="shared" si="1"/>
        <v>66</v>
      </c>
      <c r="AF30" s="32">
        <f t="shared" si="8"/>
        <v>-66.621792978123949</v>
      </c>
      <c r="AH30" s="44">
        <v>1200.0978356738965</v>
      </c>
      <c r="AI30" s="45"/>
      <c r="AJ30" s="43">
        <v>1378718654.4422655</v>
      </c>
      <c r="AK30" s="66"/>
      <c r="AL30" s="52"/>
      <c r="AN30" s="46"/>
      <c r="AO30" s="43"/>
      <c r="AP30" s="46"/>
      <c r="AQ30" s="46"/>
      <c r="AT30" s="46"/>
      <c r="AU30" s="46"/>
      <c r="BB30" s="66"/>
      <c r="BC30" s="66"/>
      <c r="BD30" s="66"/>
    </row>
    <row r="31" spans="2:56" x14ac:dyDescent="0.25">
      <c r="B31" s="28" t="s">
        <v>64</v>
      </c>
      <c r="C31" s="29"/>
      <c r="D31" s="30">
        <f t="shared" si="9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1184.0682758783091</v>
      </c>
      <c r="J31" s="33">
        <f>H31-I31</f>
        <v>-141.61127587830924</v>
      </c>
      <c r="K31" s="34"/>
      <c r="L31" s="32">
        <f t="shared" si="10"/>
        <v>97.670053136093202</v>
      </c>
      <c r="M31" s="53"/>
      <c r="N31" s="54"/>
      <c r="O31" s="50"/>
      <c r="P31" s="32">
        <f>SUM(L31:O31)</f>
        <v>97.670053136093202</v>
      </c>
      <c r="Q31" s="37">
        <f t="shared" si="4"/>
        <v>1184.0682758783091</v>
      </c>
      <c r="R31" s="37">
        <f t="shared" si="5"/>
        <v>1086.3982227422159</v>
      </c>
      <c r="S31" s="33">
        <f t="shared" si="7"/>
        <v>-43.941222742216041</v>
      </c>
      <c r="T31" s="10"/>
      <c r="V31" s="80" t="str">
        <f t="shared" si="6"/>
        <v>2039-40</v>
      </c>
      <c r="W31" s="80">
        <v>30</v>
      </c>
      <c r="X31" s="80" t="s">
        <v>82</v>
      </c>
      <c r="Y31" s="80" t="s">
        <v>82</v>
      </c>
      <c r="Z31" s="80" t="s">
        <v>82</v>
      </c>
      <c r="AA31" s="80">
        <v>15</v>
      </c>
      <c r="AB31" s="80" t="s">
        <v>82</v>
      </c>
      <c r="AC31" s="85">
        <v>30</v>
      </c>
      <c r="AD31" s="83">
        <v>97.670053136093202</v>
      </c>
      <c r="AE31" s="59">
        <f t="shared" si="1"/>
        <v>75</v>
      </c>
      <c r="AF31" s="32">
        <f t="shared" si="8"/>
        <v>-66.611275878309243</v>
      </c>
      <c r="AH31" s="44">
        <v>1214.5413742702863</v>
      </c>
      <c r="AI31" s="45"/>
      <c r="AJ31" s="43">
        <v>1393847205.0503354</v>
      </c>
      <c r="AK31" s="66"/>
      <c r="AL31" s="52"/>
      <c r="AN31" s="46"/>
      <c r="AO31" s="43"/>
      <c r="AP31" s="46"/>
      <c r="AQ31" s="46"/>
      <c r="AT31" s="46"/>
      <c r="AU31" s="46"/>
      <c r="BB31" s="66"/>
      <c r="BC31" s="66"/>
      <c r="BD31" s="66"/>
    </row>
    <row r="32" spans="2:56" x14ac:dyDescent="0.25">
      <c r="B32" s="28" t="s">
        <v>65</v>
      </c>
      <c r="C32" s="29"/>
      <c r="D32" s="30">
        <f t="shared" si="9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1202.4220697551273</v>
      </c>
      <c r="J32" s="33">
        <f>H32-I32</f>
        <v>-159.96506975512739</v>
      </c>
      <c r="K32" s="34"/>
      <c r="L32" s="32">
        <f t="shared" si="10"/>
        <v>102.37590959050084</v>
      </c>
      <c r="M32" s="53"/>
      <c r="N32" s="54"/>
      <c r="O32" s="50"/>
      <c r="P32" s="32">
        <f t="shared" ref="P32:P33" si="11">SUM(L32:O32)</f>
        <v>102.37590959050084</v>
      </c>
      <c r="Q32" s="37">
        <f t="shared" si="4"/>
        <v>1202.4220697551273</v>
      </c>
      <c r="R32" s="37">
        <f t="shared" si="5"/>
        <v>1100.0461601646264</v>
      </c>
      <c r="S32" s="33">
        <f t="shared" si="7"/>
        <v>-57.589160164626492</v>
      </c>
      <c r="T32" s="10"/>
      <c r="V32" s="80" t="str">
        <f t="shared" si="6"/>
        <v>2040-41</v>
      </c>
      <c r="W32" s="80">
        <v>30</v>
      </c>
      <c r="X32" s="80" t="s">
        <v>82</v>
      </c>
      <c r="Y32" s="80" t="s">
        <v>82</v>
      </c>
      <c r="Z32" s="80" t="s">
        <v>82</v>
      </c>
      <c r="AA32" s="80">
        <v>15</v>
      </c>
      <c r="AB32" s="80" t="s">
        <v>82</v>
      </c>
      <c r="AC32" s="85">
        <v>30</v>
      </c>
      <c r="AD32" s="83">
        <v>102.37590959050084</v>
      </c>
      <c r="AE32" s="59">
        <f t="shared" si="1"/>
        <v>75</v>
      </c>
      <c r="AF32" s="32">
        <f t="shared" si="8"/>
        <v>-84.965069755127388</v>
      </c>
      <c r="AJ32" s="43">
        <v>1417702261.3780246</v>
      </c>
      <c r="AK32" s="66"/>
      <c r="AL32" s="52"/>
      <c r="BB32" s="66"/>
      <c r="BC32" s="66"/>
      <c r="BD32" s="66"/>
    </row>
    <row r="33" spans="2:56" x14ac:dyDescent="0.25">
      <c r="B33" s="28" t="s">
        <v>81</v>
      </c>
      <c r="C33" s="29"/>
      <c r="D33" s="30">
        <f t="shared" si="9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1207.6142494340922</v>
      </c>
      <c r="J33" s="33">
        <f>H33-I33</f>
        <v>-165.15724943409236</v>
      </c>
      <c r="K33" s="34"/>
      <c r="L33" s="32">
        <f t="shared" si="10"/>
        <v>106.95842847332402</v>
      </c>
      <c r="M33" s="53"/>
      <c r="N33" s="54"/>
      <c r="O33" s="50"/>
      <c r="P33" s="32">
        <f t="shared" si="11"/>
        <v>106.95842847332402</v>
      </c>
      <c r="Q33" s="37">
        <f>I33</f>
        <v>1207.6142494340922</v>
      </c>
      <c r="R33" s="37">
        <f t="shared" si="5"/>
        <v>1100.6558209607683</v>
      </c>
      <c r="S33" s="33">
        <f t="shared" si="7"/>
        <v>-58.198820960768444</v>
      </c>
      <c r="T33" s="10"/>
      <c r="U33" s="55"/>
      <c r="V33" s="80" t="str">
        <f>B33</f>
        <v>2041-42</v>
      </c>
      <c r="W33" s="80">
        <v>30</v>
      </c>
      <c r="X33" s="80" t="s">
        <v>82</v>
      </c>
      <c r="Y33" s="80" t="s">
        <v>82</v>
      </c>
      <c r="Z33" s="80" t="s">
        <v>82</v>
      </c>
      <c r="AA33" s="80">
        <v>15</v>
      </c>
      <c r="AB33" s="80" t="s">
        <v>82</v>
      </c>
      <c r="AC33" s="85">
        <v>30</v>
      </c>
      <c r="AD33" s="84">
        <v>106.95842847332402</v>
      </c>
      <c r="AE33" s="59">
        <f t="shared" si="1"/>
        <v>75</v>
      </c>
      <c r="AF33" s="32">
        <f t="shared" si="8"/>
        <v>-90.157249434092364</v>
      </c>
      <c r="AJ33">
        <v>1432612018.7857397</v>
      </c>
      <c r="AK33" s="64"/>
      <c r="AL33"/>
      <c r="AN33" s="40"/>
      <c r="AO33" s="43"/>
      <c r="AP33" s="46"/>
      <c r="BB33" s="66"/>
      <c r="BC33" s="66"/>
      <c r="BD33" s="66"/>
    </row>
    <row r="34" spans="2:56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8"/>
      <c r="AE34" s="59"/>
      <c r="AF34" s="55"/>
      <c r="AJ34">
        <v>1445419448.2460642</v>
      </c>
      <c r="AK34" s="64"/>
      <c r="AL34"/>
      <c r="AN34" s="40"/>
    </row>
    <row r="35" spans="2:56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8"/>
      <c r="AE35" s="59"/>
      <c r="AF35" s="55"/>
      <c r="AJ35">
        <v>1466238363.383034</v>
      </c>
      <c r="AK35" s="64"/>
      <c r="AL35"/>
    </row>
    <row r="36" spans="2:56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8"/>
      <c r="AE36" s="59"/>
      <c r="AF36" s="59"/>
      <c r="AJ36">
        <v>1485614122.9880538</v>
      </c>
      <c r="AK36" s="64"/>
      <c r="AL36"/>
    </row>
    <row r="37" spans="2:56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0" t="s">
        <v>6</v>
      </c>
      <c r="W37" s="81" t="s">
        <v>86</v>
      </c>
      <c r="X37" s="80" t="s">
        <v>19</v>
      </c>
      <c r="Y37" s="80" t="s">
        <v>21</v>
      </c>
      <c r="Z37" s="80" t="s">
        <v>85</v>
      </c>
      <c r="AA37" s="80" t="s">
        <v>22</v>
      </c>
      <c r="AB37" s="80" t="s">
        <v>23</v>
      </c>
      <c r="AC37" s="80" t="s">
        <v>24</v>
      </c>
      <c r="AD37" s="81" t="s">
        <v>14</v>
      </c>
      <c r="AE37" s="59"/>
      <c r="AF37" s="59"/>
      <c r="AJ37">
        <v>1495755553.9393425</v>
      </c>
      <c r="AK37" s="64"/>
      <c r="AL37"/>
    </row>
    <row r="38" spans="2:56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0" t="s">
        <v>29</v>
      </c>
      <c r="W38" s="81" t="s">
        <v>83</v>
      </c>
      <c r="X38" s="80" t="s">
        <v>30</v>
      </c>
      <c r="Y38" s="80" t="s">
        <v>32</v>
      </c>
      <c r="Z38" s="80" t="s">
        <v>33</v>
      </c>
      <c r="AA38" s="80" t="s">
        <v>34</v>
      </c>
      <c r="AB38" s="80" t="s">
        <v>35</v>
      </c>
      <c r="AC38" s="80" t="s">
        <v>36</v>
      </c>
      <c r="AD38" s="81" t="s">
        <v>37</v>
      </c>
      <c r="AE38" s="59"/>
      <c r="AF38" s="59"/>
      <c r="AK38" s="64"/>
      <c r="AL38"/>
    </row>
    <row r="39" spans="2:56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0" t="e">
        <v>#REF!</v>
      </c>
      <c r="W39" s="83"/>
      <c r="X39" s="83"/>
      <c r="Y39" s="83"/>
      <c r="Z39" s="83"/>
      <c r="AA39" s="83"/>
      <c r="AB39" s="83"/>
      <c r="AC39" s="83"/>
      <c r="AD39" s="83"/>
      <c r="AE39" s="59"/>
      <c r="AF39" s="59"/>
      <c r="AK39" s="64"/>
      <c r="AL39"/>
    </row>
    <row r="40" spans="2:56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0" t="s">
        <v>40</v>
      </c>
      <c r="W40" s="83"/>
      <c r="X40" s="83"/>
      <c r="Y40" s="83"/>
      <c r="Z40" s="83"/>
      <c r="AA40" s="83"/>
      <c r="AB40" s="83"/>
      <c r="AC40" s="83"/>
      <c r="AD40" s="83"/>
      <c r="AE40" s="59"/>
      <c r="AF40" s="59"/>
      <c r="AK40" s="64"/>
      <c r="AL40"/>
    </row>
    <row r="41" spans="2:56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0" t="s">
        <v>43</v>
      </c>
      <c r="W41" s="83">
        <v>1.8945724714614274</v>
      </c>
      <c r="X41" s="83"/>
      <c r="Y41" s="83"/>
      <c r="Z41" s="83"/>
      <c r="AA41" s="83"/>
      <c r="AB41" s="83"/>
      <c r="AC41" s="83"/>
      <c r="AD41" s="83"/>
      <c r="AE41" s="59"/>
      <c r="AF41" s="59"/>
      <c r="AK41" s="64"/>
      <c r="AL41"/>
    </row>
    <row r="42" spans="2:56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80" t="s">
        <v>44</v>
      </c>
      <c r="W42" s="83">
        <v>6.0589568905517144</v>
      </c>
      <c r="X42" s="83"/>
      <c r="Y42" s="83"/>
      <c r="Z42" s="83"/>
      <c r="AA42" s="83"/>
      <c r="AB42" s="83"/>
      <c r="AC42" s="83"/>
      <c r="AD42" s="83"/>
      <c r="AE42" s="59"/>
      <c r="AF42" s="59"/>
      <c r="AK42" s="64"/>
      <c r="AL42"/>
    </row>
    <row r="43" spans="2:56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80" t="s">
        <v>45</v>
      </c>
      <c r="W43" s="83">
        <v>0</v>
      </c>
      <c r="X43" s="83"/>
      <c r="Y43" s="83"/>
      <c r="Z43" s="83"/>
      <c r="AA43" s="83"/>
      <c r="AB43" s="83"/>
      <c r="AC43" s="83"/>
      <c r="AD43" s="83"/>
      <c r="AE43" s="59"/>
      <c r="AF43" s="59"/>
      <c r="AK43" s="64"/>
      <c r="AL43"/>
    </row>
    <row r="44" spans="2:56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80" t="s">
        <v>46</v>
      </c>
      <c r="W44" s="83">
        <v>0</v>
      </c>
      <c r="X44" s="83"/>
      <c r="Y44" s="83"/>
      <c r="Z44" s="83"/>
      <c r="AA44" s="83"/>
      <c r="AB44" s="83"/>
      <c r="AC44" s="83"/>
      <c r="AD44" s="83"/>
      <c r="AE44" s="59"/>
      <c r="AF44" s="59"/>
      <c r="AK44" s="64"/>
      <c r="AL44"/>
    </row>
    <row r="45" spans="2:56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80" t="s">
        <v>47</v>
      </c>
      <c r="W45" s="83">
        <v>4.7636660352750484</v>
      </c>
      <c r="X45" s="83" t="s">
        <v>82</v>
      </c>
      <c r="Y45" s="83" t="s">
        <v>82</v>
      </c>
      <c r="Z45" s="83" t="s">
        <v>82</v>
      </c>
      <c r="AA45" s="83" t="s">
        <v>82</v>
      </c>
      <c r="AB45" s="83">
        <v>15</v>
      </c>
      <c r="AC45" s="83" t="s">
        <v>82</v>
      </c>
      <c r="AD45" s="83" t="s">
        <v>82</v>
      </c>
      <c r="AE45" s="59"/>
      <c r="AF45" s="59"/>
      <c r="AK45" s="64"/>
      <c r="AL45"/>
    </row>
    <row r="46" spans="2:56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80" t="s">
        <v>48</v>
      </c>
      <c r="W46" s="83">
        <v>10.229377078769041</v>
      </c>
      <c r="X46" s="83" t="s">
        <v>82</v>
      </c>
      <c r="Y46" s="83" t="s">
        <v>82</v>
      </c>
      <c r="Z46" s="83" t="s">
        <v>82</v>
      </c>
      <c r="AA46" s="83" t="s">
        <v>82</v>
      </c>
      <c r="AB46" s="83">
        <v>15</v>
      </c>
      <c r="AC46" s="83" t="s">
        <v>82</v>
      </c>
      <c r="AD46" s="83" t="s">
        <v>82</v>
      </c>
      <c r="AE46" s="59"/>
      <c r="AF46" s="59"/>
      <c r="AK46" s="64"/>
      <c r="AL46"/>
    </row>
    <row r="47" spans="2:56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80" t="s">
        <v>49</v>
      </c>
      <c r="W47" s="83">
        <v>15.95615049941677</v>
      </c>
      <c r="X47" s="83" t="s">
        <v>82</v>
      </c>
      <c r="Y47" s="83" t="s">
        <v>82</v>
      </c>
      <c r="Z47" s="83" t="s">
        <v>82</v>
      </c>
      <c r="AA47" s="83" t="s">
        <v>82</v>
      </c>
      <c r="AB47" s="83">
        <v>15</v>
      </c>
      <c r="AC47" s="83" t="s">
        <v>82</v>
      </c>
      <c r="AD47" s="83">
        <v>3.71</v>
      </c>
      <c r="AE47" s="59"/>
      <c r="AF47" s="59"/>
      <c r="AK47" s="64"/>
      <c r="AL47"/>
    </row>
    <row r="48" spans="2:56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80" t="s">
        <v>50</v>
      </c>
      <c r="W48" s="83">
        <v>21.793248485653468</v>
      </c>
      <c r="X48" s="83" t="s">
        <v>82</v>
      </c>
      <c r="Y48" s="83" t="s">
        <v>82</v>
      </c>
      <c r="Z48" s="83" t="s">
        <v>82</v>
      </c>
      <c r="AA48" s="83" t="s">
        <v>82</v>
      </c>
      <c r="AB48" s="83">
        <v>15</v>
      </c>
      <c r="AC48" s="83" t="s">
        <v>82</v>
      </c>
      <c r="AD48" s="83">
        <v>6.12</v>
      </c>
      <c r="AE48" s="59"/>
      <c r="AF48" s="59"/>
      <c r="AK48" s="64"/>
      <c r="AL48"/>
    </row>
    <row r="49" spans="8:38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80" t="s">
        <v>51</v>
      </c>
      <c r="W49" s="83">
        <v>27.860225726469661</v>
      </c>
      <c r="X49" s="83" t="s">
        <v>82</v>
      </c>
      <c r="Y49" s="83" t="s">
        <v>82</v>
      </c>
      <c r="Z49" s="83" t="s">
        <v>82</v>
      </c>
      <c r="AA49" s="83" t="s">
        <v>82</v>
      </c>
      <c r="AB49" s="83">
        <v>15</v>
      </c>
      <c r="AC49" s="83" t="s">
        <v>82</v>
      </c>
      <c r="AD49" s="83">
        <v>9.33</v>
      </c>
      <c r="AE49" s="59"/>
      <c r="AF49" s="59"/>
      <c r="AK49" s="64"/>
      <c r="AL49"/>
    </row>
    <row r="50" spans="8:38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80" t="s">
        <v>52</v>
      </c>
      <c r="W50" s="83">
        <v>34.186966802389662</v>
      </c>
      <c r="X50" s="83" t="s">
        <v>82</v>
      </c>
      <c r="Y50" s="83" t="s">
        <v>82</v>
      </c>
      <c r="Z50" s="83" t="s">
        <v>82</v>
      </c>
      <c r="AA50" s="83" t="s">
        <v>82</v>
      </c>
      <c r="AB50" s="83">
        <v>15</v>
      </c>
      <c r="AC50" s="83" t="s">
        <v>82</v>
      </c>
      <c r="AD50" s="83">
        <v>14.38</v>
      </c>
      <c r="AE50" s="59"/>
      <c r="AF50" s="59"/>
      <c r="AK50" s="64"/>
      <c r="AL50"/>
    </row>
    <row r="51" spans="8:38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80" t="s">
        <v>53</v>
      </c>
      <c r="W51" s="83">
        <v>40.774655080899102</v>
      </c>
      <c r="X51" s="83" t="s">
        <v>82</v>
      </c>
      <c r="Y51" s="83" t="s">
        <v>82</v>
      </c>
      <c r="Z51" s="83" t="s">
        <v>82</v>
      </c>
      <c r="AA51" s="83" t="s">
        <v>82</v>
      </c>
      <c r="AB51" s="83">
        <v>15</v>
      </c>
      <c r="AC51" s="83" t="s">
        <v>82</v>
      </c>
      <c r="AD51" s="83">
        <v>17.260000000000002</v>
      </c>
      <c r="AE51" s="59"/>
      <c r="AF51" s="59"/>
      <c r="AK51" s="64"/>
      <c r="AL51"/>
    </row>
    <row r="52" spans="8:38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80" t="s">
        <v>54</v>
      </c>
      <c r="W52" s="83">
        <v>47.600780897443123</v>
      </c>
      <c r="X52" s="83" t="s">
        <v>82</v>
      </c>
      <c r="Y52" s="83" t="s">
        <v>82</v>
      </c>
      <c r="Z52" s="83" t="s">
        <v>82</v>
      </c>
      <c r="AA52" s="83" t="s">
        <v>82</v>
      </c>
      <c r="AB52" s="83">
        <v>15</v>
      </c>
      <c r="AC52" s="83" t="s">
        <v>82</v>
      </c>
      <c r="AD52" s="83">
        <v>22.05</v>
      </c>
      <c r="AE52" s="59"/>
      <c r="AF52" s="59"/>
      <c r="AK52" s="64"/>
      <c r="AL52"/>
    </row>
    <row r="53" spans="8:38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80" t="s">
        <v>55</v>
      </c>
      <c r="W53" s="83">
        <v>54.632619757094844</v>
      </c>
      <c r="X53" s="83" t="s">
        <v>82</v>
      </c>
      <c r="Y53" s="83" t="s">
        <v>82</v>
      </c>
      <c r="Z53" s="83" t="s">
        <v>82</v>
      </c>
      <c r="AA53" s="83" t="s">
        <v>82</v>
      </c>
      <c r="AB53" s="83">
        <v>15</v>
      </c>
      <c r="AC53" s="83" t="s">
        <v>82</v>
      </c>
      <c r="AD53" s="83">
        <v>26.89</v>
      </c>
      <c r="AE53" s="59"/>
      <c r="AF53" s="59"/>
      <c r="AK53" s="64"/>
      <c r="AL53"/>
    </row>
    <row r="54" spans="8:38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80" t="s">
        <v>56</v>
      </c>
      <c r="W54" s="83">
        <v>61.910474324088597</v>
      </c>
      <c r="X54" s="83" t="s">
        <v>82</v>
      </c>
      <c r="Y54" s="83" t="s">
        <v>82</v>
      </c>
      <c r="Z54" s="83" t="s">
        <v>82</v>
      </c>
      <c r="AA54" s="83" t="s">
        <v>82</v>
      </c>
      <c r="AB54" s="83">
        <v>15</v>
      </c>
      <c r="AC54" s="83" t="s">
        <v>82</v>
      </c>
      <c r="AD54" s="83">
        <v>30</v>
      </c>
      <c r="AE54" s="59"/>
      <c r="AF54" s="59"/>
      <c r="AK54" s="64"/>
      <c r="AL54"/>
    </row>
    <row r="55" spans="8:38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80" t="s">
        <v>57</v>
      </c>
      <c r="W55" s="83">
        <v>66.359245356772078</v>
      </c>
      <c r="X55" s="83" t="s">
        <v>82</v>
      </c>
      <c r="Y55" s="83" t="s">
        <v>82</v>
      </c>
      <c r="Z55" s="83" t="s">
        <v>82</v>
      </c>
      <c r="AA55" s="83" t="s">
        <v>82</v>
      </c>
      <c r="AB55" s="83">
        <v>15</v>
      </c>
      <c r="AC55" s="83">
        <v>4.9400000000000004</v>
      </c>
      <c r="AD55" s="83">
        <v>30</v>
      </c>
      <c r="AE55" s="59"/>
      <c r="AF55" s="59"/>
      <c r="AK55" s="64"/>
      <c r="AL55"/>
    </row>
    <row r="56" spans="8:38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80" t="s">
        <v>58</v>
      </c>
      <c r="W56" s="83">
        <v>70.980119932762378</v>
      </c>
      <c r="X56" s="83" t="s">
        <v>82</v>
      </c>
      <c r="Y56" s="83" t="s">
        <v>82</v>
      </c>
      <c r="Z56" s="83" t="s">
        <v>82</v>
      </c>
      <c r="AA56" s="83" t="s">
        <v>82</v>
      </c>
      <c r="AB56" s="83">
        <v>15</v>
      </c>
      <c r="AC56" s="83">
        <v>5.92</v>
      </c>
      <c r="AD56" s="83">
        <v>30</v>
      </c>
      <c r="AE56" s="59"/>
      <c r="AF56" s="59"/>
      <c r="AK56" s="64"/>
      <c r="AL56"/>
    </row>
    <row r="57" spans="8:38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80" t="s">
        <v>59</v>
      </c>
      <c r="W57" s="83">
        <v>75.710260556948072</v>
      </c>
      <c r="X57" s="83">
        <v>9.17</v>
      </c>
      <c r="Y57" s="83" t="s">
        <v>82</v>
      </c>
      <c r="Z57" s="83" t="s">
        <v>82</v>
      </c>
      <c r="AA57" s="83" t="s">
        <v>82</v>
      </c>
      <c r="AB57" s="83">
        <v>15</v>
      </c>
      <c r="AC57" s="83">
        <v>5.92</v>
      </c>
      <c r="AD57" s="83">
        <v>30</v>
      </c>
      <c r="AE57" s="59"/>
      <c r="AF57" s="59"/>
      <c r="AG57" s="59"/>
    </row>
    <row r="58" spans="8:38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76" t="s">
        <v>60</v>
      </c>
      <c r="W58" s="83">
        <v>80.510676731897718</v>
      </c>
      <c r="X58" s="83">
        <v>9.17</v>
      </c>
      <c r="Y58" s="83" t="s">
        <v>82</v>
      </c>
      <c r="Z58" s="83" t="s">
        <v>82</v>
      </c>
      <c r="AA58" s="83" t="s">
        <v>82</v>
      </c>
      <c r="AB58" s="83">
        <v>15</v>
      </c>
      <c r="AC58" s="83">
        <v>5.92</v>
      </c>
      <c r="AD58" s="83">
        <v>30</v>
      </c>
      <c r="AE58" s="55"/>
      <c r="AF58" s="55"/>
      <c r="AG58" s="55"/>
    </row>
    <row r="59" spans="8:38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76" t="s">
        <v>61</v>
      </c>
      <c r="W59" s="83">
        <v>85.224885274770614</v>
      </c>
      <c r="X59" s="83">
        <v>9.17</v>
      </c>
      <c r="Y59" s="83" t="s">
        <v>82</v>
      </c>
      <c r="Z59" s="83" t="s">
        <v>82</v>
      </c>
      <c r="AA59" s="83" t="s">
        <v>82</v>
      </c>
      <c r="AB59" s="83">
        <v>15</v>
      </c>
      <c r="AC59" s="83">
        <v>6.91</v>
      </c>
      <c r="AD59" s="83">
        <v>30</v>
      </c>
      <c r="AE59" s="55"/>
      <c r="AF59" s="55"/>
      <c r="AG59" s="55"/>
    </row>
    <row r="60" spans="8:38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76" t="s">
        <v>62</v>
      </c>
      <c r="W60" s="83">
        <v>89.983034616722563</v>
      </c>
      <c r="X60" s="83">
        <v>9.17</v>
      </c>
      <c r="Y60" s="83" t="s">
        <v>82</v>
      </c>
      <c r="Z60" s="83" t="s">
        <v>82</v>
      </c>
      <c r="AA60" s="83" t="s">
        <v>82</v>
      </c>
      <c r="AB60" s="83">
        <v>15</v>
      </c>
      <c r="AC60" s="83">
        <v>11.58</v>
      </c>
      <c r="AD60" s="83">
        <v>30</v>
      </c>
      <c r="AE60" s="55"/>
      <c r="AF60" s="55"/>
      <c r="AG60" s="55"/>
    </row>
    <row r="61" spans="8:38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89" t="s">
        <v>63</v>
      </c>
      <c r="W61" s="90">
        <v>94.737195415860114</v>
      </c>
      <c r="X61" s="90">
        <v>9.17</v>
      </c>
      <c r="Y61" s="90" t="s">
        <v>82</v>
      </c>
      <c r="Z61" s="90" t="s">
        <v>82</v>
      </c>
      <c r="AA61" s="90" t="s">
        <v>82</v>
      </c>
      <c r="AB61" s="90">
        <v>15</v>
      </c>
      <c r="AC61" s="90">
        <v>16</v>
      </c>
      <c r="AD61" s="90">
        <v>30</v>
      </c>
      <c r="AE61" s="55"/>
      <c r="AF61" s="55"/>
      <c r="AG61" s="55"/>
    </row>
    <row r="62" spans="8:38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80" t="s">
        <v>64</v>
      </c>
      <c r="W62" s="91">
        <v>99.479182486830254</v>
      </c>
      <c r="X62" s="91">
        <v>26.11</v>
      </c>
      <c r="Y62" s="91" t="s">
        <v>82</v>
      </c>
      <c r="Z62" s="91" t="s">
        <v>82</v>
      </c>
      <c r="AA62" s="91" t="s">
        <v>82</v>
      </c>
      <c r="AB62" s="91">
        <v>15</v>
      </c>
      <c r="AC62" s="91">
        <v>16</v>
      </c>
      <c r="AD62" s="91">
        <v>30</v>
      </c>
      <c r="AE62" s="63"/>
      <c r="AF62" s="63"/>
      <c r="AG62" s="63"/>
    </row>
    <row r="63" spans="8:38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80" t="s">
        <v>65</v>
      </c>
      <c r="W63" s="91">
        <v>104.17158140130131</v>
      </c>
      <c r="X63" s="91">
        <v>26.11</v>
      </c>
      <c r="Y63" s="91" t="s">
        <v>82</v>
      </c>
      <c r="Z63" s="91" t="s">
        <v>82</v>
      </c>
      <c r="AA63" s="91" t="s">
        <v>82</v>
      </c>
      <c r="AB63" s="91">
        <v>15</v>
      </c>
      <c r="AC63" s="91">
        <v>16</v>
      </c>
      <c r="AD63" s="91">
        <v>30</v>
      </c>
      <c r="AE63" s="63"/>
      <c r="AF63" s="63"/>
      <c r="AG63" s="63"/>
    </row>
    <row r="64" spans="8:38" x14ac:dyDescent="0.25">
      <c r="H64">
        <v>2041</v>
      </c>
      <c r="I64" s="66">
        <v>1021.17884063721</v>
      </c>
      <c r="J64" s="66">
        <v>1130.08322</v>
      </c>
      <c r="V64" s="80" t="s">
        <v>81</v>
      </c>
      <c r="W64" s="91">
        <v>108.70107950931286</v>
      </c>
      <c r="X64" s="91">
        <v>26.11</v>
      </c>
      <c r="Y64" s="91" t="s">
        <v>82</v>
      </c>
      <c r="Z64" s="91" t="s">
        <v>82</v>
      </c>
      <c r="AA64" s="91" t="s">
        <v>82</v>
      </c>
      <c r="AB64" s="91">
        <v>15</v>
      </c>
      <c r="AC64" s="91">
        <v>16</v>
      </c>
      <c r="AD64" s="91">
        <v>30</v>
      </c>
      <c r="AE64" s="63"/>
      <c r="AF64" s="63"/>
      <c r="AG64" s="63"/>
    </row>
    <row r="65" spans="22:33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</row>
    <row r="66" spans="22:33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</row>
    <row r="67" spans="22:33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</row>
    <row r="68" spans="22:33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</row>
    <row r="69" spans="22:33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</row>
    <row r="70" spans="22:33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</row>
    <row r="71" spans="22:33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</row>
    <row r="72" spans="22:33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</row>
    <row r="73" spans="22:33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</row>
    <row r="74" spans="22:33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</row>
    <row r="75" spans="22:33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</row>
    <row r="76" spans="22:33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</row>
    <row r="77" spans="22:33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</row>
    <row r="78" spans="22:33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</row>
    <row r="79" spans="22:33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</row>
    <row r="80" spans="22:33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</row>
    <row r="81" spans="22:33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</row>
    <row r="82" spans="22:33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</row>
    <row r="83" spans="22:33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</row>
    <row r="84" spans="22:33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</row>
    <row r="85" spans="22:33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</row>
    <row r="86" spans="22:33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</row>
    <row r="87" spans="22:33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</row>
    <row r="88" spans="22:33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</row>
    <row r="89" spans="22:33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</row>
    <row r="90" spans="22:33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</row>
    <row r="91" spans="22:33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</row>
    <row r="92" spans="22:33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</row>
    <row r="93" spans="22:33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</row>
    <row r="94" spans="22:33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</row>
    <row r="95" spans="22:33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</row>
    <row r="96" spans="22:33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</row>
    <row r="97" spans="22:33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</row>
    <row r="98" spans="22:33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</row>
  </sheetData>
  <mergeCells count="1">
    <mergeCell ref="M5:S5"/>
  </mergeCells>
  <pageMargins left="0" right="0" top="0.75" bottom="0.75" header="0.3" footer="0.3"/>
  <pageSetup scale="41" orientation="landscape" r:id="rId1"/>
  <headerFooter>
    <oddHeader>&amp;L&amp;Z&amp;F</oddHeader>
    <oddFooter>&amp;R&amp;A
&amp;D&amp;T
&amp;Z&amp;F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U98"/>
  <sheetViews>
    <sheetView zoomScale="110" zoomScaleNormal="110" zoomScaleSheetLayoutView="90" workbookViewId="0">
      <pane xSplit="3" ySplit="7" topLeftCell="AH27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5" width="9.42578125" customWidth="1"/>
    <col min="26" max="26" width="9.7109375" customWidth="1"/>
    <col min="27" max="27" width="9.5703125" customWidth="1"/>
    <col min="28" max="28" width="8.85546875" customWidth="1"/>
    <col min="29" max="30" width="8.5703125" customWidth="1"/>
    <col min="31" max="31" width="10.28515625" customWidth="1"/>
    <col min="32" max="32" width="9.28515625" customWidth="1"/>
    <col min="33" max="33" width="14.28515625" customWidth="1"/>
    <col min="35" max="35" width="12.42578125" customWidth="1"/>
    <col min="36" max="36" width="13.42578125" customWidth="1"/>
    <col min="37" max="37" width="13.5703125" bestFit="1" customWidth="1"/>
    <col min="38" max="38" width="12.5703125" style="64" customWidth="1"/>
    <col min="41" max="41" width="10.5703125" customWidth="1"/>
  </cols>
  <sheetData>
    <row r="1" spans="2:47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3"/>
    </row>
    <row r="2" spans="2:47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</row>
    <row r="3" spans="2:47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</row>
    <row r="4" spans="2:47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9"/>
      <c r="AA4" s="8"/>
      <c r="AB4" s="8"/>
      <c r="AE4" s="9"/>
    </row>
    <row r="5" spans="2:47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13" t="s">
        <v>93</v>
      </c>
      <c r="AA5" s="14"/>
      <c r="AB5" s="14"/>
      <c r="AC5" s="15"/>
      <c r="AD5" s="15"/>
      <c r="AE5" s="9"/>
      <c r="AK5" t="s">
        <v>161</v>
      </c>
    </row>
    <row r="6" spans="2:47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91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LOW Demand Before DSR</v>
      </c>
      <c r="R6" s="16" t="s">
        <v>92</v>
      </c>
      <c r="S6" s="18" t="s">
        <v>18</v>
      </c>
      <c r="T6" s="10"/>
      <c r="V6" s="71" t="s">
        <v>6</v>
      </c>
      <c r="W6" s="71" t="s">
        <v>19</v>
      </c>
      <c r="X6" s="71" t="s">
        <v>21</v>
      </c>
      <c r="Y6" s="71" t="s">
        <v>85</v>
      </c>
      <c r="Z6" s="71" t="s">
        <v>22</v>
      </c>
      <c r="AA6" s="71" t="s">
        <v>23</v>
      </c>
      <c r="AB6" s="71" t="s">
        <v>24</v>
      </c>
      <c r="AC6" s="71" t="s">
        <v>14</v>
      </c>
      <c r="AD6" s="71" t="s">
        <v>86</v>
      </c>
      <c r="AE6" s="16" t="s">
        <v>25</v>
      </c>
      <c r="AF6" s="16" t="s">
        <v>26</v>
      </c>
      <c r="AH6" s="20" t="s">
        <v>73</v>
      </c>
      <c r="AI6" s="16"/>
      <c r="AJ6" s="21"/>
      <c r="AK6" s="16" t="s">
        <v>91</v>
      </c>
      <c r="AL6"/>
    </row>
    <row r="7" spans="2:47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3" t="s">
        <v>30</v>
      </c>
      <c r="X7" s="73" t="s">
        <v>32</v>
      </c>
      <c r="Y7" s="73" t="s">
        <v>33</v>
      </c>
      <c r="Z7" s="73" t="s">
        <v>34</v>
      </c>
      <c r="AA7" s="73" t="s">
        <v>35</v>
      </c>
      <c r="AB7" s="73" t="s">
        <v>36</v>
      </c>
      <c r="AC7" s="73" t="s">
        <v>37</v>
      </c>
      <c r="AD7" s="72" t="s">
        <v>83</v>
      </c>
      <c r="AE7" s="27"/>
      <c r="AF7" s="27"/>
      <c r="AK7" s="64"/>
      <c r="AL7"/>
    </row>
    <row r="8" spans="2:47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6"/>
      <c r="AA8" s="74"/>
      <c r="AB8" s="74"/>
      <c r="AC8" s="74"/>
      <c r="AD8" s="74"/>
      <c r="AE8" s="86">
        <f t="shared" ref="AE8:AE33" si="1">SUM(W8:AC8)</f>
        <v>0</v>
      </c>
      <c r="AF8" s="37">
        <f>(H8+AE8)-I8</f>
        <v>-37.987134765585211</v>
      </c>
      <c r="AK8" s="64"/>
      <c r="AL8"/>
      <c r="AO8" s="39"/>
    </row>
    <row r="9" spans="2:47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6"/>
      <c r="AA9" s="74"/>
      <c r="AB9" s="74"/>
      <c r="AC9" s="74"/>
      <c r="AD9" s="74"/>
      <c r="AE9" s="86">
        <f t="shared" si="1"/>
        <v>0</v>
      </c>
      <c r="AF9" s="37">
        <f>(H9+AE9)-I9</f>
        <v>11.37245977232817</v>
      </c>
      <c r="AK9" s="64"/>
      <c r="AL9"/>
      <c r="AN9" s="40"/>
    </row>
    <row r="10" spans="2:47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Q10-AD10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7"/>
      <c r="X10" s="77"/>
      <c r="Y10" s="77"/>
      <c r="Z10" s="77"/>
      <c r="AA10" s="78"/>
      <c r="AB10" s="78"/>
      <c r="AC10" s="78"/>
      <c r="AD10" s="79">
        <v>1.8945724714614274</v>
      </c>
      <c r="AE10" s="41">
        <f t="shared" si="1"/>
        <v>0</v>
      </c>
      <c r="AF10" s="42">
        <f>(H10+AE10)-I10</f>
        <v>-17.075660813225795</v>
      </c>
      <c r="AH10" s="44"/>
      <c r="AI10" s="45"/>
      <c r="AJ10" s="43"/>
      <c r="AK10" s="64"/>
      <c r="AL10"/>
      <c r="AN10" s="46"/>
      <c r="AO10" s="43"/>
      <c r="AP10" s="46"/>
      <c r="AQ10" s="46"/>
      <c r="AT10" s="46"/>
      <c r="AU10" s="46"/>
    </row>
    <row r="11" spans="2:47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7"/>
      <c r="X11" s="77"/>
      <c r="Y11" s="77"/>
      <c r="Z11" s="77"/>
      <c r="AA11" s="77"/>
      <c r="AB11" s="77"/>
      <c r="AC11" s="77"/>
      <c r="AD11" s="79">
        <v>6.0589568905517144</v>
      </c>
      <c r="AE11" s="41">
        <f t="shared" si="1"/>
        <v>0</v>
      </c>
      <c r="AF11" s="42">
        <f>(H11+AE11)-I11</f>
        <v>19.165108790513955</v>
      </c>
      <c r="AH11" s="44"/>
      <c r="AI11" s="45"/>
      <c r="AJ11" s="43"/>
      <c r="AK11" s="64"/>
      <c r="AL11"/>
      <c r="AN11" s="46"/>
      <c r="AO11" s="43"/>
      <c r="AP11" s="46"/>
      <c r="AQ11" s="46"/>
      <c r="AT11" s="46"/>
      <c r="AU11" s="46"/>
    </row>
    <row r="12" spans="2:47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AD13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7">H12+P12-Q12</f>
        <v>-7.5889205675269977</v>
      </c>
      <c r="T12" s="10"/>
      <c r="V12" s="80" t="str">
        <f t="shared" si="6"/>
        <v>2020-21</v>
      </c>
      <c r="W12" s="80"/>
      <c r="X12" s="80"/>
      <c r="Y12" s="80"/>
      <c r="Z12" s="80"/>
      <c r="AA12" s="80"/>
      <c r="AB12" s="80"/>
      <c r="AC12" s="80"/>
      <c r="AD12" s="75">
        <v>0</v>
      </c>
      <c r="AE12" s="59">
        <f t="shared" si="1"/>
        <v>0</v>
      </c>
      <c r="AF12" s="32">
        <f t="shared" ref="AF12:AF33" si="8">AE12+H12-I12</f>
        <v>35.454700000000003</v>
      </c>
      <c r="AH12" s="44">
        <v>1035.500620567527</v>
      </c>
      <c r="AI12" s="45"/>
      <c r="AJ12" s="43"/>
      <c r="AK12" s="66"/>
      <c r="AL12" s="52"/>
      <c r="AN12" s="46"/>
      <c r="AO12" s="43"/>
      <c r="AP12" s="46"/>
      <c r="AQ12" s="46"/>
      <c r="AT12" s="46"/>
      <c r="AU12" s="46"/>
    </row>
    <row r="13" spans="2:47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AD14</f>
        <v>4.6109774071628653</v>
      </c>
      <c r="M13" s="50"/>
      <c r="N13" s="51">
        <v>-3.1532888603364881</v>
      </c>
      <c r="O13" s="50"/>
      <c r="P13" s="32">
        <f t="shared" si="3"/>
        <v>1.4576885468263772</v>
      </c>
      <c r="Q13" s="37">
        <f t="shared" si="4"/>
        <v>957.00229999999999</v>
      </c>
      <c r="R13" s="37">
        <f t="shared" si="5"/>
        <v>957.00229999999999</v>
      </c>
      <c r="S13" s="33">
        <f t="shared" si="7"/>
        <v>86.912388546826264</v>
      </c>
      <c r="T13" s="10"/>
      <c r="V13" s="80" t="str">
        <f t="shared" si="6"/>
        <v>2021-22</v>
      </c>
      <c r="W13" s="80"/>
      <c r="X13" s="80"/>
      <c r="Y13" s="80"/>
      <c r="Z13" s="80"/>
      <c r="AA13" s="80"/>
      <c r="AB13" s="80"/>
      <c r="AC13" s="80"/>
      <c r="AD13" s="81">
        <v>0</v>
      </c>
      <c r="AE13" s="59">
        <f t="shared" si="1"/>
        <v>0</v>
      </c>
      <c r="AF13" s="32">
        <f t="shared" si="8"/>
        <v>85.454699999999889</v>
      </c>
      <c r="AH13" s="44">
        <v>1045.6102888603364</v>
      </c>
      <c r="AI13" s="45"/>
      <c r="AJ13" s="43"/>
      <c r="AK13" s="66"/>
      <c r="AL13" s="52"/>
      <c r="AN13" s="46"/>
      <c r="AO13" s="43"/>
      <c r="AP13" s="46"/>
      <c r="AQ13" s="46"/>
      <c r="AT13" s="46"/>
      <c r="AU13" s="46"/>
    </row>
    <row r="14" spans="2:47" x14ac:dyDescent="0.25">
      <c r="B14" s="28" t="s">
        <v>47</v>
      </c>
      <c r="C14" s="29"/>
      <c r="D14" s="30">
        <f t="shared" ref="D14:D33" si="9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949.67129629143062</v>
      </c>
      <c r="J14" s="33">
        <f t="shared" si="0"/>
        <v>92.785703708569258</v>
      </c>
      <c r="K14" s="34"/>
      <c r="L14" s="32">
        <f t="shared" ref="L14:L33" si="10">AD14</f>
        <v>4.6109774071628653</v>
      </c>
      <c r="M14" s="53"/>
      <c r="N14" s="54"/>
      <c r="O14" s="50"/>
      <c r="P14" s="32">
        <f t="shared" si="3"/>
        <v>4.6109774071628653</v>
      </c>
      <c r="Q14" s="37">
        <f t="shared" si="4"/>
        <v>949.67129629143062</v>
      </c>
      <c r="R14" s="37">
        <f t="shared" si="5"/>
        <v>945.06031888426776</v>
      </c>
      <c r="S14" s="33">
        <f t="shared" si="7"/>
        <v>97.396681115732122</v>
      </c>
      <c r="T14" s="10"/>
      <c r="V14" s="80" t="str">
        <f t="shared" si="6"/>
        <v>2022-23</v>
      </c>
      <c r="W14" s="80" t="s">
        <v>82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91">
        <v>4.6109774071628653</v>
      </c>
      <c r="AE14" s="59">
        <f t="shared" si="1"/>
        <v>0</v>
      </c>
      <c r="AF14" s="32">
        <f t="shared" si="8"/>
        <v>92.785703708569258</v>
      </c>
      <c r="AH14" s="44">
        <v>1053.5407413432795</v>
      </c>
      <c r="AI14" s="45"/>
      <c r="AJ14" s="43"/>
      <c r="AK14" s="66">
        <v>814982721.68701208</v>
      </c>
      <c r="AL14" s="52"/>
      <c r="AN14" s="46"/>
      <c r="AO14" s="43"/>
      <c r="AP14" s="46"/>
      <c r="AQ14" s="46"/>
      <c r="AT14" s="46"/>
      <c r="AU14" s="46"/>
    </row>
    <row r="15" spans="2:47" x14ac:dyDescent="0.25">
      <c r="B15" s="28" t="s">
        <v>48</v>
      </c>
      <c r="C15" s="29"/>
      <c r="D15" s="30">
        <f t="shared" si="9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952.68690440932323</v>
      </c>
      <c r="J15" s="33">
        <f t="shared" si="0"/>
        <v>89.770095590676647</v>
      </c>
      <c r="K15" s="34"/>
      <c r="L15" s="32">
        <f t="shared" si="10"/>
        <v>9.9162474076782825</v>
      </c>
      <c r="M15" s="53"/>
      <c r="N15" s="54"/>
      <c r="O15" s="50"/>
      <c r="P15" s="32">
        <f t="shared" si="3"/>
        <v>9.9162474076782825</v>
      </c>
      <c r="Q15" s="37">
        <f t="shared" si="4"/>
        <v>952.68690440932323</v>
      </c>
      <c r="R15" s="37">
        <f t="shared" si="5"/>
        <v>942.77065700164496</v>
      </c>
      <c r="S15" s="33">
        <f t="shared" si="7"/>
        <v>99.68634299835503</v>
      </c>
      <c r="T15" s="10"/>
      <c r="V15" s="80" t="str">
        <f t="shared" si="6"/>
        <v>2023-24</v>
      </c>
      <c r="W15" s="80" t="s">
        <v>82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 t="s">
        <v>82</v>
      </c>
      <c r="AD15" s="91">
        <v>9.9162474076782825</v>
      </c>
      <c r="AE15" s="59">
        <f t="shared" si="1"/>
        <v>0</v>
      </c>
      <c r="AF15" s="32">
        <f t="shared" si="8"/>
        <v>89.770095590676647</v>
      </c>
      <c r="AH15" s="44">
        <v>1062.70947981108</v>
      </c>
      <c r="AI15" s="45"/>
      <c r="AJ15" s="43"/>
      <c r="AK15" s="66">
        <v>814071578.97221029</v>
      </c>
      <c r="AL15" s="52"/>
      <c r="AN15" s="46"/>
      <c r="AO15" s="43"/>
      <c r="AP15" s="46"/>
      <c r="AQ15" s="46"/>
      <c r="AT15" s="46"/>
      <c r="AU15" s="46"/>
    </row>
    <row r="16" spans="2:47" x14ac:dyDescent="0.25">
      <c r="B16" s="28" t="s">
        <v>49</v>
      </c>
      <c r="C16" s="29"/>
      <c r="D16" s="30">
        <f t="shared" si="9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956.80865908870805</v>
      </c>
      <c r="J16" s="33">
        <f t="shared" si="0"/>
        <v>85.648340911291825</v>
      </c>
      <c r="K16" s="34"/>
      <c r="L16" s="32">
        <f t="shared" si="10"/>
        <v>15.476028784735377</v>
      </c>
      <c r="M16" s="53"/>
      <c r="N16" s="54"/>
      <c r="O16" s="50"/>
      <c r="P16" s="32">
        <f t="shared" si="3"/>
        <v>15.476028784735377</v>
      </c>
      <c r="Q16" s="37">
        <f t="shared" si="4"/>
        <v>956.80865908870805</v>
      </c>
      <c r="R16" s="37">
        <f t="shared" si="5"/>
        <v>941.33263030397268</v>
      </c>
      <c r="S16" s="33">
        <f t="shared" si="7"/>
        <v>101.12436969602709</v>
      </c>
      <c r="T16" s="10"/>
      <c r="V16" s="80" t="str">
        <f t="shared" si="6"/>
        <v>2024-25</v>
      </c>
      <c r="W16" s="80" t="s">
        <v>82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 t="s">
        <v>82</v>
      </c>
      <c r="AD16" s="91">
        <v>15.476028784735377</v>
      </c>
      <c r="AE16" s="59">
        <f t="shared" si="1"/>
        <v>0</v>
      </c>
      <c r="AF16" s="32">
        <f t="shared" si="8"/>
        <v>85.648340911291825</v>
      </c>
      <c r="AH16" s="44">
        <v>1069.875394233997</v>
      </c>
      <c r="AI16" s="45"/>
      <c r="AJ16" s="43"/>
      <c r="AK16" s="66">
        <v>807664170.80937064</v>
      </c>
      <c r="AL16" s="52"/>
      <c r="AN16" s="46"/>
      <c r="AO16" s="43"/>
      <c r="AP16" s="46"/>
      <c r="AQ16" s="46"/>
      <c r="AT16" s="46"/>
      <c r="AU16" s="46"/>
    </row>
    <row r="17" spans="2:47" x14ac:dyDescent="0.25">
      <c r="B17" s="28" t="s">
        <v>50</v>
      </c>
      <c r="C17" s="29"/>
      <c r="D17" s="30">
        <f t="shared" si="9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959.53951477929741</v>
      </c>
      <c r="J17" s="33">
        <f t="shared" si="0"/>
        <v>82.917485220702474</v>
      </c>
      <c r="K17" s="34"/>
      <c r="L17" s="32">
        <f t="shared" si="10"/>
        <v>21.139329931715892</v>
      </c>
      <c r="M17" s="53"/>
      <c r="N17" s="54"/>
      <c r="O17" s="50"/>
      <c r="P17" s="32">
        <f t="shared" si="3"/>
        <v>21.139329931715892</v>
      </c>
      <c r="Q17" s="37">
        <f t="shared" si="4"/>
        <v>959.53951477929741</v>
      </c>
      <c r="R17" s="37">
        <f t="shared" si="5"/>
        <v>938.4001848475815</v>
      </c>
      <c r="S17" s="33">
        <f t="shared" si="7"/>
        <v>104.05681515241827</v>
      </c>
      <c r="T17" s="10"/>
      <c r="V17" s="80" t="str">
        <f t="shared" si="6"/>
        <v>2025-26</v>
      </c>
      <c r="W17" s="80" t="s">
        <v>82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 t="s">
        <v>82</v>
      </c>
      <c r="AD17" s="91">
        <v>21.139329931715892</v>
      </c>
      <c r="AE17" s="59">
        <f t="shared" si="1"/>
        <v>0</v>
      </c>
      <c r="AF17" s="32">
        <f t="shared" si="8"/>
        <v>82.917485220702474</v>
      </c>
      <c r="AH17" s="44">
        <v>1074.046576766304</v>
      </c>
      <c r="AI17" s="45"/>
      <c r="AJ17" s="43"/>
      <c r="AK17" s="66">
        <v>798518377.51642084</v>
      </c>
      <c r="AL17" s="52"/>
      <c r="AN17" s="46"/>
      <c r="AO17" s="43"/>
      <c r="AP17" s="46"/>
      <c r="AQ17" s="46"/>
      <c r="AT17" s="46"/>
      <c r="AU17" s="46"/>
    </row>
    <row r="18" spans="2:47" x14ac:dyDescent="0.25">
      <c r="B18" s="28" t="s">
        <v>51</v>
      </c>
      <c r="C18" s="29"/>
      <c r="D18" s="30">
        <f t="shared" si="9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966.02924459860526</v>
      </c>
      <c r="J18" s="33">
        <f t="shared" si="0"/>
        <v>76.42775540139462</v>
      </c>
      <c r="K18" s="34"/>
      <c r="L18" s="32">
        <f t="shared" si="10"/>
        <v>27.025804740285224</v>
      </c>
      <c r="M18" s="53"/>
      <c r="N18" s="54"/>
      <c r="O18" s="50"/>
      <c r="P18" s="32">
        <f t="shared" si="3"/>
        <v>27.025804740285224</v>
      </c>
      <c r="Q18" s="37">
        <f t="shared" si="4"/>
        <v>966.02924459860526</v>
      </c>
      <c r="R18" s="37">
        <f t="shared" si="5"/>
        <v>939.00343985832001</v>
      </c>
      <c r="S18" s="33">
        <f t="shared" si="7"/>
        <v>103.45356014167976</v>
      </c>
      <c r="T18" s="10"/>
      <c r="V18" s="80" t="str">
        <f t="shared" si="6"/>
        <v>2026-27</v>
      </c>
      <c r="W18" s="80" t="s">
        <v>82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 t="s">
        <v>82</v>
      </c>
      <c r="AD18" s="91">
        <v>27.025804740285224</v>
      </c>
      <c r="AE18" s="59">
        <f t="shared" si="1"/>
        <v>0</v>
      </c>
      <c r="AF18" s="32">
        <f t="shared" si="8"/>
        <v>76.42775540139462</v>
      </c>
      <c r="AH18" s="44">
        <v>1081.3726145732787</v>
      </c>
      <c r="AI18" s="45"/>
      <c r="AJ18" s="43"/>
      <c r="AK18" s="66">
        <v>795766623.88087094</v>
      </c>
      <c r="AL18" s="52"/>
      <c r="AN18" s="46"/>
      <c r="AO18" s="43"/>
      <c r="AP18" s="46"/>
      <c r="AQ18" s="46"/>
      <c r="AT18" s="46"/>
      <c r="AU18" s="46"/>
    </row>
    <row r="19" spans="2:47" x14ac:dyDescent="0.25">
      <c r="B19" s="28" t="s">
        <v>52</v>
      </c>
      <c r="C19" s="29"/>
      <c r="D19" s="30">
        <f t="shared" si="9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974.37910970644509</v>
      </c>
      <c r="J19" s="33">
        <f t="shared" si="0"/>
        <v>68.077890293554788</v>
      </c>
      <c r="K19" s="34"/>
      <c r="L19" s="32">
        <f t="shared" si="10"/>
        <v>33.165863658378711</v>
      </c>
      <c r="M19" s="53"/>
      <c r="N19" s="54"/>
      <c r="O19" s="50"/>
      <c r="P19" s="32">
        <f t="shared" si="3"/>
        <v>33.165863658378711</v>
      </c>
      <c r="Q19" s="37">
        <f t="shared" si="4"/>
        <v>974.37910970644509</v>
      </c>
      <c r="R19" s="37">
        <f t="shared" si="5"/>
        <v>941.21324604806637</v>
      </c>
      <c r="S19" s="33">
        <f t="shared" si="7"/>
        <v>101.2437539519334</v>
      </c>
      <c r="T19" s="10"/>
      <c r="V19" s="80" t="str">
        <f t="shared" si="6"/>
        <v>2027-28</v>
      </c>
      <c r="W19" s="80" t="s">
        <v>82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 t="s">
        <v>82</v>
      </c>
      <c r="AD19" s="91">
        <v>33.165863658378711</v>
      </c>
      <c r="AE19" s="59">
        <f t="shared" si="1"/>
        <v>0</v>
      </c>
      <c r="AF19" s="32">
        <f t="shared" si="8"/>
        <v>68.077890293554788</v>
      </c>
      <c r="AH19" s="44">
        <v>1088.9478443321157</v>
      </c>
      <c r="AI19" s="45"/>
      <c r="AJ19" s="43"/>
      <c r="AK19" s="66">
        <v>796846511.45185912</v>
      </c>
      <c r="AL19" s="52"/>
      <c r="AN19" s="46"/>
      <c r="AO19" s="43"/>
      <c r="AP19" s="46"/>
      <c r="AQ19" s="46"/>
      <c r="AT19" s="46"/>
      <c r="AU19" s="46"/>
    </row>
    <row r="20" spans="2:47" x14ac:dyDescent="0.25">
      <c r="B20" s="28" t="s">
        <v>53</v>
      </c>
      <c r="C20" s="29"/>
      <c r="D20" s="30">
        <f t="shared" si="9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979.87498703952895</v>
      </c>
      <c r="J20" s="33">
        <f t="shared" si="0"/>
        <v>62.582012960470934</v>
      </c>
      <c r="K20" s="34"/>
      <c r="L20" s="32">
        <f t="shared" si="10"/>
        <v>39.560679463789029</v>
      </c>
      <c r="M20" s="53"/>
      <c r="N20" s="54"/>
      <c r="O20" s="50"/>
      <c r="P20" s="32">
        <f t="shared" si="3"/>
        <v>39.560679463789029</v>
      </c>
      <c r="Q20" s="37">
        <f t="shared" si="4"/>
        <v>979.87498703952895</v>
      </c>
      <c r="R20" s="37">
        <f t="shared" si="5"/>
        <v>940.31430757573992</v>
      </c>
      <c r="S20" s="33">
        <f t="shared" si="7"/>
        <v>102.14269242425996</v>
      </c>
      <c r="T20" s="10"/>
      <c r="V20" s="80" t="str">
        <f t="shared" si="6"/>
        <v>2028-29</v>
      </c>
      <c r="W20" s="80" t="s">
        <v>82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 t="s">
        <v>82</v>
      </c>
      <c r="AD20" s="91">
        <v>39.560679463789029</v>
      </c>
      <c r="AE20" s="59">
        <f t="shared" si="1"/>
        <v>0</v>
      </c>
      <c r="AF20" s="32">
        <f t="shared" si="8"/>
        <v>62.582012960470934</v>
      </c>
      <c r="AH20" s="44">
        <v>1096.2966233757172</v>
      </c>
      <c r="AI20" s="45"/>
      <c r="AJ20" s="43"/>
      <c r="AK20" s="66">
        <v>801116530.42032659</v>
      </c>
      <c r="AL20" s="52"/>
      <c r="AN20" s="46"/>
      <c r="AO20" s="43"/>
      <c r="AP20" s="46"/>
      <c r="AQ20" s="46"/>
      <c r="AT20" s="46"/>
      <c r="AU20" s="46"/>
    </row>
    <row r="21" spans="2:47" x14ac:dyDescent="0.25">
      <c r="B21" s="28" t="s">
        <v>54</v>
      </c>
      <c r="C21" s="29"/>
      <c r="D21" s="30">
        <f t="shared" si="9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982.9537652294274</v>
      </c>
      <c r="J21" s="33">
        <f t="shared" si="0"/>
        <v>59.503234770572476</v>
      </c>
      <c r="K21" s="34"/>
      <c r="L21" s="32">
        <f t="shared" si="10"/>
        <v>46.189227368028135</v>
      </c>
      <c r="M21" s="53"/>
      <c r="N21" s="54"/>
      <c r="O21" s="50"/>
      <c r="P21" s="32">
        <f t="shared" si="3"/>
        <v>46.189227368028135</v>
      </c>
      <c r="Q21" s="37">
        <f t="shared" si="4"/>
        <v>982.9537652294274</v>
      </c>
      <c r="R21" s="37">
        <f t="shared" si="5"/>
        <v>936.76453786139928</v>
      </c>
      <c r="S21" s="33">
        <f t="shared" si="7"/>
        <v>105.69246213860072</v>
      </c>
      <c r="T21" s="10"/>
      <c r="V21" s="80" t="str">
        <f t="shared" si="6"/>
        <v>2029-30</v>
      </c>
      <c r="W21" s="80" t="s">
        <v>82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 t="s">
        <v>82</v>
      </c>
      <c r="AD21" s="91">
        <v>46.189227368028135</v>
      </c>
      <c r="AE21" s="59">
        <f t="shared" si="1"/>
        <v>0</v>
      </c>
      <c r="AF21" s="32">
        <f t="shared" si="8"/>
        <v>59.503234770572476</v>
      </c>
      <c r="AH21" s="44">
        <v>1102.2936430343566</v>
      </c>
      <c r="AI21" s="45"/>
      <c r="AJ21" s="43"/>
      <c r="AK21" s="66">
        <v>795720126.51843321</v>
      </c>
      <c r="AL21" s="52"/>
      <c r="AN21" s="46"/>
      <c r="AO21" s="43"/>
      <c r="AP21" s="46"/>
      <c r="AQ21" s="46"/>
      <c r="AT21" s="46"/>
      <c r="AU21" s="46"/>
    </row>
    <row r="22" spans="2:47" x14ac:dyDescent="0.25">
      <c r="B22" s="28" t="s">
        <v>55</v>
      </c>
      <c r="C22" s="29"/>
      <c r="D22" s="30">
        <f t="shared" si="9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987.67272501402829</v>
      </c>
      <c r="J22" s="33">
        <f t="shared" si="0"/>
        <v>54.784274985971592</v>
      </c>
      <c r="K22" s="34"/>
      <c r="L22" s="32">
        <f t="shared" si="10"/>
        <v>53.020257442777599</v>
      </c>
      <c r="M22" s="53"/>
      <c r="N22" s="54"/>
      <c r="O22" s="50"/>
      <c r="P22" s="32">
        <f t="shared" si="3"/>
        <v>53.020257442777599</v>
      </c>
      <c r="Q22" s="37">
        <f t="shared" si="4"/>
        <v>987.67272501402829</v>
      </c>
      <c r="R22" s="37">
        <f t="shared" si="5"/>
        <v>934.65246757125067</v>
      </c>
      <c r="S22" s="33">
        <f t="shared" si="7"/>
        <v>107.80453242874921</v>
      </c>
      <c r="T22" s="10"/>
      <c r="V22" s="80" t="str">
        <f t="shared" si="6"/>
        <v>2030-31</v>
      </c>
      <c r="W22" s="80" t="s">
        <v>82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 t="s">
        <v>82</v>
      </c>
      <c r="AD22" s="91">
        <v>53.020257442777599</v>
      </c>
      <c r="AE22" s="59">
        <f t="shared" si="1"/>
        <v>0</v>
      </c>
      <c r="AF22" s="32">
        <f t="shared" si="8"/>
        <v>54.784274985971592</v>
      </c>
      <c r="AH22" s="44">
        <v>1110.8754963941149</v>
      </c>
      <c r="AI22" s="45"/>
      <c r="AJ22" s="43"/>
      <c r="AK22" s="66">
        <v>796799137.2839731</v>
      </c>
      <c r="AL22" s="52"/>
      <c r="AN22" s="46"/>
      <c r="AO22" s="43"/>
      <c r="AP22" s="46"/>
      <c r="AQ22" s="46"/>
      <c r="AT22" s="46"/>
      <c r="AU22" s="46"/>
    </row>
    <row r="23" spans="2:47" x14ac:dyDescent="0.25">
      <c r="B23" s="28" t="s">
        <v>56</v>
      </c>
      <c r="C23" s="29"/>
      <c r="D23" s="30">
        <f t="shared" si="9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994.11736911426294</v>
      </c>
      <c r="J23" s="33">
        <f t="shared" si="0"/>
        <v>48.339630885736938</v>
      </c>
      <c r="K23" s="34"/>
      <c r="L23" s="32">
        <f t="shared" si="10"/>
        <v>60.096051823811081</v>
      </c>
      <c r="M23" s="53"/>
      <c r="N23" s="54"/>
      <c r="O23" s="50"/>
      <c r="P23" s="32">
        <f t="shared" si="3"/>
        <v>60.096051823811081</v>
      </c>
      <c r="Q23" s="37">
        <f t="shared" si="4"/>
        <v>994.11736911426294</v>
      </c>
      <c r="R23" s="37">
        <f t="shared" si="5"/>
        <v>934.02131729045186</v>
      </c>
      <c r="S23" s="33">
        <f t="shared" si="7"/>
        <v>108.43568270954813</v>
      </c>
      <c r="T23" s="10"/>
      <c r="V23" s="80" t="str">
        <f t="shared" si="6"/>
        <v>2031-32</v>
      </c>
      <c r="W23" s="80" t="s">
        <v>82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 t="s">
        <v>82</v>
      </c>
      <c r="AD23" s="91">
        <v>60.096051823811081</v>
      </c>
      <c r="AE23" s="59">
        <f t="shared" si="1"/>
        <v>0</v>
      </c>
      <c r="AF23" s="32">
        <f t="shared" si="8"/>
        <v>48.339630885736938</v>
      </c>
      <c r="AH23" s="44">
        <v>1118.7950078327895</v>
      </c>
      <c r="AI23" s="45"/>
      <c r="AJ23" s="43"/>
      <c r="AK23" s="66">
        <v>801428204.52985263</v>
      </c>
      <c r="AL23" s="52"/>
      <c r="AN23" s="46"/>
      <c r="AO23" s="43"/>
      <c r="AP23" s="46"/>
      <c r="AQ23" s="46"/>
      <c r="AT23" s="46"/>
      <c r="AU23" s="46"/>
    </row>
    <row r="24" spans="2:47" x14ac:dyDescent="0.25">
      <c r="B24" s="28" t="s">
        <v>57</v>
      </c>
      <c r="C24" s="29"/>
      <c r="D24" s="30">
        <f t="shared" si="9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1001.2315904227033</v>
      </c>
      <c r="J24" s="33">
        <f t="shared" si="0"/>
        <v>41.225409577296546</v>
      </c>
      <c r="K24" s="34"/>
      <c r="L24" s="32">
        <f t="shared" si="10"/>
        <v>64.493510880728138</v>
      </c>
      <c r="M24" s="53"/>
      <c r="N24" s="54"/>
      <c r="O24" s="50"/>
      <c r="P24" s="32">
        <f t="shared" si="3"/>
        <v>64.493510880728138</v>
      </c>
      <c r="Q24" s="37">
        <f t="shared" si="4"/>
        <v>1001.2315904227033</v>
      </c>
      <c r="R24" s="37">
        <f t="shared" si="5"/>
        <v>936.73807954197514</v>
      </c>
      <c r="S24" s="33">
        <f t="shared" si="7"/>
        <v>105.71892045802463</v>
      </c>
      <c r="T24" s="10"/>
      <c r="V24" s="80" t="str">
        <f t="shared" si="6"/>
        <v>2032-33</v>
      </c>
      <c r="W24" s="80" t="s">
        <v>82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 t="s">
        <v>82</v>
      </c>
      <c r="AD24" s="91">
        <v>64.493510880728138</v>
      </c>
      <c r="AE24" s="59">
        <f t="shared" si="1"/>
        <v>0</v>
      </c>
      <c r="AF24" s="32">
        <f t="shared" si="8"/>
        <v>41.225409577296546</v>
      </c>
      <c r="AH24" s="44">
        <v>1128.6245193965246</v>
      </c>
      <c r="AI24" s="45"/>
      <c r="AJ24" s="43"/>
      <c r="AK24" s="66">
        <v>810635919.70983922</v>
      </c>
      <c r="AL24" s="52"/>
      <c r="AN24" s="46"/>
      <c r="AO24" s="43"/>
      <c r="AP24" s="46"/>
      <c r="AQ24" s="46"/>
      <c r="AT24" s="46"/>
      <c r="AU24" s="46"/>
    </row>
    <row r="25" spans="2:47" x14ac:dyDescent="0.25">
      <c r="B25" s="28" t="s">
        <v>58</v>
      </c>
      <c r="C25" s="29"/>
      <c r="D25" s="30">
        <f t="shared" si="9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1005.0364164264992</v>
      </c>
      <c r="J25" s="33">
        <f t="shared" si="0"/>
        <v>37.420583573500721</v>
      </c>
      <c r="K25" s="34"/>
      <c r="L25" s="32">
        <f t="shared" si="10"/>
        <v>69.066897835315515</v>
      </c>
      <c r="M25" s="53"/>
      <c r="N25" s="54"/>
      <c r="O25" s="50"/>
      <c r="P25" s="32">
        <f t="shared" si="3"/>
        <v>69.066897835315515</v>
      </c>
      <c r="Q25" s="37">
        <f t="shared" si="4"/>
        <v>1005.0364164264992</v>
      </c>
      <c r="R25" s="37">
        <f t="shared" si="5"/>
        <v>935.9695185911836</v>
      </c>
      <c r="S25" s="33">
        <f t="shared" si="7"/>
        <v>106.48748140881628</v>
      </c>
      <c r="T25" s="10"/>
      <c r="V25" s="80" t="str">
        <f t="shared" si="6"/>
        <v>2033-34</v>
      </c>
      <c r="W25" s="80" t="s">
        <v>82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 t="s">
        <v>82</v>
      </c>
      <c r="AD25" s="91">
        <v>69.066897835315515</v>
      </c>
      <c r="AE25" s="59">
        <f t="shared" si="1"/>
        <v>0</v>
      </c>
      <c r="AF25" s="32">
        <f t="shared" si="8"/>
        <v>37.420583573500721</v>
      </c>
      <c r="AH25" s="44">
        <v>1137.439360122042</v>
      </c>
      <c r="AI25" s="45"/>
      <c r="AJ25" s="43"/>
      <c r="AK25" s="66">
        <v>808136120.6513834</v>
      </c>
      <c r="AL25" s="52"/>
      <c r="AN25" s="46"/>
      <c r="AO25" s="43"/>
      <c r="AP25" s="46"/>
      <c r="AQ25" s="46"/>
      <c r="AT25" s="46"/>
      <c r="AU25" s="46"/>
    </row>
    <row r="26" spans="2:47" x14ac:dyDescent="0.25">
      <c r="B26" s="28" t="s">
        <v>59</v>
      </c>
      <c r="C26" s="29"/>
      <c r="D26" s="30">
        <f t="shared" si="9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1012.4312557246415</v>
      </c>
      <c r="J26" s="33">
        <f t="shared" si="0"/>
        <v>30.02574427535842</v>
      </c>
      <c r="K26" s="34"/>
      <c r="L26" s="32">
        <f t="shared" si="10"/>
        <v>73.759030680977787</v>
      </c>
      <c r="M26" s="53"/>
      <c r="N26" s="54"/>
      <c r="O26" s="50"/>
      <c r="P26" s="32">
        <f t="shared" si="3"/>
        <v>73.759030680977787</v>
      </c>
      <c r="Q26" s="37">
        <f t="shared" si="4"/>
        <v>1012.4312557246415</v>
      </c>
      <c r="R26" s="37">
        <f t="shared" si="5"/>
        <v>938.67222504366373</v>
      </c>
      <c r="S26" s="33">
        <f t="shared" si="7"/>
        <v>103.78477495633615</v>
      </c>
      <c r="T26" s="10"/>
      <c r="V26" s="80" t="str">
        <f t="shared" si="6"/>
        <v>2034-35</v>
      </c>
      <c r="W26" s="80" t="s">
        <v>82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 t="s">
        <v>82</v>
      </c>
      <c r="AD26" s="91">
        <v>73.759030680977787</v>
      </c>
      <c r="AE26" s="59">
        <f t="shared" si="1"/>
        <v>0</v>
      </c>
      <c r="AF26" s="32">
        <f t="shared" si="8"/>
        <v>30.02574427535842</v>
      </c>
      <c r="AH26" s="44">
        <v>1149.2166802752236</v>
      </c>
      <c r="AI26" s="45"/>
      <c r="AJ26" s="43"/>
      <c r="AK26" s="66">
        <v>812334102.43368173</v>
      </c>
      <c r="AL26" s="52"/>
      <c r="AN26" s="46"/>
      <c r="AO26" s="43"/>
      <c r="AP26" s="46"/>
      <c r="AQ26" s="46"/>
      <c r="AT26" s="46"/>
      <c r="AU26" s="46"/>
    </row>
    <row r="27" spans="2:47" x14ac:dyDescent="0.25">
      <c r="B27" s="28" t="s">
        <v>60</v>
      </c>
      <c r="C27" s="29"/>
      <c r="D27" s="30">
        <f t="shared" si="9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1016.6407517092729</v>
      </c>
      <c r="J27" s="33">
        <f t="shared" si="0"/>
        <v>25.816248290727003</v>
      </c>
      <c r="K27" s="34"/>
      <c r="L27" s="32">
        <f t="shared" si="10"/>
        <v>78.537094865663107</v>
      </c>
      <c r="M27" s="53"/>
      <c r="N27" s="54"/>
      <c r="O27" s="50"/>
      <c r="P27" s="32">
        <f t="shared" si="3"/>
        <v>78.537094865663107</v>
      </c>
      <c r="Q27" s="37">
        <f t="shared" si="4"/>
        <v>1016.6407517092729</v>
      </c>
      <c r="R27" s="37">
        <f t="shared" si="5"/>
        <v>938.10365684360977</v>
      </c>
      <c r="S27" s="33">
        <f t="shared" si="7"/>
        <v>104.35334315639022</v>
      </c>
      <c r="T27" s="10"/>
      <c r="V27" s="80" t="str">
        <f t="shared" si="6"/>
        <v>2035-36</v>
      </c>
      <c r="W27" s="80" t="s">
        <v>82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 t="s">
        <v>82</v>
      </c>
      <c r="AD27" s="91">
        <v>78.537094865663107</v>
      </c>
      <c r="AE27" s="59">
        <f t="shared" si="1"/>
        <v>0</v>
      </c>
      <c r="AF27" s="32">
        <f t="shared" si="8"/>
        <v>25.816248290727003</v>
      </c>
      <c r="AH27" s="44">
        <v>1160.2287308284001</v>
      </c>
      <c r="AI27" s="45"/>
      <c r="AJ27" s="43"/>
      <c r="AK27" s="66">
        <v>817071205.93456781</v>
      </c>
      <c r="AL27" s="52"/>
      <c r="AN27" s="46"/>
      <c r="AO27" s="43"/>
      <c r="AP27" s="46"/>
      <c r="AQ27" s="46"/>
      <c r="AT27" s="46"/>
      <c r="AU27" s="46"/>
    </row>
    <row r="28" spans="2:47" x14ac:dyDescent="0.25">
      <c r="B28" s="28" t="s">
        <v>61</v>
      </c>
      <c r="C28" s="29"/>
      <c r="D28" s="30">
        <f t="shared" si="9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1027.617529697681</v>
      </c>
      <c r="J28" s="33">
        <f t="shared" si="0"/>
        <v>14.839470302318887</v>
      </c>
      <c r="K28" s="34"/>
      <c r="L28" s="32">
        <f t="shared" si="10"/>
        <v>83.23648514650499</v>
      </c>
      <c r="M28" s="53"/>
      <c r="N28" s="54"/>
      <c r="O28" s="50"/>
      <c r="P28" s="32">
        <f t="shared" si="3"/>
        <v>83.23648514650499</v>
      </c>
      <c r="Q28" s="37">
        <f t="shared" si="4"/>
        <v>1027.617529697681</v>
      </c>
      <c r="R28" s="37">
        <f t="shared" si="5"/>
        <v>944.38104455117605</v>
      </c>
      <c r="S28" s="33">
        <f t="shared" si="7"/>
        <v>98.075955448823834</v>
      </c>
      <c r="T28" s="10"/>
      <c r="V28" s="80" t="str">
        <f t="shared" si="6"/>
        <v>2036-37</v>
      </c>
      <c r="W28" s="80" t="s">
        <v>82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 t="s">
        <v>82</v>
      </c>
      <c r="AD28" s="91">
        <v>83.23648514650499</v>
      </c>
      <c r="AE28" s="59">
        <f t="shared" si="1"/>
        <v>0</v>
      </c>
      <c r="AF28" s="32">
        <f t="shared" si="8"/>
        <v>14.839470302318887</v>
      </c>
      <c r="AH28" s="44">
        <v>1172.9807565724554</v>
      </c>
      <c r="AI28" s="45"/>
      <c r="AJ28" s="43"/>
      <c r="AK28" s="66">
        <v>827632597.15200925</v>
      </c>
      <c r="AL28" s="52"/>
      <c r="AN28" s="46"/>
      <c r="AO28" s="43"/>
      <c r="AP28" s="46"/>
      <c r="AQ28" s="46"/>
      <c r="AT28" s="46"/>
      <c r="AU28" s="46"/>
    </row>
    <row r="29" spans="2:47" x14ac:dyDescent="0.25">
      <c r="B29" s="28" t="s">
        <v>62</v>
      </c>
      <c r="C29" s="29"/>
      <c r="D29" s="30">
        <f t="shared" si="9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1031.5763194829667</v>
      </c>
      <c r="J29" s="33">
        <f>H29-I29</f>
        <v>10.88068051703317</v>
      </c>
      <c r="K29" s="34"/>
      <c r="L29" s="32">
        <f t="shared" si="10"/>
        <v>87.983643456225266</v>
      </c>
      <c r="M29" s="53"/>
      <c r="N29" s="54"/>
      <c r="O29" s="50"/>
      <c r="P29" s="32">
        <f>SUM(L29:O29)</f>
        <v>87.983643456225266</v>
      </c>
      <c r="Q29" s="37">
        <f t="shared" si="4"/>
        <v>1031.5763194829667</v>
      </c>
      <c r="R29" s="37">
        <f t="shared" si="5"/>
        <v>943.5926760267414</v>
      </c>
      <c r="S29" s="33">
        <f t="shared" si="7"/>
        <v>98.864323973258479</v>
      </c>
      <c r="T29" s="10"/>
      <c r="V29" s="80" t="str">
        <f t="shared" si="6"/>
        <v>2037-38</v>
      </c>
      <c r="W29" s="80" t="s">
        <v>82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 t="s">
        <v>82</v>
      </c>
      <c r="AD29" s="91">
        <v>87.983643456225266</v>
      </c>
      <c r="AE29" s="59">
        <f t="shared" si="1"/>
        <v>0</v>
      </c>
      <c r="AF29" s="32">
        <f t="shared" si="8"/>
        <v>10.88068051703317</v>
      </c>
      <c r="AH29" s="44">
        <v>1184.6688191641585</v>
      </c>
      <c r="AI29" s="45"/>
      <c r="AJ29" s="43"/>
      <c r="AK29" s="66">
        <v>824792640.46744084</v>
      </c>
      <c r="AL29" s="52"/>
      <c r="AN29" s="46"/>
      <c r="AO29" s="43"/>
      <c r="AP29" s="46"/>
      <c r="AQ29" s="46"/>
      <c r="AT29" s="46"/>
      <c r="AU29" s="46"/>
    </row>
    <row r="30" spans="2:47" x14ac:dyDescent="0.25">
      <c r="B30" s="28" t="s">
        <v>63</v>
      </c>
      <c r="C30" s="29"/>
      <c r="D30" s="30">
        <f t="shared" si="9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1037.7187262003151</v>
      </c>
      <c r="J30" s="33">
        <f>H30-I30</f>
        <v>4.7382737996847482</v>
      </c>
      <c r="K30" s="34"/>
      <c r="L30" s="32">
        <f t="shared" si="10"/>
        <v>92.732386239685624</v>
      </c>
      <c r="M30" s="53"/>
      <c r="N30" s="54"/>
      <c r="O30" s="50"/>
      <c r="P30" s="32">
        <f>SUM(L30:O30)</f>
        <v>92.732386239685624</v>
      </c>
      <c r="Q30" s="37">
        <f t="shared" si="4"/>
        <v>1037.7187262003151</v>
      </c>
      <c r="R30" s="37">
        <f t="shared" si="5"/>
        <v>944.98633996062949</v>
      </c>
      <c r="S30" s="33">
        <f t="shared" si="7"/>
        <v>97.470660039370387</v>
      </c>
      <c r="T30" s="10"/>
      <c r="V30" s="80" t="str">
        <f t="shared" si="6"/>
        <v>2038-39</v>
      </c>
      <c r="W30" s="80" t="s">
        <v>82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 t="s">
        <v>82</v>
      </c>
      <c r="AD30" s="91">
        <v>92.732386239685624</v>
      </c>
      <c r="AE30" s="59">
        <f t="shared" si="1"/>
        <v>0</v>
      </c>
      <c r="AF30" s="32">
        <f t="shared" si="8"/>
        <v>4.7382737996847482</v>
      </c>
      <c r="AH30" s="44">
        <v>1200.0978356738965</v>
      </c>
      <c r="AI30" s="45"/>
      <c r="AJ30" s="43"/>
      <c r="AK30" s="66">
        <v>828074160.23689735</v>
      </c>
      <c r="AL30" s="52"/>
      <c r="AN30" s="46"/>
      <c r="AO30" s="43"/>
      <c r="AP30" s="46"/>
      <c r="AQ30" s="46"/>
      <c r="AT30" s="46"/>
      <c r="AU30" s="46"/>
    </row>
    <row r="31" spans="2:47" x14ac:dyDescent="0.25">
      <c r="B31" s="28" t="s">
        <v>64</v>
      </c>
      <c r="C31" s="29"/>
      <c r="D31" s="30">
        <f t="shared" si="9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1042.5573918014475</v>
      </c>
      <c r="J31" s="33">
        <f>H31-I31</f>
        <v>-0.10039180144758575</v>
      </c>
      <c r="K31" s="34"/>
      <c r="L31" s="32">
        <f t="shared" si="10"/>
        <v>97.473753069677372</v>
      </c>
      <c r="M31" s="53"/>
      <c r="N31" s="54"/>
      <c r="O31" s="50"/>
      <c r="P31" s="32">
        <f>SUM(L31:O31)</f>
        <v>97.473753069677372</v>
      </c>
      <c r="Q31" s="37">
        <f t="shared" si="4"/>
        <v>1042.5573918014475</v>
      </c>
      <c r="R31" s="37">
        <f t="shared" si="5"/>
        <v>945.08363873177007</v>
      </c>
      <c r="S31" s="33">
        <f t="shared" si="7"/>
        <v>97.373361268229701</v>
      </c>
      <c r="T31" s="10"/>
      <c r="V31" s="80" t="str">
        <f t="shared" si="6"/>
        <v>2039-40</v>
      </c>
      <c r="W31" s="80" t="s">
        <v>82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 t="s">
        <v>82</v>
      </c>
      <c r="AD31" s="91">
        <v>97.473753069677372</v>
      </c>
      <c r="AE31" s="59">
        <f t="shared" si="1"/>
        <v>0</v>
      </c>
      <c r="AF31" s="32">
        <f t="shared" si="8"/>
        <v>-0.10039180144758575</v>
      </c>
      <c r="AH31" s="44">
        <v>1214.5413742702863</v>
      </c>
      <c r="AI31" s="45"/>
      <c r="AJ31" s="43"/>
      <c r="AK31" s="66">
        <v>832418415.7607224</v>
      </c>
      <c r="AL31" s="52"/>
      <c r="AN31" s="46"/>
      <c r="AO31" s="43"/>
      <c r="AP31" s="46"/>
      <c r="AQ31" s="46"/>
      <c r="AT31" s="46"/>
      <c r="AU31" s="46"/>
    </row>
    <row r="32" spans="2:47" x14ac:dyDescent="0.25">
      <c r="B32" s="28" t="s">
        <v>65</v>
      </c>
      <c r="C32" s="29"/>
      <c r="D32" s="30">
        <f t="shared" si="9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1050.5153794797916</v>
      </c>
      <c r="J32" s="33">
        <f>H32-I32</f>
        <v>-8.0583794797917108</v>
      </c>
      <c r="K32" s="34"/>
      <c r="L32" s="32">
        <f t="shared" si="10"/>
        <v>102.18072579408177</v>
      </c>
      <c r="M32" s="53"/>
      <c r="N32" s="54"/>
      <c r="O32" s="50"/>
      <c r="P32" s="32">
        <f t="shared" ref="P32:P33" si="11">SUM(L32:O32)</f>
        <v>102.18072579408177</v>
      </c>
      <c r="Q32" s="37">
        <f t="shared" si="4"/>
        <v>1050.5153794797916</v>
      </c>
      <c r="R32" s="37">
        <f t="shared" si="5"/>
        <v>948.33465368570978</v>
      </c>
      <c r="S32" s="33">
        <f t="shared" si="7"/>
        <v>94.122346314290098</v>
      </c>
      <c r="T32" s="10"/>
      <c r="V32" s="80" t="str">
        <f t="shared" si="6"/>
        <v>2040-41</v>
      </c>
      <c r="W32" s="80" t="s">
        <v>82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 t="s">
        <v>82</v>
      </c>
      <c r="AD32" s="91">
        <v>102.18072579408177</v>
      </c>
      <c r="AE32" s="59">
        <f t="shared" si="1"/>
        <v>0</v>
      </c>
      <c r="AF32" s="32">
        <f t="shared" si="8"/>
        <v>-8.0583794797917108</v>
      </c>
      <c r="AJ32" s="43"/>
      <c r="AK32" s="66">
        <v>840655850.30052125</v>
      </c>
      <c r="AL32" s="52"/>
    </row>
    <row r="33" spans="2:42" x14ac:dyDescent="0.25">
      <c r="B33" s="28" t="s">
        <v>81</v>
      </c>
      <c r="C33" s="29"/>
      <c r="D33" s="30">
        <f t="shared" si="9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1056.1491314178184</v>
      </c>
      <c r="J33" s="33">
        <f>H33-I33</f>
        <v>-13.692131417818473</v>
      </c>
      <c r="K33" s="34"/>
      <c r="L33" s="32">
        <f t="shared" si="10"/>
        <v>106.76440392371885</v>
      </c>
      <c r="M33" s="53"/>
      <c r="N33" s="54"/>
      <c r="O33" s="50"/>
      <c r="P33" s="32">
        <f t="shared" si="11"/>
        <v>106.76440392371885</v>
      </c>
      <c r="Q33" s="37">
        <f>I33</f>
        <v>1056.1491314178184</v>
      </c>
      <c r="R33" s="37">
        <f t="shared" si="5"/>
        <v>949.38472749409948</v>
      </c>
      <c r="S33" s="33">
        <f t="shared" si="7"/>
        <v>93.072272505900401</v>
      </c>
      <c r="T33" s="10"/>
      <c r="U33" s="55"/>
      <c r="V33" s="80" t="str">
        <f>B33</f>
        <v>2041-42</v>
      </c>
      <c r="W33" s="80" t="s">
        <v>82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 t="s">
        <v>82</v>
      </c>
      <c r="AD33" s="91">
        <v>106.76440392371885</v>
      </c>
      <c r="AE33" s="59">
        <f t="shared" si="1"/>
        <v>0</v>
      </c>
      <c r="AF33" s="32">
        <f t="shared" si="8"/>
        <v>-13.692131417818473</v>
      </c>
      <c r="AK33" s="64">
        <v>842656151.84997201</v>
      </c>
      <c r="AL33"/>
      <c r="AN33" s="40"/>
      <c r="AO33" s="43"/>
      <c r="AP33" s="46"/>
    </row>
    <row r="34" spans="2:42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8"/>
      <c r="AE34" s="59"/>
      <c r="AF34" s="55"/>
      <c r="AK34" s="64"/>
      <c r="AL34"/>
      <c r="AN34" s="40"/>
    </row>
    <row r="35" spans="2:42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8"/>
      <c r="AE35" s="59"/>
      <c r="AF35" s="55"/>
      <c r="AK35" s="64"/>
      <c r="AL35"/>
    </row>
    <row r="36" spans="2:42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8"/>
      <c r="AE36" s="59"/>
      <c r="AF36" s="59"/>
      <c r="AK36" s="64"/>
      <c r="AL36"/>
    </row>
    <row r="37" spans="2:42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8"/>
      <c r="AE37" s="59"/>
      <c r="AF37" s="59"/>
      <c r="AK37" s="64"/>
      <c r="AL37"/>
    </row>
    <row r="38" spans="2:42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8"/>
      <c r="AE38" s="59"/>
      <c r="AF38" s="59"/>
      <c r="AK38" s="64"/>
      <c r="AL38"/>
    </row>
    <row r="39" spans="2:42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8"/>
      <c r="AE39" s="59"/>
      <c r="AF39" s="59"/>
      <c r="AK39" s="64"/>
      <c r="AL39"/>
    </row>
    <row r="40" spans="2:42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8"/>
      <c r="AE40" s="59"/>
      <c r="AF40" s="59"/>
      <c r="AK40" s="64"/>
      <c r="AL40"/>
    </row>
    <row r="41" spans="2:42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8"/>
      <c r="AE41" s="59"/>
      <c r="AF41" s="59"/>
      <c r="AK41" s="64"/>
      <c r="AL41"/>
    </row>
    <row r="42" spans="2:42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8"/>
      <c r="AE42" s="59"/>
      <c r="AF42" s="59"/>
      <c r="AK42" s="64"/>
      <c r="AL42"/>
    </row>
    <row r="43" spans="2:42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8"/>
      <c r="AE43" s="59"/>
      <c r="AF43" s="59"/>
      <c r="AK43" s="64"/>
      <c r="AL43"/>
    </row>
    <row r="44" spans="2:42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8"/>
      <c r="AE44" s="59"/>
      <c r="AF44" s="59"/>
      <c r="AK44" s="64"/>
      <c r="AL44"/>
    </row>
    <row r="45" spans="2:42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9"/>
      <c r="AF45" s="59"/>
      <c r="AK45" s="64"/>
      <c r="AL45"/>
    </row>
    <row r="46" spans="2:42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9"/>
      <c r="AF46" s="59"/>
      <c r="AK46" s="64"/>
      <c r="AL46"/>
    </row>
    <row r="47" spans="2:42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9"/>
      <c r="AF47" s="59"/>
      <c r="AK47" s="64"/>
      <c r="AL47"/>
    </row>
    <row r="48" spans="2:42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9"/>
      <c r="AF48" s="59"/>
      <c r="AK48" s="64"/>
      <c r="AL48"/>
    </row>
    <row r="49" spans="8:38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9"/>
      <c r="AF49" s="59"/>
      <c r="AK49" s="64"/>
      <c r="AL49"/>
    </row>
    <row r="50" spans="8:38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9"/>
      <c r="AF50" s="59"/>
      <c r="AK50" s="64"/>
      <c r="AL50"/>
    </row>
    <row r="51" spans="8:38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9"/>
      <c r="AF51" s="59"/>
      <c r="AK51" s="64"/>
      <c r="AL51"/>
    </row>
    <row r="52" spans="8:38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9"/>
      <c r="AF52" s="59"/>
      <c r="AK52" s="64"/>
      <c r="AL52"/>
    </row>
    <row r="53" spans="8:38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9"/>
      <c r="AF53" s="59"/>
      <c r="AK53" s="64"/>
      <c r="AL53"/>
    </row>
    <row r="54" spans="8:38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9"/>
      <c r="AF54" s="59"/>
      <c r="AK54" s="64"/>
      <c r="AL54"/>
    </row>
    <row r="55" spans="8:38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9"/>
      <c r="AF55" s="59"/>
      <c r="AK55" s="64"/>
      <c r="AL55"/>
    </row>
    <row r="56" spans="8:38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9"/>
      <c r="AF56" s="59"/>
      <c r="AK56" s="64"/>
      <c r="AL56"/>
    </row>
    <row r="57" spans="8:38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9"/>
      <c r="AF57" s="59"/>
      <c r="AG57" s="59"/>
    </row>
    <row r="58" spans="8:38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</row>
    <row r="59" spans="8:38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</row>
    <row r="60" spans="8:38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</row>
    <row r="61" spans="8:38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55"/>
      <c r="AF61" s="55"/>
      <c r="AG61" s="55"/>
    </row>
    <row r="62" spans="8:38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</row>
    <row r="63" spans="8:38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</row>
    <row r="64" spans="8:38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</row>
    <row r="65" spans="22:33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</row>
    <row r="66" spans="22:33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</row>
    <row r="67" spans="22:33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</row>
    <row r="68" spans="22:33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</row>
    <row r="69" spans="22:33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</row>
    <row r="70" spans="22:33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</row>
    <row r="71" spans="22:33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</row>
    <row r="72" spans="22:33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</row>
    <row r="73" spans="22:33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</row>
    <row r="74" spans="22:33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</row>
    <row r="75" spans="22:33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</row>
    <row r="76" spans="22:33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</row>
    <row r="77" spans="22:33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</row>
    <row r="78" spans="22:33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</row>
    <row r="79" spans="22:33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</row>
    <row r="80" spans="22:33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</row>
    <row r="81" spans="22:33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</row>
    <row r="82" spans="22:33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</row>
    <row r="83" spans="22:33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</row>
    <row r="84" spans="22:33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</row>
    <row r="85" spans="22:33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</row>
    <row r="86" spans="22:33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</row>
    <row r="87" spans="22:33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</row>
    <row r="88" spans="22:33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</row>
    <row r="89" spans="22:33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</row>
    <row r="90" spans="22:33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</row>
    <row r="91" spans="22:33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</row>
    <row r="92" spans="22:33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</row>
    <row r="93" spans="22:33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</row>
    <row r="94" spans="22:33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</row>
    <row r="95" spans="22:33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</row>
    <row r="96" spans="22:33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</row>
    <row r="97" spans="22:33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</row>
    <row r="98" spans="22:33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</row>
  </sheetData>
  <mergeCells count="1">
    <mergeCell ref="M5:S5"/>
  </mergeCells>
  <pageMargins left="0" right="0" top="0.75" bottom="0.75" header="0.3" footer="0.3"/>
  <pageSetup scale="43" orientation="landscape" r:id="rId1"/>
  <headerFooter>
    <oddHeader>&amp;L&amp;Z&amp;F</oddHeader>
    <oddFooter>&amp;R&amp;A
&amp;D&amp;T
&amp;Z&amp;F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AE14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8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93</v>
      </c>
      <c r="AB5" s="14"/>
      <c r="AC5" s="14"/>
      <c r="AD5" s="15"/>
      <c r="AE5" s="15"/>
      <c r="AF5" s="9"/>
    </row>
    <row r="6" spans="2:48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91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LOW Demand Before DSR</v>
      </c>
      <c r="R6" s="16" t="s">
        <v>136</v>
      </c>
      <c r="S6" s="18" t="s">
        <v>18</v>
      </c>
      <c r="T6" s="10"/>
      <c r="V6" s="71" t="s">
        <v>6</v>
      </c>
      <c r="W6" s="71" t="s">
        <v>86</v>
      </c>
      <c r="X6" s="71" t="s">
        <v>19</v>
      </c>
      <c r="Y6" s="71" t="s">
        <v>20</v>
      </c>
      <c r="Z6" s="71" t="s">
        <v>21</v>
      </c>
      <c r="AA6" s="71" t="s">
        <v>85</v>
      </c>
      <c r="AB6" s="71" t="s">
        <v>22</v>
      </c>
      <c r="AC6" s="71" t="s">
        <v>23</v>
      </c>
      <c r="AD6" s="71" t="s">
        <v>24</v>
      </c>
      <c r="AE6" s="71" t="s">
        <v>14</v>
      </c>
      <c r="AF6" s="16" t="s">
        <v>25</v>
      </c>
      <c r="AG6" s="16" t="s">
        <v>26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2" t="s">
        <v>83</v>
      </c>
      <c r="X7" s="73" t="s">
        <v>30</v>
      </c>
      <c r="Y7" s="73" t="s">
        <v>31</v>
      </c>
      <c r="Z7" s="73" t="s">
        <v>32</v>
      </c>
      <c r="AA7" s="73" t="s">
        <v>33</v>
      </c>
      <c r="AB7" s="73" t="s">
        <v>34</v>
      </c>
      <c r="AC7" s="73" t="s">
        <v>35</v>
      </c>
      <c r="AD7" s="73" t="s">
        <v>36</v>
      </c>
      <c r="AE7" s="73" t="s">
        <v>37</v>
      </c>
      <c r="AF7" s="27"/>
      <c r="AG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4"/>
      <c r="AA8" s="74"/>
      <c r="AB8" s="76"/>
      <c r="AC8" s="74"/>
      <c r="AD8" s="74"/>
      <c r="AE8" s="74"/>
      <c r="AF8" s="133">
        <f t="shared" ref="AF8:AF13" si="1">SUM(X8:AE8)</f>
        <v>0</v>
      </c>
      <c r="AG8" s="37">
        <f>(H8+AF8)-I8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4"/>
      <c r="AA9" s="74"/>
      <c r="AB9" s="76"/>
      <c r="AC9" s="74"/>
      <c r="AD9" s="74"/>
      <c r="AE9" s="74"/>
      <c r="AF9" s="133">
        <f t="shared" si="1"/>
        <v>0</v>
      </c>
      <c r="AG9" s="37">
        <f>(H9+AF9)-I9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Q10-W10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9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78"/>
      <c r="AF10" s="41">
        <f t="shared" si="1"/>
        <v>15</v>
      </c>
      <c r="AG10" s="42">
        <f>(H10+AF10)-I10</f>
        <v>-2.0756608132257952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 t="shared" ref="AR10:AR29" si="7">AQ10-I10</f>
        <v>-2.2806992425785211E-2</v>
      </c>
      <c r="AT10">
        <v>1007.59009361267</v>
      </c>
      <c r="AU10" s="46">
        <f>W10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9">
        <v>6.0589568905517144</v>
      </c>
      <c r="X11" s="77"/>
      <c r="Y11" s="77"/>
      <c r="Z11" s="77"/>
      <c r="AA11" s="77"/>
      <c r="AB11" s="77"/>
      <c r="AC11" s="77"/>
      <c r="AD11" s="77"/>
      <c r="AE11" s="77"/>
      <c r="AF11" s="41">
        <f t="shared" si="1"/>
        <v>0</v>
      </c>
      <c r="AG11" s="42">
        <f>(H11+AF11)-I11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 t="shared" si="7"/>
        <v>-2.534686744593273E-2</v>
      </c>
      <c r="AT11">
        <v>1016.63834762573</v>
      </c>
      <c r="AU11" s="46">
        <f>W11</f>
        <v>6.0589568905517144</v>
      </c>
      <c r="AV11" s="46">
        <f t="shared" ref="AV11:AV28" si="8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9">H12+P12-Q12</f>
        <v>-7.5889205675269977</v>
      </c>
      <c r="T12" s="10"/>
      <c r="V12" s="80" t="str">
        <f t="shared" si="6"/>
        <v>2020-21</v>
      </c>
      <c r="W12" s="75">
        <v>0</v>
      </c>
      <c r="X12" s="80"/>
      <c r="Y12" s="80"/>
      <c r="Z12" s="80"/>
      <c r="AA12" s="80"/>
      <c r="AB12" s="80"/>
      <c r="AC12" s="80"/>
      <c r="AD12" s="80"/>
      <c r="AE12" s="80"/>
      <c r="AF12" s="59">
        <f t="shared" si="1"/>
        <v>0</v>
      </c>
      <c r="AG12" s="32">
        <f t="shared" ref="AG12:AG33" si="10">AF12+H12-I12</f>
        <v>35.454700000000003</v>
      </c>
      <c r="AH12" s="67"/>
      <c r="AI12" s="44">
        <v>1035.500620567527</v>
      </c>
      <c r="AJ12" s="45">
        <f t="shared" ref="AJ12:AJ29" si="11">I12-AI12</f>
        <v>-78.498320567527003</v>
      </c>
      <c r="AK12" s="43">
        <f t="shared" ref="AK12:AK32" si="12">J12</f>
        <v>35.454700000000003</v>
      </c>
      <c r="AL12" s="66">
        <f t="shared" ref="AL12:AL32" si="13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 t="shared" si="7"/>
        <v>79.295233035279921</v>
      </c>
      <c r="AT12">
        <v>1025.8805351257299</v>
      </c>
      <c r="AU12" s="46">
        <f t="shared" ref="AU12:AU29" si="14">W13</f>
        <v>0</v>
      </c>
      <c r="AV12" s="46">
        <f t="shared" si="8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0</v>
      </c>
      <c r="M13" s="50"/>
      <c r="N13" s="51">
        <v>-3.1532888603364881</v>
      </c>
      <c r="O13" s="50"/>
      <c r="P13" s="32">
        <f t="shared" si="3"/>
        <v>-3.1532888603364881</v>
      </c>
      <c r="Q13" s="37">
        <f t="shared" si="4"/>
        <v>957.00229999999999</v>
      </c>
      <c r="R13" s="37">
        <f t="shared" si="5"/>
        <v>957.00229999999999</v>
      </c>
      <c r="S13" s="33">
        <f t="shared" si="9"/>
        <v>82.301411139663401</v>
      </c>
      <c r="T13" s="10"/>
      <c r="V13" s="80" t="str">
        <f t="shared" si="6"/>
        <v>2021-22</v>
      </c>
      <c r="W13" s="81">
        <v>0</v>
      </c>
      <c r="X13" s="80"/>
      <c r="Y13" s="80"/>
      <c r="Z13" s="80"/>
      <c r="AA13" s="80"/>
      <c r="AB13" s="80"/>
      <c r="AC13" s="80"/>
      <c r="AD13" s="80"/>
      <c r="AE13" s="80"/>
      <c r="AF13" s="59">
        <f t="shared" si="1"/>
        <v>0</v>
      </c>
      <c r="AG13" s="32">
        <f t="shared" si="10"/>
        <v>85.454699999999889</v>
      </c>
      <c r="AH13" s="67"/>
      <c r="AI13" s="44">
        <v>1045.6102888603364</v>
      </c>
      <c r="AJ13" s="45">
        <f t="shared" si="11"/>
        <v>-88.607988860336377</v>
      </c>
      <c r="AK13" s="43">
        <f t="shared" si="12"/>
        <v>85.454699999999889</v>
      </c>
      <c r="AL13" s="66">
        <f t="shared" si="13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 t="shared" si="7"/>
        <v>92.182644152829994</v>
      </c>
      <c r="AT13">
        <v>1034.72814559937</v>
      </c>
      <c r="AU13" s="46">
        <f t="shared" si="14"/>
        <v>0</v>
      </c>
      <c r="AV13" s="46">
        <f t="shared" si="8"/>
        <v>1034.72814559937</v>
      </c>
    </row>
    <row r="14" spans="2:48" x14ac:dyDescent="0.25">
      <c r="B14" s="28" t="s">
        <v>47</v>
      </c>
      <c r="C14" s="29"/>
      <c r="D14" s="30">
        <f t="shared" ref="D14:D33" si="15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949.67129629143062</v>
      </c>
      <c r="J14" s="33">
        <f t="shared" si="0"/>
        <v>92.785703708569258</v>
      </c>
      <c r="K14" s="34"/>
      <c r="L14" s="32">
        <f>W14</f>
        <v>0</v>
      </c>
      <c r="M14" s="53"/>
      <c r="N14" s="54"/>
      <c r="O14" s="50"/>
      <c r="P14" s="32">
        <f t="shared" si="3"/>
        <v>0</v>
      </c>
      <c r="Q14" s="37">
        <f t="shared" si="4"/>
        <v>949.67129629143062</v>
      </c>
      <c r="R14" s="37">
        <f t="shared" si="5"/>
        <v>949.67129629143062</v>
      </c>
      <c r="S14" s="33">
        <f t="shared" si="9"/>
        <v>92.785703708569258</v>
      </c>
      <c r="T14" s="10"/>
      <c r="V14" s="80" t="str">
        <f t="shared" si="6"/>
        <v>2022-23</v>
      </c>
      <c r="W14" s="80">
        <v>0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0" t="s">
        <v>82</v>
      </c>
      <c r="AE14" s="80" t="s">
        <v>82</v>
      </c>
      <c r="AF14" s="59">
        <f>SUM(W14:AE14)</f>
        <v>0</v>
      </c>
      <c r="AG14" s="32">
        <f t="shared" si="10"/>
        <v>92.785703708569258</v>
      </c>
      <c r="AH14" s="67"/>
      <c r="AI14" s="44">
        <v>1053.5407413432795</v>
      </c>
      <c r="AJ14" s="45">
        <f t="shared" si="11"/>
        <v>-103.86944505184886</v>
      </c>
      <c r="AK14" s="43">
        <f t="shared" si="12"/>
        <v>92.785703708569258</v>
      </c>
      <c r="AL14" s="66">
        <f t="shared" si="13"/>
        <v>23.785703708569258</v>
      </c>
      <c r="AM14" s="52"/>
      <c r="AO14" s="46">
        <v>45286</v>
      </c>
      <c r="AP14" s="43">
        <v>1051.6916141510001</v>
      </c>
      <c r="AQ14" s="46">
        <v>1057.5920944213899</v>
      </c>
      <c r="AR14" s="46">
        <f t="shared" si="7"/>
        <v>107.92079812995928</v>
      </c>
      <c r="AT14">
        <v>1039.08507537842</v>
      </c>
      <c r="AU14" s="46">
        <f t="shared" si="14"/>
        <v>0</v>
      </c>
      <c r="AV14" s="46">
        <f t="shared" si="8"/>
        <v>1039.08507537842</v>
      </c>
    </row>
    <row r="15" spans="2:48" x14ac:dyDescent="0.25">
      <c r="B15" s="28" t="s">
        <v>48</v>
      </c>
      <c r="C15" s="29"/>
      <c r="D15" s="30">
        <f t="shared" si="15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952.68690440932323</v>
      </c>
      <c r="J15" s="33">
        <f t="shared" si="0"/>
        <v>89.770095590676647</v>
      </c>
      <c r="K15" s="34"/>
      <c r="L15" s="32">
        <f t="shared" ref="L15:L33" si="16">W15</f>
        <v>0</v>
      </c>
      <c r="M15" s="53"/>
      <c r="N15" s="54"/>
      <c r="O15" s="50"/>
      <c r="P15" s="32">
        <f t="shared" si="3"/>
        <v>0</v>
      </c>
      <c r="Q15" s="37">
        <f t="shared" si="4"/>
        <v>952.68690440932323</v>
      </c>
      <c r="R15" s="37">
        <f t="shared" si="5"/>
        <v>952.68690440932323</v>
      </c>
      <c r="S15" s="33">
        <f t="shared" si="9"/>
        <v>89.770095590676647</v>
      </c>
      <c r="T15" s="10"/>
      <c r="V15" s="80" t="str">
        <f t="shared" si="6"/>
        <v>2023-24</v>
      </c>
      <c r="W15" s="80">
        <v>0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>
        <v>15</v>
      </c>
      <c r="AD15" s="80" t="s">
        <v>82</v>
      </c>
      <c r="AE15" s="80" t="s">
        <v>82</v>
      </c>
      <c r="AF15" s="59">
        <f t="shared" ref="AF15:AF33" si="17">SUM(W15:AE15)</f>
        <v>15</v>
      </c>
      <c r="AG15" s="32">
        <f t="shared" si="10"/>
        <v>104.77009559067665</v>
      </c>
      <c r="AH15" s="67"/>
      <c r="AI15" s="44">
        <v>1062.70947981108</v>
      </c>
      <c r="AJ15" s="45">
        <f t="shared" si="11"/>
        <v>-110.02257540175674</v>
      </c>
      <c r="AK15" s="43">
        <f t="shared" si="12"/>
        <v>89.770095590676647</v>
      </c>
      <c r="AL15" s="66">
        <f t="shared" si="13"/>
        <v>20.770095590676647</v>
      </c>
      <c r="AM15" s="52"/>
      <c r="AO15" s="46">
        <v>45652</v>
      </c>
      <c r="AP15" s="43">
        <v>1061.69411087036</v>
      </c>
      <c r="AQ15" s="46">
        <v>1073.9486598968499</v>
      </c>
      <c r="AR15" s="46">
        <f t="shared" si="7"/>
        <v>121.26175548752667</v>
      </c>
      <c r="AT15">
        <v>1051.30883216858</v>
      </c>
      <c r="AU15" s="46">
        <f t="shared" si="14"/>
        <v>0</v>
      </c>
      <c r="AV15" s="46">
        <f t="shared" si="8"/>
        <v>1051.30883216858</v>
      </c>
    </row>
    <row r="16" spans="2:48" x14ac:dyDescent="0.25">
      <c r="B16" s="28" t="s">
        <v>49</v>
      </c>
      <c r="C16" s="29"/>
      <c r="D16" s="30">
        <f t="shared" si="15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956.80865908870805</v>
      </c>
      <c r="J16" s="33">
        <f t="shared" si="0"/>
        <v>85.648340911291825</v>
      </c>
      <c r="K16" s="34"/>
      <c r="L16" s="32">
        <f t="shared" si="16"/>
        <v>0</v>
      </c>
      <c r="M16" s="53"/>
      <c r="N16" s="54"/>
      <c r="O16" s="50"/>
      <c r="P16" s="32">
        <f t="shared" si="3"/>
        <v>0</v>
      </c>
      <c r="Q16" s="37">
        <f t="shared" si="4"/>
        <v>956.80865908870805</v>
      </c>
      <c r="R16" s="37">
        <f t="shared" si="5"/>
        <v>956.80865908870805</v>
      </c>
      <c r="S16" s="33">
        <f t="shared" si="9"/>
        <v>85.648340911291825</v>
      </c>
      <c r="T16" s="10"/>
      <c r="V16" s="80" t="str">
        <f t="shared" si="6"/>
        <v>2024-25</v>
      </c>
      <c r="W16" s="80">
        <v>0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>
        <v>15</v>
      </c>
      <c r="AD16" s="80" t="s">
        <v>82</v>
      </c>
      <c r="AE16" s="80" t="s">
        <v>82</v>
      </c>
      <c r="AF16" s="59">
        <f t="shared" si="17"/>
        <v>15</v>
      </c>
      <c r="AG16" s="32">
        <f t="shared" si="10"/>
        <v>100.64834091129183</v>
      </c>
      <c r="AH16" s="67"/>
      <c r="AI16" s="44">
        <v>1069.875394233997</v>
      </c>
      <c r="AJ16" s="45">
        <f t="shared" si="11"/>
        <v>-113.06673514528893</v>
      </c>
      <c r="AK16" s="43">
        <f t="shared" si="12"/>
        <v>85.648340911291825</v>
      </c>
      <c r="AL16" s="66">
        <f t="shared" si="13"/>
        <v>16.648340911291825</v>
      </c>
      <c r="AM16" s="52"/>
      <c r="AO16" s="46">
        <v>46017</v>
      </c>
      <c r="AP16" s="43">
        <v>1068.4566287994401</v>
      </c>
      <c r="AQ16" s="46">
        <v>1088.2765007019</v>
      </c>
      <c r="AR16" s="46">
        <f t="shared" si="7"/>
        <v>131.46784161319192</v>
      </c>
      <c r="AT16">
        <v>1061.2161140441899</v>
      </c>
      <c r="AU16" s="46">
        <f t="shared" si="14"/>
        <v>0</v>
      </c>
      <c r="AV16" s="46">
        <f t="shared" si="8"/>
        <v>1061.2161140441899</v>
      </c>
    </row>
    <row r="17" spans="2:48" x14ac:dyDescent="0.25">
      <c r="B17" s="28" t="s">
        <v>50</v>
      </c>
      <c r="C17" s="29"/>
      <c r="D17" s="30">
        <f t="shared" si="15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959.53951477929741</v>
      </c>
      <c r="J17" s="33">
        <f t="shared" si="0"/>
        <v>82.917485220702474</v>
      </c>
      <c r="K17" s="34"/>
      <c r="L17" s="32">
        <f t="shared" si="16"/>
        <v>0</v>
      </c>
      <c r="M17" s="53"/>
      <c r="N17" s="54"/>
      <c r="O17" s="50"/>
      <c r="P17" s="32">
        <f t="shared" si="3"/>
        <v>0</v>
      </c>
      <c r="Q17" s="37">
        <f t="shared" si="4"/>
        <v>959.53951477929741</v>
      </c>
      <c r="R17" s="37">
        <f t="shared" si="5"/>
        <v>959.53951477929741</v>
      </c>
      <c r="S17" s="33">
        <f t="shared" si="9"/>
        <v>82.917485220702474</v>
      </c>
      <c r="T17" s="10"/>
      <c r="V17" s="80" t="str">
        <f t="shared" si="6"/>
        <v>2025-26</v>
      </c>
      <c r="W17" s="80">
        <v>0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>
        <v>15</v>
      </c>
      <c r="AD17" s="80" t="s">
        <v>82</v>
      </c>
      <c r="AE17" s="80" t="s">
        <v>82</v>
      </c>
      <c r="AF17" s="59">
        <f t="shared" si="17"/>
        <v>15</v>
      </c>
      <c r="AG17" s="32">
        <f t="shared" si="10"/>
        <v>97.917485220702474</v>
      </c>
      <c r="AH17" s="67"/>
      <c r="AI17" s="44">
        <v>1074.046576766304</v>
      </c>
      <c r="AJ17" s="45">
        <f t="shared" si="11"/>
        <v>-114.50706198700664</v>
      </c>
      <c r="AK17" s="43">
        <f t="shared" si="12"/>
        <v>82.917485220702474</v>
      </c>
      <c r="AL17" s="66">
        <f t="shared" si="13"/>
        <v>13.917485220702474</v>
      </c>
      <c r="AM17" s="52"/>
      <c r="AO17" s="46">
        <v>46382</v>
      </c>
      <c r="AP17" s="43">
        <v>1077.6138305664099</v>
      </c>
      <c r="AQ17" s="46">
        <v>1099.434425354</v>
      </c>
      <c r="AR17" s="46">
        <f t="shared" si="7"/>
        <v>139.89491057470264</v>
      </c>
      <c r="AT17">
        <v>1067.8715152740499</v>
      </c>
      <c r="AU17" s="46">
        <f t="shared" si="14"/>
        <v>0</v>
      </c>
      <c r="AV17" s="46">
        <f t="shared" si="8"/>
        <v>1067.8715152740499</v>
      </c>
    </row>
    <row r="18" spans="2:48" x14ac:dyDescent="0.25">
      <c r="B18" s="28" t="s">
        <v>51</v>
      </c>
      <c r="C18" s="29"/>
      <c r="D18" s="30">
        <f t="shared" si="15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966.02924459860526</v>
      </c>
      <c r="J18" s="33">
        <f t="shared" si="0"/>
        <v>76.42775540139462</v>
      </c>
      <c r="K18" s="34"/>
      <c r="L18" s="32">
        <f t="shared" si="16"/>
        <v>0</v>
      </c>
      <c r="M18" s="53"/>
      <c r="N18" s="54"/>
      <c r="O18" s="50"/>
      <c r="P18" s="32">
        <f t="shared" si="3"/>
        <v>0</v>
      </c>
      <c r="Q18" s="37">
        <f t="shared" si="4"/>
        <v>966.02924459860526</v>
      </c>
      <c r="R18" s="37">
        <f t="shared" si="5"/>
        <v>966.02924459860526</v>
      </c>
      <c r="S18" s="33">
        <f t="shared" si="9"/>
        <v>76.42775540139462</v>
      </c>
      <c r="T18" s="10"/>
      <c r="V18" s="80" t="str">
        <f t="shared" si="6"/>
        <v>2026-27</v>
      </c>
      <c r="W18" s="80">
        <v>0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>
        <v>15</v>
      </c>
      <c r="AD18" s="80" t="s">
        <v>82</v>
      </c>
      <c r="AE18" s="80" t="s">
        <v>82</v>
      </c>
      <c r="AF18" s="59">
        <f t="shared" si="17"/>
        <v>15</v>
      </c>
      <c r="AG18" s="32">
        <f t="shared" si="10"/>
        <v>91.42775540139462</v>
      </c>
      <c r="AH18" s="67"/>
      <c r="AI18" s="44">
        <v>1081.3726145732787</v>
      </c>
      <c r="AJ18" s="45">
        <f t="shared" si="11"/>
        <v>-115.34336997467346</v>
      </c>
      <c r="AK18" s="43">
        <f t="shared" si="12"/>
        <v>76.42775540139462</v>
      </c>
      <c r="AL18" s="66">
        <f t="shared" si="13"/>
        <v>7.4277554013946201</v>
      </c>
      <c r="AM18" s="52"/>
      <c r="AO18" s="46">
        <v>46747</v>
      </c>
      <c r="AP18" s="43">
        <v>1083.91345024109</v>
      </c>
      <c r="AQ18" s="46">
        <v>1112.8700542449999</v>
      </c>
      <c r="AR18" s="46">
        <f t="shared" si="7"/>
        <v>146.84080964639463</v>
      </c>
      <c r="AT18">
        <v>1076.90893554688</v>
      </c>
      <c r="AU18" s="46">
        <f t="shared" si="14"/>
        <v>0</v>
      </c>
      <c r="AV18" s="46">
        <f t="shared" si="8"/>
        <v>1076.90893554688</v>
      </c>
    </row>
    <row r="19" spans="2:48" x14ac:dyDescent="0.25">
      <c r="B19" s="28" t="s">
        <v>52</v>
      </c>
      <c r="C19" s="29"/>
      <c r="D19" s="30">
        <f t="shared" si="15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974.37910970644509</v>
      </c>
      <c r="J19" s="33">
        <f t="shared" si="0"/>
        <v>68.077890293554788</v>
      </c>
      <c r="K19" s="34"/>
      <c r="L19" s="32">
        <f t="shared" si="16"/>
        <v>0</v>
      </c>
      <c r="M19" s="53"/>
      <c r="N19" s="54"/>
      <c r="O19" s="50"/>
      <c r="P19" s="32">
        <f t="shared" si="3"/>
        <v>0</v>
      </c>
      <c r="Q19" s="37">
        <f t="shared" si="4"/>
        <v>974.37910970644509</v>
      </c>
      <c r="R19" s="37">
        <f t="shared" si="5"/>
        <v>974.37910970644509</v>
      </c>
      <c r="S19" s="33">
        <f t="shared" si="9"/>
        <v>68.077890293554788</v>
      </c>
      <c r="T19" s="10"/>
      <c r="V19" s="80" t="str">
        <f t="shared" si="6"/>
        <v>2027-28</v>
      </c>
      <c r="W19" s="80">
        <v>0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>
        <v>15</v>
      </c>
      <c r="AD19" s="80" t="s">
        <v>82</v>
      </c>
      <c r="AE19" s="80" t="s">
        <v>82</v>
      </c>
      <c r="AF19" s="59">
        <f t="shared" si="17"/>
        <v>15</v>
      </c>
      <c r="AG19" s="32">
        <f t="shared" si="10"/>
        <v>83.077890293554788</v>
      </c>
      <c r="AH19" s="67"/>
      <c r="AI19" s="44">
        <v>1088.9478443321157</v>
      </c>
      <c r="AJ19" s="45">
        <f t="shared" si="11"/>
        <v>-114.56873462567057</v>
      </c>
      <c r="AK19" s="43">
        <f t="shared" si="12"/>
        <v>68.077890293554788</v>
      </c>
      <c r="AL19" s="66">
        <f t="shared" si="13"/>
        <v>-0.9221097064452124</v>
      </c>
      <c r="AM19" s="52"/>
      <c r="AO19" s="46">
        <v>47113</v>
      </c>
      <c r="AP19" s="43">
        <v>1092.7315940856899</v>
      </c>
      <c r="AQ19" s="46">
        <v>1123.43689346313</v>
      </c>
      <c r="AR19" s="46">
        <f t="shared" si="7"/>
        <v>149.0577837566849</v>
      </c>
      <c r="AT19">
        <v>1083.0756511688201</v>
      </c>
      <c r="AU19" s="46">
        <f t="shared" si="14"/>
        <v>0</v>
      </c>
      <c r="AV19" s="46">
        <f t="shared" si="8"/>
        <v>1083.0756511688201</v>
      </c>
    </row>
    <row r="20" spans="2:48" x14ac:dyDescent="0.25">
      <c r="B20" s="28" t="s">
        <v>53</v>
      </c>
      <c r="C20" s="29"/>
      <c r="D20" s="30">
        <f t="shared" si="15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979.87498703952895</v>
      </c>
      <c r="J20" s="33">
        <f t="shared" si="0"/>
        <v>62.582012960470934</v>
      </c>
      <c r="K20" s="34"/>
      <c r="L20" s="32">
        <f t="shared" si="16"/>
        <v>0</v>
      </c>
      <c r="M20" s="53"/>
      <c r="N20" s="54"/>
      <c r="O20" s="50"/>
      <c r="P20" s="32">
        <f t="shared" si="3"/>
        <v>0</v>
      </c>
      <c r="Q20" s="37">
        <f t="shared" si="4"/>
        <v>979.87498703952895</v>
      </c>
      <c r="R20" s="37">
        <f t="shared" si="5"/>
        <v>979.87498703952895</v>
      </c>
      <c r="S20" s="33">
        <f t="shared" si="9"/>
        <v>62.582012960470934</v>
      </c>
      <c r="T20" s="10"/>
      <c r="V20" s="80" t="str">
        <f t="shared" si="6"/>
        <v>2028-29</v>
      </c>
      <c r="W20" s="80">
        <v>0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>
        <v>15</v>
      </c>
      <c r="AD20" s="80" t="s">
        <v>82</v>
      </c>
      <c r="AE20" s="80" t="s">
        <v>82</v>
      </c>
      <c r="AF20" s="59">
        <f t="shared" si="17"/>
        <v>15</v>
      </c>
      <c r="AG20" s="32">
        <f t="shared" si="10"/>
        <v>77.582012960470934</v>
      </c>
      <c r="AH20" s="67"/>
      <c r="AI20" s="44">
        <v>1096.2966233757172</v>
      </c>
      <c r="AJ20" s="45">
        <f t="shared" si="11"/>
        <v>-116.42163633618827</v>
      </c>
      <c r="AK20" s="43">
        <f t="shared" si="12"/>
        <v>62.582012960470934</v>
      </c>
      <c r="AL20" s="66">
        <f t="shared" si="13"/>
        <v>-6.4179870395290664</v>
      </c>
      <c r="AM20" s="52"/>
      <c r="AO20" s="46">
        <v>47478</v>
      </c>
      <c r="AP20" s="43">
        <v>1106.82481765747</v>
      </c>
      <c r="AQ20" s="46">
        <v>1136.34985542297</v>
      </c>
      <c r="AR20" s="46">
        <f t="shared" si="7"/>
        <v>156.47486838344105</v>
      </c>
      <c r="AT20">
        <v>1091.7492027282699</v>
      </c>
      <c r="AU20" s="46">
        <f t="shared" si="14"/>
        <v>0</v>
      </c>
      <c r="AV20" s="46">
        <f t="shared" si="8"/>
        <v>1091.7492027282699</v>
      </c>
    </row>
    <row r="21" spans="2:48" x14ac:dyDescent="0.25">
      <c r="B21" s="28" t="s">
        <v>54</v>
      </c>
      <c r="C21" s="29"/>
      <c r="D21" s="30">
        <f t="shared" si="15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982.9537652294274</v>
      </c>
      <c r="J21" s="33">
        <f t="shared" si="0"/>
        <v>59.503234770572476</v>
      </c>
      <c r="K21" s="34"/>
      <c r="L21" s="32">
        <f t="shared" si="16"/>
        <v>0</v>
      </c>
      <c r="M21" s="53"/>
      <c r="N21" s="54"/>
      <c r="O21" s="50"/>
      <c r="P21" s="32">
        <f t="shared" si="3"/>
        <v>0</v>
      </c>
      <c r="Q21" s="37">
        <f t="shared" si="4"/>
        <v>982.9537652294274</v>
      </c>
      <c r="R21" s="37">
        <f t="shared" si="5"/>
        <v>982.9537652294274</v>
      </c>
      <c r="S21" s="33">
        <f t="shared" si="9"/>
        <v>59.503234770572476</v>
      </c>
      <c r="T21" s="10"/>
      <c r="V21" s="80" t="str">
        <f t="shared" si="6"/>
        <v>2029-30</v>
      </c>
      <c r="W21" s="80">
        <v>0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>
        <v>15</v>
      </c>
      <c r="AD21" s="80" t="s">
        <v>82</v>
      </c>
      <c r="AE21" s="80" t="s">
        <v>82</v>
      </c>
      <c r="AF21" s="59">
        <f t="shared" si="17"/>
        <v>15</v>
      </c>
      <c r="AG21" s="32">
        <f t="shared" si="10"/>
        <v>74.503234770572476</v>
      </c>
      <c r="AH21" s="67"/>
      <c r="AI21" s="44">
        <v>1102.2936430343566</v>
      </c>
      <c r="AJ21" s="45">
        <f t="shared" si="11"/>
        <v>-119.33987780492919</v>
      </c>
      <c r="AK21" s="43">
        <f t="shared" si="12"/>
        <v>59.503234770572476</v>
      </c>
      <c r="AL21" s="66">
        <f t="shared" si="13"/>
        <v>-9.496765229427524</v>
      </c>
      <c r="AM21" s="52"/>
      <c r="AO21" s="46">
        <v>47843</v>
      </c>
      <c r="AP21" s="43">
        <v>1120.82166290283</v>
      </c>
      <c r="AQ21" s="46">
        <v>1154.4859790802</v>
      </c>
      <c r="AR21" s="46">
        <f t="shared" si="7"/>
        <v>171.53221385077256</v>
      </c>
      <c r="AT21">
        <v>1105.69041824341</v>
      </c>
      <c r="AU21" s="46">
        <f t="shared" si="14"/>
        <v>0</v>
      </c>
      <c r="AV21" s="46">
        <f t="shared" si="8"/>
        <v>1105.69041824341</v>
      </c>
    </row>
    <row r="22" spans="2:48" x14ac:dyDescent="0.25">
      <c r="B22" s="28" t="s">
        <v>55</v>
      </c>
      <c r="C22" s="29"/>
      <c r="D22" s="30">
        <f t="shared" si="15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987.67272501402829</v>
      </c>
      <c r="J22" s="33">
        <f t="shared" si="0"/>
        <v>54.784274985971592</v>
      </c>
      <c r="K22" s="34"/>
      <c r="L22" s="32">
        <f t="shared" si="16"/>
        <v>0</v>
      </c>
      <c r="M22" s="53"/>
      <c r="N22" s="54"/>
      <c r="O22" s="50"/>
      <c r="P22" s="32">
        <f t="shared" si="3"/>
        <v>0</v>
      </c>
      <c r="Q22" s="37">
        <f t="shared" si="4"/>
        <v>987.67272501402829</v>
      </c>
      <c r="R22" s="37">
        <f t="shared" si="5"/>
        <v>987.67272501402829</v>
      </c>
      <c r="S22" s="33">
        <f t="shared" si="9"/>
        <v>54.784274985971592</v>
      </c>
      <c r="T22" s="10"/>
      <c r="V22" s="80" t="str">
        <f t="shared" si="6"/>
        <v>2030-31</v>
      </c>
      <c r="W22" s="80">
        <v>0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>
        <v>15</v>
      </c>
      <c r="AD22" s="80" t="s">
        <v>82</v>
      </c>
      <c r="AE22" s="80" t="s">
        <v>82</v>
      </c>
      <c r="AF22" s="59">
        <f t="shared" si="17"/>
        <v>15</v>
      </c>
      <c r="AG22" s="32">
        <f t="shared" si="10"/>
        <v>69.784274985971592</v>
      </c>
      <c r="AH22" s="67"/>
      <c r="AI22" s="44">
        <v>1110.8754963941149</v>
      </c>
      <c r="AJ22" s="45">
        <f t="shared" si="11"/>
        <v>-123.20277138008657</v>
      </c>
      <c r="AK22" s="43">
        <f t="shared" si="12"/>
        <v>54.784274985971592</v>
      </c>
      <c r="AL22" s="66">
        <f t="shared" si="13"/>
        <v>-14.215725014028408</v>
      </c>
      <c r="AM22" s="52"/>
      <c r="AO22" s="46">
        <v>48208</v>
      </c>
      <c r="AP22" s="43">
        <v>1135.16237449646</v>
      </c>
      <c r="AQ22" s="46">
        <v>1172.75867652893</v>
      </c>
      <c r="AR22" s="46">
        <f t="shared" si="7"/>
        <v>185.08595151490169</v>
      </c>
      <c r="AT22">
        <v>1119.53256988525</v>
      </c>
      <c r="AU22" s="46">
        <f t="shared" si="14"/>
        <v>0</v>
      </c>
      <c r="AV22" s="46">
        <f t="shared" si="8"/>
        <v>1119.53256988525</v>
      </c>
    </row>
    <row r="23" spans="2:48" x14ac:dyDescent="0.25">
      <c r="B23" s="28" t="s">
        <v>56</v>
      </c>
      <c r="C23" s="29"/>
      <c r="D23" s="30">
        <f t="shared" si="15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994.11736911426294</v>
      </c>
      <c r="J23" s="33">
        <f t="shared" si="0"/>
        <v>48.339630885736938</v>
      </c>
      <c r="K23" s="34"/>
      <c r="L23" s="32">
        <f t="shared" si="16"/>
        <v>0</v>
      </c>
      <c r="M23" s="53"/>
      <c r="N23" s="54"/>
      <c r="O23" s="50"/>
      <c r="P23" s="32">
        <f t="shared" si="3"/>
        <v>0</v>
      </c>
      <c r="Q23" s="37">
        <f t="shared" si="4"/>
        <v>994.11736911426294</v>
      </c>
      <c r="R23" s="37">
        <f t="shared" si="5"/>
        <v>994.11736911426294</v>
      </c>
      <c r="S23" s="33">
        <f t="shared" si="9"/>
        <v>48.339630885736938</v>
      </c>
      <c r="T23" s="10"/>
      <c r="V23" s="80" t="str">
        <f t="shared" si="6"/>
        <v>2031-32</v>
      </c>
      <c r="W23" s="80">
        <v>0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>
        <v>15</v>
      </c>
      <c r="AD23" s="80" t="s">
        <v>82</v>
      </c>
      <c r="AE23" s="80" t="s">
        <v>82</v>
      </c>
      <c r="AF23" s="59">
        <f t="shared" si="17"/>
        <v>15</v>
      </c>
      <c r="AG23" s="32">
        <f t="shared" si="10"/>
        <v>63.339630885736938</v>
      </c>
      <c r="AH23" s="67"/>
      <c r="AI23" s="44">
        <v>1118.7950078327895</v>
      </c>
      <c r="AJ23" s="45">
        <f t="shared" si="11"/>
        <v>-124.67763871852651</v>
      </c>
      <c r="AK23" s="43">
        <f t="shared" si="12"/>
        <v>48.339630885736938</v>
      </c>
      <c r="AL23" s="66">
        <f t="shared" si="13"/>
        <v>-20.660369114263062</v>
      </c>
      <c r="AM23" s="52"/>
      <c r="AO23" s="46">
        <v>48574</v>
      </c>
      <c r="AP23" s="43">
        <v>1150.0301227569601</v>
      </c>
      <c r="AQ23" s="46">
        <v>1191.45956802368</v>
      </c>
      <c r="AR23" s="46">
        <f t="shared" si="7"/>
        <v>197.34219890941711</v>
      </c>
      <c r="AT23">
        <v>1133.72337913513</v>
      </c>
      <c r="AU23" s="46">
        <f t="shared" si="14"/>
        <v>0</v>
      </c>
      <c r="AV23" s="46">
        <f t="shared" si="8"/>
        <v>1133.72337913513</v>
      </c>
    </row>
    <row r="24" spans="2:48" x14ac:dyDescent="0.25">
      <c r="B24" s="28" t="s">
        <v>57</v>
      </c>
      <c r="C24" s="29"/>
      <c r="D24" s="30">
        <f t="shared" si="15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1001.2315904227033</v>
      </c>
      <c r="J24" s="33">
        <f t="shared" si="0"/>
        <v>41.225409577296546</v>
      </c>
      <c r="K24" s="34"/>
      <c r="L24" s="32">
        <f t="shared" si="16"/>
        <v>0</v>
      </c>
      <c r="M24" s="53"/>
      <c r="N24" s="54"/>
      <c r="O24" s="50"/>
      <c r="P24" s="32">
        <f t="shared" si="3"/>
        <v>0</v>
      </c>
      <c r="Q24" s="37">
        <f t="shared" si="4"/>
        <v>1001.2315904227033</v>
      </c>
      <c r="R24" s="37">
        <f t="shared" si="5"/>
        <v>1001.2315904227033</v>
      </c>
      <c r="S24" s="33">
        <f t="shared" si="9"/>
        <v>41.225409577296546</v>
      </c>
      <c r="T24" s="10"/>
      <c r="V24" s="80" t="str">
        <f t="shared" si="6"/>
        <v>2032-33</v>
      </c>
      <c r="W24" s="80">
        <v>0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>
        <v>15</v>
      </c>
      <c r="AD24" s="80" t="s">
        <v>82</v>
      </c>
      <c r="AE24" s="80" t="s">
        <v>82</v>
      </c>
      <c r="AF24" s="59">
        <f t="shared" si="17"/>
        <v>15</v>
      </c>
      <c r="AG24" s="32">
        <f t="shared" si="10"/>
        <v>56.225409577296546</v>
      </c>
      <c r="AH24" s="67"/>
      <c r="AI24" s="44">
        <v>1128.6245193965246</v>
      </c>
      <c r="AJ24" s="45">
        <f t="shared" si="11"/>
        <v>-127.39292897382131</v>
      </c>
      <c r="AK24" s="43">
        <f t="shared" si="12"/>
        <v>41.225409577296546</v>
      </c>
      <c r="AL24" s="66">
        <f t="shared" si="13"/>
        <v>-27.774590422703454</v>
      </c>
      <c r="AM24" s="52"/>
      <c r="AO24" s="46">
        <v>48939</v>
      </c>
      <c r="AP24" s="43">
        <v>1164.92650032043</v>
      </c>
      <c r="AQ24" s="46">
        <v>1210.66847038269</v>
      </c>
      <c r="AR24" s="46">
        <f t="shared" si="7"/>
        <v>209.43687995998664</v>
      </c>
      <c r="AT24">
        <v>1148.4505329132101</v>
      </c>
      <c r="AU24" s="46">
        <f t="shared" si="14"/>
        <v>0</v>
      </c>
      <c r="AV24" s="46">
        <f t="shared" si="8"/>
        <v>1148.4505329132101</v>
      </c>
    </row>
    <row r="25" spans="2:48" x14ac:dyDescent="0.25">
      <c r="B25" s="28" t="s">
        <v>58</v>
      </c>
      <c r="C25" s="29"/>
      <c r="D25" s="30">
        <f t="shared" si="15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1005.0364164264992</v>
      </c>
      <c r="J25" s="33">
        <f t="shared" si="0"/>
        <v>37.420583573500721</v>
      </c>
      <c r="K25" s="34"/>
      <c r="L25" s="32">
        <f t="shared" si="16"/>
        <v>0</v>
      </c>
      <c r="M25" s="53"/>
      <c r="N25" s="54"/>
      <c r="O25" s="50"/>
      <c r="P25" s="32">
        <f t="shared" si="3"/>
        <v>0</v>
      </c>
      <c r="Q25" s="37">
        <f t="shared" si="4"/>
        <v>1005.0364164264992</v>
      </c>
      <c r="R25" s="37">
        <f t="shared" si="5"/>
        <v>1005.0364164264992</v>
      </c>
      <c r="S25" s="33">
        <f t="shared" si="9"/>
        <v>37.420583573500721</v>
      </c>
      <c r="T25" s="10"/>
      <c r="V25" s="80" t="str">
        <f t="shared" si="6"/>
        <v>2033-34</v>
      </c>
      <c r="W25" s="80">
        <v>0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>
        <v>15</v>
      </c>
      <c r="AD25" s="80" t="s">
        <v>82</v>
      </c>
      <c r="AE25" s="80" t="s">
        <v>82</v>
      </c>
      <c r="AF25" s="59">
        <f t="shared" si="17"/>
        <v>15</v>
      </c>
      <c r="AG25" s="32">
        <f t="shared" si="10"/>
        <v>52.420583573500721</v>
      </c>
      <c r="AH25" s="67"/>
      <c r="AI25" s="44">
        <v>1137.439360122042</v>
      </c>
      <c r="AJ25" s="45">
        <f t="shared" si="11"/>
        <v>-132.40294369554283</v>
      </c>
      <c r="AK25" s="43">
        <f t="shared" si="12"/>
        <v>37.420583573500721</v>
      </c>
      <c r="AL25" s="66">
        <f t="shared" si="13"/>
        <v>-31.579416426499279</v>
      </c>
      <c r="AM25" s="52"/>
      <c r="AO25" s="46">
        <v>49304</v>
      </c>
      <c r="AP25" s="43">
        <v>1179.42799949646</v>
      </c>
      <c r="AQ25" s="46">
        <v>1229.8649024963399</v>
      </c>
      <c r="AR25" s="46">
        <f t="shared" si="7"/>
        <v>224.82848606984078</v>
      </c>
      <c r="AT25">
        <v>1163.2176990508999</v>
      </c>
      <c r="AU25" s="46">
        <f t="shared" si="14"/>
        <v>0</v>
      </c>
      <c r="AV25" s="46">
        <f t="shared" si="8"/>
        <v>1163.2176990508999</v>
      </c>
    </row>
    <row r="26" spans="2:48" x14ac:dyDescent="0.25">
      <c r="B26" s="28" t="s">
        <v>59</v>
      </c>
      <c r="C26" s="29"/>
      <c r="D26" s="30">
        <f t="shared" si="15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1012.4312557246415</v>
      </c>
      <c r="J26" s="33">
        <f t="shared" si="0"/>
        <v>30.02574427535842</v>
      </c>
      <c r="K26" s="34"/>
      <c r="L26" s="32">
        <f t="shared" si="16"/>
        <v>0</v>
      </c>
      <c r="M26" s="53"/>
      <c r="N26" s="54"/>
      <c r="O26" s="50"/>
      <c r="P26" s="32">
        <f t="shared" si="3"/>
        <v>0</v>
      </c>
      <c r="Q26" s="37">
        <f t="shared" si="4"/>
        <v>1012.4312557246415</v>
      </c>
      <c r="R26" s="37">
        <f t="shared" si="5"/>
        <v>1012.4312557246415</v>
      </c>
      <c r="S26" s="33">
        <f t="shared" si="9"/>
        <v>30.02574427535842</v>
      </c>
      <c r="T26" s="10"/>
      <c r="V26" s="80" t="str">
        <f t="shared" si="6"/>
        <v>2034-35</v>
      </c>
      <c r="W26" s="80">
        <v>0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>
        <v>15</v>
      </c>
      <c r="AD26" s="80" t="s">
        <v>82</v>
      </c>
      <c r="AE26" s="80" t="s">
        <v>82</v>
      </c>
      <c r="AF26" s="59">
        <f t="shared" si="17"/>
        <v>15</v>
      </c>
      <c r="AG26" s="32">
        <f t="shared" si="10"/>
        <v>45.02574427535842</v>
      </c>
      <c r="AH26" s="67"/>
      <c r="AI26" s="44">
        <v>1149.2166802752236</v>
      </c>
      <c r="AJ26" s="45">
        <f t="shared" si="11"/>
        <v>-136.78542455058209</v>
      </c>
      <c r="AK26" s="43">
        <f t="shared" si="12"/>
        <v>30.02574427535842</v>
      </c>
      <c r="AL26" s="66">
        <f t="shared" si="13"/>
        <v>-38.97425572464158</v>
      </c>
      <c r="AM26" s="52"/>
      <c r="AO26" s="46">
        <v>49669</v>
      </c>
      <c r="AP26" s="43">
        <v>1195.84828567505</v>
      </c>
      <c r="AQ26" s="46">
        <v>1248.54808998108</v>
      </c>
      <c r="AR26" s="46">
        <f t="shared" si="7"/>
        <v>236.11683425643855</v>
      </c>
      <c r="AT26">
        <v>1177.60448265076</v>
      </c>
      <c r="AU26" s="46">
        <f t="shared" si="14"/>
        <v>0</v>
      </c>
      <c r="AV26" s="46">
        <f t="shared" si="8"/>
        <v>1177.60448265076</v>
      </c>
    </row>
    <row r="27" spans="2:48" x14ac:dyDescent="0.25">
      <c r="B27" s="28" t="s">
        <v>60</v>
      </c>
      <c r="C27" s="29"/>
      <c r="D27" s="30">
        <f t="shared" si="15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1016.6407517092729</v>
      </c>
      <c r="J27" s="33">
        <f t="shared" si="0"/>
        <v>25.816248290727003</v>
      </c>
      <c r="K27" s="34"/>
      <c r="L27" s="32">
        <f t="shared" si="16"/>
        <v>0</v>
      </c>
      <c r="M27" s="53"/>
      <c r="N27" s="54"/>
      <c r="O27" s="50"/>
      <c r="P27" s="32">
        <f t="shared" si="3"/>
        <v>0</v>
      </c>
      <c r="Q27" s="37">
        <f t="shared" si="4"/>
        <v>1016.6407517092729</v>
      </c>
      <c r="R27" s="37">
        <f t="shared" si="5"/>
        <v>1016.6407517092729</v>
      </c>
      <c r="S27" s="33">
        <f t="shared" si="9"/>
        <v>25.816248290727003</v>
      </c>
      <c r="T27" s="10"/>
      <c r="V27" s="80" t="str">
        <f t="shared" si="6"/>
        <v>2035-36</v>
      </c>
      <c r="W27" s="80">
        <v>0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>
        <v>15</v>
      </c>
      <c r="AD27" s="80" t="s">
        <v>82</v>
      </c>
      <c r="AE27" s="80" t="s">
        <v>82</v>
      </c>
      <c r="AF27" s="59">
        <f t="shared" si="17"/>
        <v>15</v>
      </c>
      <c r="AG27" s="32">
        <f t="shared" si="10"/>
        <v>40.816248290727003</v>
      </c>
      <c r="AH27" s="67"/>
      <c r="AI27" s="44">
        <v>1160.2287308284001</v>
      </c>
      <c r="AJ27" s="45">
        <f t="shared" si="11"/>
        <v>-143.58797911912723</v>
      </c>
      <c r="AK27" s="43">
        <f t="shared" si="12"/>
        <v>25.816248290727003</v>
      </c>
      <c r="AL27" s="66">
        <f t="shared" si="13"/>
        <v>-43.183751709272997</v>
      </c>
      <c r="AM27" s="52"/>
      <c r="AO27" s="46">
        <v>50035</v>
      </c>
      <c r="AP27" s="43">
        <v>1213.4271640777599</v>
      </c>
      <c r="AQ27" s="46">
        <v>1269.04686546326</v>
      </c>
      <c r="AR27" s="46">
        <f t="shared" si="7"/>
        <v>252.40611375398714</v>
      </c>
      <c r="AT27">
        <v>1193.9249763488799</v>
      </c>
      <c r="AU27" s="46">
        <f t="shared" si="14"/>
        <v>0</v>
      </c>
      <c r="AV27" s="46">
        <f t="shared" si="8"/>
        <v>1193.9249763488799</v>
      </c>
    </row>
    <row r="28" spans="2:48" x14ac:dyDescent="0.25">
      <c r="B28" s="28" t="s">
        <v>61</v>
      </c>
      <c r="C28" s="29"/>
      <c r="D28" s="30">
        <f t="shared" si="15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1027.617529697681</v>
      </c>
      <c r="J28" s="33">
        <f t="shared" si="0"/>
        <v>14.839470302318887</v>
      </c>
      <c r="K28" s="34"/>
      <c r="L28" s="32">
        <f t="shared" si="16"/>
        <v>0</v>
      </c>
      <c r="M28" s="53"/>
      <c r="N28" s="54"/>
      <c r="O28" s="50"/>
      <c r="P28" s="32">
        <f t="shared" si="3"/>
        <v>0</v>
      </c>
      <c r="Q28" s="37">
        <f t="shared" si="4"/>
        <v>1027.617529697681</v>
      </c>
      <c r="R28" s="37">
        <f t="shared" si="5"/>
        <v>1027.617529697681</v>
      </c>
      <c r="S28" s="33">
        <f t="shared" si="9"/>
        <v>14.839470302318887</v>
      </c>
      <c r="T28" s="10"/>
      <c r="V28" s="80" t="str">
        <f t="shared" si="6"/>
        <v>2036-37</v>
      </c>
      <c r="W28" s="80">
        <v>0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>
        <v>15</v>
      </c>
      <c r="AD28" s="80" t="s">
        <v>82</v>
      </c>
      <c r="AE28" s="80" t="s">
        <v>82</v>
      </c>
      <c r="AF28" s="59">
        <f t="shared" si="17"/>
        <v>15</v>
      </c>
      <c r="AG28" s="32">
        <f t="shared" si="10"/>
        <v>29.839470302318887</v>
      </c>
      <c r="AH28" s="67"/>
      <c r="AI28" s="44">
        <v>1172.9807565724554</v>
      </c>
      <c r="AJ28" s="45">
        <f t="shared" si="11"/>
        <v>-145.36322687477445</v>
      </c>
      <c r="AK28" s="43">
        <f t="shared" si="12"/>
        <v>14.839470302318887</v>
      </c>
      <c r="AL28" s="66">
        <f t="shared" si="13"/>
        <v>-54.160529697681113</v>
      </c>
      <c r="AM28" s="52"/>
      <c r="AO28" s="46">
        <v>50400</v>
      </c>
      <c r="AP28" s="43">
        <v>1229.75672721863</v>
      </c>
      <c r="AQ28" s="46">
        <v>1290.7052478790299</v>
      </c>
      <c r="AR28" s="46">
        <f t="shared" si="7"/>
        <v>263.08771818134892</v>
      </c>
      <c r="AT28">
        <v>1211.41736793518</v>
      </c>
      <c r="AU28" s="46">
        <f t="shared" si="14"/>
        <v>0</v>
      </c>
      <c r="AV28" s="46">
        <f t="shared" si="8"/>
        <v>1211.41736793518</v>
      </c>
    </row>
    <row r="29" spans="2:48" x14ac:dyDescent="0.25">
      <c r="B29" s="28" t="s">
        <v>62</v>
      </c>
      <c r="C29" s="29"/>
      <c r="D29" s="30">
        <f t="shared" si="15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1031.5763194829667</v>
      </c>
      <c r="J29" s="33">
        <f>H29-I29</f>
        <v>10.88068051703317</v>
      </c>
      <c r="K29" s="34"/>
      <c r="L29" s="32">
        <f t="shared" si="16"/>
        <v>0</v>
      </c>
      <c r="M29" s="53"/>
      <c r="N29" s="54"/>
      <c r="O29" s="50"/>
      <c r="P29" s="32">
        <f>SUM(L29:O29)</f>
        <v>0</v>
      </c>
      <c r="Q29" s="37">
        <f t="shared" si="4"/>
        <v>1031.5763194829667</v>
      </c>
      <c r="R29" s="37">
        <f t="shared" si="5"/>
        <v>1031.5763194829667</v>
      </c>
      <c r="S29" s="33">
        <f t="shared" si="9"/>
        <v>10.88068051703317</v>
      </c>
      <c r="T29" s="10"/>
      <c r="V29" s="80" t="str">
        <f t="shared" si="6"/>
        <v>2037-38</v>
      </c>
      <c r="W29" s="80">
        <v>0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>
        <v>15</v>
      </c>
      <c r="AD29" s="80" t="s">
        <v>82</v>
      </c>
      <c r="AE29" s="80" t="s">
        <v>82</v>
      </c>
      <c r="AF29" s="59">
        <f t="shared" si="17"/>
        <v>15</v>
      </c>
      <c r="AG29" s="32">
        <f t="shared" si="10"/>
        <v>25.88068051703317</v>
      </c>
      <c r="AH29" s="67"/>
      <c r="AI29" s="44">
        <v>1184.6688191641585</v>
      </c>
      <c r="AJ29" s="45">
        <f t="shared" si="11"/>
        <v>-153.09249968119184</v>
      </c>
      <c r="AK29" s="43">
        <f t="shared" si="12"/>
        <v>10.88068051703317</v>
      </c>
      <c r="AL29" s="66">
        <f t="shared" si="13"/>
        <v>-58.11931948296683</v>
      </c>
      <c r="AM29" s="52"/>
      <c r="AO29" s="46">
        <v>49669</v>
      </c>
      <c r="AP29" s="43">
        <v>1195.84828567505</v>
      </c>
      <c r="AQ29" s="46">
        <v>1311.1700935363799</v>
      </c>
      <c r="AR29" s="46">
        <f t="shared" si="7"/>
        <v>279.5937740534132</v>
      </c>
      <c r="AT29">
        <v>1227.67112541199</v>
      </c>
      <c r="AU29" s="46">
        <f t="shared" si="14"/>
        <v>0</v>
      </c>
      <c r="AV29" s="46">
        <f>AT29+AU29</f>
        <v>1227.67112541199</v>
      </c>
    </row>
    <row r="30" spans="2:48" x14ac:dyDescent="0.25">
      <c r="B30" s="28" t="s">
        <v>63</v>
      </c>
      <c r="C30" s="29"/>
      <c r="D30" s="30">
        <f t="shared" si="15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1037.7187262003151</v>
      </c>
      <c r="J30" s="33">
        <f>H30-I30</f>
        <v>4.7382737996847482</v>
      </c>
      <c r="K30" s="34"/>
      <c r="L30" s="32">
        <f t="shared" si="16"/>
        <v>0</v>
      </c>
      <c r="M30" s="53"/>
      <c r="N30" s="54"/>
      <c r="O30" s="50"/>
      <c r="P30" s="32">
        <f>SUM(L30:O30)</f>
        <v>0</v>
      </c>
      <c r="Q30" s="37">
        <f t="shared" si="4"/>
        <v>1037.7187262003151</v>
      </c>
      <c r="R30" s="37">
        <f t="shared" si="5"/>
        <v>1037.7187262003151</v>
      </c>
      <c r="S30" s="33">
        <f t="shared" si="9"/>
        <v>4.7382737996847482</v>
      </c>
      <c r="T30" s="10"/>
      <c r="V30" s="80" t="str">
        <f t="shared" si="6"/>
        <v>2038-39</v>
      </c>
      <c r="W30" s="80">
        <v>0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>
        <v>15</v>
      </c>
      <c r="AD30" s="80" t="s">
        <v>82</v>
      </c>
      <c r="AE30" s="80" t="s">
        <v>82</v>
      </c>
      <c r="AF30" s="59">
        <f t="shared" si="17"/>
        <v>15</v>
      </c>
      <c r="AG30" s="32">
        <f t="shared" si="10"/>
        <v>19.738273799684748</v>
      </c>
      <c r="AH30" s="67"/>
      <c r="AI30" s="44">
        <v>1200.0978356738965</v>
      </c>
      <c r="AJ30" s="45"/>
      <c r="AK30" s="43">
        <f t="shared" si="12"/>
        <v>4.7382737996847482</v>
      </c>
      <c r="AL30" s="66">
        <f t="shared" si="13"/>
        <v>-64.261726200315252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15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1042.5573918014475</v>
      </c>
      <c r="J31" s="33">
        <f>H31-I31</f>
        <v>-0.10039180144758575</v>
      </c>
      <c r="K31" s="34"/>
      <c r="L31" s="32">
        <f t="shared" si="16"/>
        <v>0</v>
      </c>
      <c r="M31" s="53"/>
      <c r="N31" s="54"/>
      <c r="O31" s="50"/>
      <c r="P31" s="32">
        <f>SUM(L31:O31)</f>
        <v>0</v>
      </c>
      <c r="Q31" s="37">
        <f t="shared" si="4"/>
        <v>1042.5573918014475</v>
      </c>
      <c r="R31" s="37">
        <f t="shared" si="5"/>
        <v>1042.5573918014475</v>
      </c>
      <c r="S31" s="33">
        <f t="shared" si="9"/>
        <v>-0.10039180144758575</v>
      </c>
      <c r="T31" s="10"/>
      <c r="V31" s="80" t="str">
        <f t="shared" si="6"/>
        <v>2039-40</v>
      </c>
      <c r="W31" s="80">
        <v>0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>
        <v>15</v>
      </c>
      <c r="AD31" s="80" t="s">
        <v>82</v>
      </c>
      <c r="AE31" s="80" t="s">
        <v>82</v>
      </c>
      <c r="AF31" s="59">
        <f t="shared" si="17"/>
        <v>15</v>
      </c>
      <c r="AG31" s="32">
        <f t="shared" si="10"/>
        <v>14.899608198552414</v>
      </c>
      <c r="AH31" s="67"/>
      <c r="AI31" s="44">
        <v>1214.5413742702863</v>
      </c>
      <c r="AJ31" s="45"/>
      <c r="AK31" s="43">
        <f t="shared" si="12"/>
        <v>-0.10039180144758575</v>
      </c>
      <c r="AL31" s="66">
        <f t="shared" si="13"/>
        <v>-69.100391801447586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15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1050.5153794797916</v>
      </c>
      <c r="J32" s="33">
        <f>H32-I32</f>
        <v>-8.0583794797917108</v>
      </c>
      <c r="K32" s="34"/>
      <c r="L32" s="32">
        <f t="shared" si="16"/>
        <v>0</v>
      </c>
      <c r="M32" s="53"/>
      <c r="N32" s="54"/>
      <c r="O32" s="50"/>
      <c r="P32" s="32">
        <f t="shared" ref="P32:P33" si="18">SUM(L32:O32)</f>
        <v>0</v>
      </c>
      <c r="Q32" s="37">
        <f t="shared" si="4"/>
        <v>1050.5153794797916</v>
      </c>
      <c r="R32" s="37">
        <f t="shared" si="5"/>
        <v>1050.5153794797916</v>
      </c>
      <c r="S32" s="33">
        <f t="shared" si="9"/>
        <v>-8.0583794797917108</v>
      </c>
      <c r="T32" s="10"/>
      <c r="V32" s="80" t="str">
        <f t="shared" si="6"/>
        <v>2040-41</v>
      </c>
      <c r="W32" s="80">
        <v>0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>
        <v>15</v>
      </c>
      <c r="AD32" s="80" t="s">
        <v>82</v>
      </c>
      <c r="AE32" s="80" t="s">
        <v>82</v>
      </c>
      <c r="AF32" s="59">
        <f t="shared" si="17"/>
        <v>15</v>
      </c>
      <c r="AG32" s="32">
        <f t="shared" si="10"/>
        <v>6.9416205202082892</v>
      </c>
      <c r="AH32" s="67"/>
      <c r="AK32" s="43">
        <f t="shared" si="12"/>
        <v>-8.0583794797917108</v>
      </c>
      <c r="AL32" s="66">
        <f t="shared" si="13"/>
        <v>-77.058379479791711</v>
      </c>
      <c r="AM32" s="52"/>
    </row>
    <row r="33" spans="2:43" x14ac:dyDescent="0.25">
      <c r="B33" s="28" t="s">
        <v>81</v>
      </c>
      <c r="C33" s="29"/>
      <c r="D33" s="30">
        <f t="shared" si="15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1056.1491314178184</v>
      </c>
      <c r="J33" s="33">
        <f>H33-I33</f>
        <v>-13.692131417818473</v>
      </c>
      <c r="K33" s="34"/>
      <c r="L33" s="32">
        <f t="shared" si="16"/>
        <v>0</v>
      </c>
      <c r="M33" s="53"/>
      <c r="N33" s="54"/>
      <c r="O33" s="50"/>
      <c r="P33" s="32">
        <f t="shared" si="18"/>
        <v>0</v>
      </c>
      <c r="Q33" s="37">
        <f>I33</f>
        <v>1056.1491314178184</v>
      </c>
      <c r="R33" s="37">
        <f t="shared" si="5"/>
        <v>1056.1491314178184</v>
      </c>
      <c r="S33" s="33">
        <f t="shared" si="9"/>
        <v>-13.692131417818473</v>
      </c>
      <c r="T33" s="10"/>
      <c r="U33" s="55"/>
      <c r="V33" s="80" t="str">
        <f>B33</f>
        <v>2041-42</v>
      </c>
      <c r="W33" s="80">
        <v>0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>
        <v>15</v>
      </c>
      <c r="AD33" s="80" t="s">
        <v>82</v>
      </c>
      <c r="AE33" s="80" t="s">
        <v>82</v>
      </c>
      <c r="AF33" s="59">
        <f t="shared" si="17"/>
        <v>15</v>
      </c>
      <c r="AG33" s="32">
        <f t="shared" si="10"/>
        <v>1.307868582181527</v>
      </c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3" orientation="landscape" r:id="rId1"/>
  <headerFooter>
    <oddHeader>&amp;L&amp;Z&amp;F</oddHeader>
    <oddFooter>&amp;R&amp;A
&amp;D&amp;T
&amp;Z&amp;F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AB14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8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93</v>
      </c>
      <c r="AB5" s="14"/>
      <c r="AC5" s="14"/>
      <c r="AD5" s="15"/>
      <c r="AE5" s="15"/>
      <c r="AF5" s="9"/>
    </row>
    <row r="6" spans="2:48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91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LOW Demand Before DSR</v>
      </c>
      <c r="R6" s="16" t="s">
        <v>123</v>
      </c>
      <c r="S6" s="18" t="s">
        <v>18</v>
      </c>
      <c r="T6" s="10"/>
      <c r="V6" s="71" t="s">
        <v>6</v>
      </c>
      <c r="W6" s="71" t="s">
        <v>86</v>
      </c>
      <c r="X6" s="71" t="s">
        <v>19</v>
      </c>
      <c r="Y6" s="71" t="s">
        <v>20</v>
      </c>
      <c r="Z6" s="71" t="s">
        <v>21</v>
      </c>
      <c r="AA6" s="71" t="s">
        <v>85</v>
      </c>
      <c r="AB6" s="71" t="s">
        <v>22</v>
      </c>
      <c r="AC6" s="71" t="s">
        <v>23</v>
      </c>
      <c r="AD6" s="71" t="s">
        <v>24</v>
      </c>
      <c r="AE6" s="71" t="s">
        <v>14</v>
      </c>
      <c r="AF6" s="16" t="s">
        <v>25</v>
      </c>
      <c r="AG6" s="16" t="s">
        <v>26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2" t="s">
        <v>83</v>
      </c>
      <c r="X7" s="73" t="s">
        <v>30</v>
      </c>
      <c r="Y7" s="73" t="s">
        <v>31</v>
      </c>
      <c r="Z7" s="73" t="s">
        <v>32</v>
      </c>
      <c r="AA7" s="73" t="s">
        <v>33</v>
      </c>
      <c r="AB7" s="73" t="s">
        <v>34</v>
      </c>
      <c r="AC7" s="73" t="s">
        <v>35</v>
      </c>
      <c r="AD7" s="73" t="s">
        <v>36</v>
      </c>
      <c r="AE7" s="73" t="s">
        <v>37</v>
      </c>
      <c r="AF7" s="27"/>
      <c r="AG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4"/>
      <c r="AA8" s="74"/>
      <c r="AB8" s="76"/>
      <c r="AC8" s="74"/>
      <c r="AD8" s="74"/>
      <c r="AE8" s="74"/>
      <c r="AF8" s="133">
        <f t="shared" ref="AF8:AF13" si="1">SUM(X8:AE8)</f>
        <v>0</v>
      </c>
      <c r="AG8" s="37">
        <f>(H8+AF8)-I8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4"/>
      <c r="AA9" s="74"/>
      <c r="AB9" s="76"/>
      <c r="AC9" s="74"/>
      <c r="AD9" s="74"/>
      <c r="AE9" s="74"/>
      <c r="AF9" s="133">
        <f t="shared" si="1"/>
        <v>0</v>
      </c>
      <c r="AG9" s="37">
        <f>(H9+AF9)-I9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Q10-W10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9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78"/>
      <c r="AF10" s="41">
        <f t="shared" si="1"/>
        <v>15</v>
      </c>
      <c r="AG10" s="42">
        <f>(H10+AF10)-I10</f>
        <v>-2.0756608132257952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 t="shared" ref="AR10:AR29" si="7">AQ10-I10</f>
        <v>-2.2806992425785211E-2</v>
      </c>
      <c r="AT10">
        <v>1007.59009361267</v>
      </c>
      <c r="AU10" s="46">
        <f>W10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9">
        <v>6.0589568905517144</v>
      </c>
      <c r="X11" s="77"/>
      <c r="Y11" s="77"/>
      <c r="Z11" s="77"/>
      <c r="AA11" s="77"/>
      <c r="AB11" s="77"/>
      <c r="AC11" s="77"/>
      <c r="AD11" s="77"/>
      <c r="AE11" s="77"/>
      <c r="AF11" s="41">
        <f t="shared" si="1"/>
        <v>0</v>
      </c>
      <c r="AG11" s="42">
        <f>(H11+AF11)-I11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 t="shared" si="7"/>
        <v>-2.534686744593273E-2</v>
      </c>
      <c r="AT11">
        <v>1016.63834762573</v>
      </c>
      <c r="AU11" s="46">
        <f>W11</f>
        <v>6.0589568905517144</v>
      </c>
      <c r="AV11" s="46">
        <f t="shared" ref="AV11:AV28" si="8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9">H12+P12-Q12</f>
        <v>-7.5889205675269977</v>
      </c>
      <c r="T12" s="10"/>
      <c r="V12" s="80" t="str">
        <f t="shared" si="6"/>
        <v>2020-21</v>
      </c>
      <c r="W12" s="75">
        <v>0</v>
      </c>
      <c r="X12" s="80"/>
      <c r="Y12" s="80"/>
      <c r="Z12" s="80"/>
      <c r="AA12" s="80"/>
      <c r="AB12" s="80"/>
      <c r="AC12" s="80"/>
      <c r="AD12" s="80"/>
      <c r="AE12" s="80"/>
      <c r="AF12" s="59">
        <f t="shared" si="1"/>
        <v>0</v>
      </c>
      <c r="AG12" s="32">
        <f t="shared" ref="AG12:AG33" si="10">AF12+H12-I12</f>
        <v>35.454700000000003</v>
      </c>
      <c r="AH12" s="67"/>
      <c r="AI12" s="44">
        <v>1035.500620567527</v>
      </c>
      <c r="AJ12" s="45">
        <f t="shared" ref="AJ12:AJ29" si="11">I12-AI12</f>
        <v>-78.498320567527003</v>
      </c>
      <c r="AK12" s="43">
        <f t="shared" ref="AK12:AK32" si="12">J12</f>
        <v>35.454700000000003</v>
      </c>
      <c r="AL12" s="66">
        <f t="shared" ref="AL12:AL32" si="13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 t="shared" si="7"/>
        <v>79.295233035279921</v>
      </c>
      <c r="AT12">
        <v>1025.8805351257299</v>
      </c>
      <c r="AU12" s="46">
        <f t="shared" ref="AU12:AU29" si="14">W13</f>
        <v>0</v>
      </c>
      <c r="AV12" s="46">
        <f t="shared" si="8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1.8423074975540157</v>
      </c>
      <c r="M13" s="50"/>
      <c r="N13" s="51">
        <v>-3.1532888603364881</v>
      </c>
      <c r="O13" s="50"/>
      <c r="P13" s="32">
        <f t="shared" si="3"/>
        <v>-1.3109813627824725</v>
      </c>
      <c r="Q13" s="37">
        <f t="shared" si="4"/>
        <v>957.00229999999999</v>
      </c>
      <c r="R13" s="37">
        <f t="shared" si="5"/>
        <v>957.00229999999999</v>
      </c>
      <c r="S13" s="33">
        <f t="shared" si="9"/>
        <v>84.143718637217376</v>
      </c>
      <c r="T13" s="10"/>
      <c r="V13" s="80" t="str">
        <f t="shared" si="6"/>
        <v>2021-22</v>
      </c>
      <c r="W13" s="81">
        <v>0</v>
      </c>
      <c r="X13" s="80"/>
      <c r="Y13" s="80"/>
      <c r="Z13" s="80"/>
      <c r="AA13" s="80"/>
      <c r="AB13" s="80"/>
      <c r="AC13" s="80"/>
      <c r="AD13" s="80"/>
      <c r="AE13" s="80"/>
      <c r="AF13" s="59">
        <f t="shared" si="1"/>
        <v>0</v>
      </c>
      <c r="AG13" s="32">
        <f t="shared" si="10"/>
        <v>85.454699999999889</v>
      </c>
      <c r="AH13" s="67"/>
      <c r="AI13" s="44">
        <v>1045.6102888603364</v>
      </c>
      <c r="AJ13" s="45">
        <f t="shared" si="11"/>
        <v>-88.607988860336377</v>
      </c>
      <c r="AK13" s="43">
        <f t="shared" si="12"/>
        <v>85.454699999999889</v>
      </c>
      <c r="AL13" s="66">
        <f t="shared" si="13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 t="shared" si="7"/>
        <v>92.182644152829994</v>
      </c>
      <c r="AT13">
        <v>1034.72814559937</v>
      </c>
      <c r="AU13" s="46">
        <f t="shared" si="14"/>
        <v>1.8423074975540157</v>
      </c>
      <c r="AV13" s="46">
        <f t="shared" si="8"/>
        <v>1036.570453096924</v>
      </c>
    </row>
    <row r="14" spans="2:48" x14ac:dyDescent="0.25">
      <c r="B14" s="28" t="s">
        <v>47</v>
      </c>
      <c r="C14" s="29"/>
      <c r="D14" s="30">
        <f t="shared" ref="D14:D33" si="15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949.67129629143062</v>
      </c>
      <c r="J14" s="33">
        <f t="shared" si="0"/>
        <v>92.785703708569258</v>
      </c>
      <c r="K14" s="34"/>
      <c r="L14" s="32">
        <f>W14</f>
        <v>1.8423074975540157</v>
      </c>
      <c r="M14" s="53"/>
      <c r="N14" s="54"/>
      <c r="O14" s="50"/>
      <c r="P14" s="32">
        <f t="shared" si="3"/>
        <v>1.8423074975540157</v>
      </c>
      <c r="Q14" s="37">
        <f t="shared" si="4"/>
        <v>949.67129629143062</v>
      </c>
      <c r="R14" s="37">
        <f t="shared" si="5"/>
        <v>947.82898879387665</v>
      </c>
      <c r="S14" s="33">
        <f t="shared" si="9"/>
        <v>94.628011206123233</v>
      </c>
      <c r="T14" s="10"/>
      <c r="V14" s="80" t="str">
        <f t="shared" si="6"/>
        <v>2022-23</v>
      </c>
      <c r="W14" s="91">
        <v>1.8423074975540157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0" t="s">
        <v>82</v>
      </c>
      <c r="AE14" s="80" t="s">
        <v>82</v>
      </c>
      <c r="AF14" s="59">
        <f>SUM(W14:AE14)</f>
        <v>1.8423074975540157</v>
      </c>
      <c r="AG14" s="32">
        <f t="shared" si="10"/>
        <v>94.628011206123233</v>
      </c>
      <c r="AH14" s="67"/>
      <c r="AI14" s="44">
        <v>1053.5407413432795</v>
      </c>
      <c r="AJ14" s="45">
        <f t="shared" si="11"/>
        <v>-103.86944505184886</v>
      </c>
      <c r="AK14" s="43">
        <f t="shared" si="12"/>
        <v>92.785703708569258</v>
      </c>
      <c r="AL14" s="66">
        <f t="shared" si="13"/>
        <v>23.785703708569258</v>
      </c>
      <c r="AM14" s="52"/>
      <c r="AO14" s="46">
        <v>45286</v>
      </c>
      <c r="AP14" s="43">
        <v>1051.6916141510001</v>
      </c>
      <c r="AQ14" s="46">
        <v>1057.5920944213899</v>
      </c>
      <c r="AR14" s="46">
        <f t="shared" si="7"/>
        <v>107.92079812995928</v>
      </c>
      <c r="AT14">
        <v>1039.08507537842</v>
      </c>
      <c r="AU14" s="46">
        <f t="shared" si="14"/>
        <v>3.9294363093246178</v>
      </c>
      <c r="AV14" s="46">
        <f t="shared" si="8"/>
        <v>1043.0145116877447</v>
      </c>
    </row>
    <row r="15" spans="2:48" x14ac:dyDescent="0.25">
      <c r="B15" s="28" t="s">
        <v>48</v>
      </c>
      <c r="C15" s="29"/>
      <c r="D15" s="30">
        <f t="shared" si="15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952.68690440932323</v>
      </c>
      <c r="J15" s="33">
        <f t="shared" si="0"/>
        <v>89.770095590676647</v>
      </c>
      <c r="K15" s="34"/>
      <c r="L15" s="32">
        <f t="shared" ref="L15:L33" si="16">W15</f>
        <v>3.9294363093246178</v>
      </c>
      <c r="M15" s="53"/>
      <c r="N15" s="54"/>
      <c r="O15" s="50"/>
      <c r="P15" s="32">
        <f t="shared" si="3"/>
        <v>3.9294363093246178</v>
      </c>
      <c r="Q15" s="37">
        <f t="shared" si="4"/>
        <v>952.68690440932323</v>
      </c>
      <c r="R15" s="37">
        <f t="shared" si="5"/>
        <v>948.75746809999862</v>
      </c>
      <c r="S15" s="33">
        <f t="shared" si="9"/>
        <v>93.699531900001375</v>
      </c>
      <c r="T15" s="10"/>
      <c r="V15" s="80" t="str">
        <f t="shared" si="6"/>
        <v>2023-24</v>
      </c>
      <c r="W15" s="91">
        <v>3.9294363093246178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 t="s">
        <v>82</v>
      </c>
      <c r="AD15" s="80" t="s">
        <v>82</v>
      </c>
      <c r="AE15" s="80" t="s">
        <v>82</v>
      </c>
      <c r="AF15" s="59">
        <f t="shared" ref="AF15:AF33" si="17">SUM(W15:AE15)</f>
        <v>3.9294363093246178</v>
      </c>
      <c r="AG15" s="32">
        <f t="shared" si="10"/>
        <v>93.699531900001375</v>
      </c>
      <c r="AH15" s="67"/>
      <c r="AI15" s="44">
        <v>1062.70947981108</v>
      </c>
      <c r="AJ15" s="45">
        <f t="shared" si="11"/>
        <v>-110.02257540175674</v>
      </c>
      <c r="AK15" s="43">
        <f t="shared" si="12"/>
        <v>89.770095590676647</v>
      </c>
      <c r="AL15" s="66">
        <f t="shared" si="13"/>
        <v>20.770095590676647</v>
      </c>
      <c r="AM15" s="52"/>
      <c r="AO15" s="46">
        <v>45652</v>
      </c>
      <c r="AP15" s="43">
        <v>1061.69411087036</v>
      </c>
      <c r="AQ15" s="46">
        <v>1073.9486598968499</v>
      </c>
      <c r="AR15" s="46">
        <f t="shared" si="7"/>
        <v>121.26175548752667</v>
      </c>
      <c r="AT15">
        <v>1051.30883216858</v>
      </c>
      <c r="AU15" s="46">
        <f t="shared" si="14"/>
        <v>5.9776340183173868</v>
      </c>
      <c r="AV15" s="46">
        <f t="shared" si="8"/>
        <v>1057.2864661868973</v>
      </c>
    </row>
    <row r="16" spans="2:48" x14ac:dyDescent="0.25">
      <c r="B16" s="28" t="s">
        <v>49</v>
      </c>
      <c r="C16" s="29"/>
      <c r="D16" s="30">
        <f t="shared" si="15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956.80865908870805</v>
      </c>
      <c r="J16" s="33">
        <f t="shared" si="0"/>
        <v>85.648340911291825</v>
      </c>
      <c r="K16" s="34"/>
      <c r="L16" s="32">
        <f t="shared" si="16"/>
        <v>5.9776340183173868</v>
      </c>
      <c r="M16" s="53"/>
      <c r="N16" s="54"/>
      <c r="O16" s="50"/>
      <c r="P16" s="32">
        <f t="shared" si="3"/>
        <v>5.9776340183173868</v>
      </c>
      <c r="Q16" s="37">
        <f t="shared" si="4"/>
        <v>956.80865908870805</v>
      </c>
      <c r="R16" s="37">
        <f t="shared" si="5"/>
        <v>950.83102507039064</v>
      </c>
      <c r="S16" s="33">
        <f t="shared" si="9"/>
        <v>91.625974929609129</v>
      </c>
      <c r="T16" s="10"/>
      <c r="V16" s="80" t="str">
        <f t="shared" si="6"/>
        <v>2024-25</v>
      </c>
      <c r="W16" s="91">
        <v>5.9776340183173868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 t="s">
        <v>82</v>
      </c>
      <c r="AD16" s="80" t="s">
        <v>82</v>
      </c>
      <c r="AE16" s="80" t="s">
        <v>82</v>
      </c>
      <c r="AF16" s="59">
        <f t="shared" si="17"/>
        <v>5.9776340183173868</v>
      </c>
      <c r="AG16" s="32">
        <f t="shared" si="10"/>
        <v>91.625974929609129</v>
      </c>
      <c r="AH16" s="67"/>
      <c r="AI16" s="44">
        <v>1069.875394233997</v>
      </c>
      <c r="AJ16" s="45">
        <f t="shared" si="11"/>
        <v>-113.06673514528893</v>
      </c>
      <c r="AK16" s="43">
        <f t="shared" si="12"/>
        <v>85.648340911291825</v>
      </c>
      <c r="AL16" s="66">
        <f t="shared" si="13"/>
        <v>16.648340911291825</v>
      </c>
      <c r="AM16" s="52"/>
      <c r="AO16" s="46">
        <v>46017</v>
      </c>
      <c r="AP16" s="43">
        <v>1068.4566287994401</v>
      </c>
      <c r="AQ16" s="46">
        <v>1088.2765007019</v>
      </c>
      <c r="AR16" s="46">
        <f t="shared" si="7"/>
        <v>131.46784161319192</v>
      </c>
      <c r="AT16">
        <v>1061.2161140441899</v>
      </c>
      <c r="AU16" s="46">
        <f t="shared" si="14"/>
        <v>7.8632427931369335</v>
      </c>
      <c r="AV16" s="46">
        <f t="shared" si="8"/>
        <v>1069.0793568373269</v>
      </c>
    </row>
    <row r="17" spans="2:48" x14ac:dyDescent="0.25">
      <c r="B17" s="28" t="s">
        <v>50</v>
      </c>
      <c r="C17" s="29"/>
      <c r="D17" s="30">
        <f t="shared" si="15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959.53951477929741</v>
      </c>
      <c r="J17" s="33">
        <f t="shared" si="0"/>
        <v>82.917485220702474</v>
      </c>
      <c r="K17" s="34"/>
      <c r="L17" s="32">
        <f t="shared" si="16"/>
        <v>7.8632427931369335</v>
      </c>
      <c r="M17" s="53"/>
      <c r="N17" s="54"/>
      <c r="O17" s="50"/>
      <c r="P17" s="32">
        <f t="shared" si="3"/>
        <v>7.8632427931369335</v>
      </c>
      <c r="Q17" s="37">
        <f t="shared" si="4"/>
        <v>959.53951477929741</v>
      </c>
      <c r="R17" s="37">
        <f t="shared" si="5"/>
        <v>951.67627198616049</v>
      </c>
      <c r="S17" s="33">
        <f t="shared" si="9"/>
        <v>90.780728013839507</v>
      </c>
      <c r="T17" s="10"/>
      <c r="V17" s="80" t="str">
        <f t="shared" si="6"/>
        <v>2025-26</v>
      </c>
      <c r="W17" s="91">
        <v>7.8632427931369335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 t="s">
        <v>82</v>
      </c>
      <c r="AD17" s="80" t="s">
        <v>82</v>
      </c>
      <c r="AE17" s="80" t="s">
        <v>82</v>
      </c>
      <c r="AF17" s="59">
        <f t="shared" si="17"/>
        <v>7.8632427931369335</v>
      </c>
      <c r="AG17" s="32">
        <f t="shared" si="10"/>
        <v>90.780728013839507</v>
      </c>
      <c r="AH17" s="67"/>
      <c r="AI17" s="44">
        <v>1074.046576766304</v>
      </c>
      <c r="AJ17" s="45">
        <f t="shared" si="11"/>
        <v>-114.50706198700664</v>
      </c>
      <c r="AK17" s="43">
        <f t="shared" si="12"/>
        <v>82.917485220702474</v>
      </c>
      <c r="AL17" s="66">
        <f t="shared" si="13"/>
        <v>13.917485220702474</v>
      </c>
      <c r="AM17" s="52"/>
      <c r="AO17" s="46">
        <v>46382</v>
      </c>
      <c r="AP17" s="43">
        <v>1077.6138305664099</v>
      </c>
      <c r="AQ17" s="46">
        <v>1099.434425354</v>
      </c>
      <c r="AR17" s="46">
        <f t="shared" si="7"/>
        <v>139.89491057470264</v>
      </c>
      <c r="AT17">
        <v>1067.8715152740499</v>
      </c>
      <c r="AU17" s="46">
        <f t="shared" si="14"/>
        <v>9.7542046622324534</v>
      </c>
      <c r="AV17" s="46">
        <f t="shared" si="8"/>
        <v>1077.6257199362824</v>
      </c>
    </row>
    <row r="18" spans="2:48" x14ac:dyDescent="0.25">
      <c r="B18" s="28" t="s">
        <v>51</v>
      </c>
      <c r="C18" s="29"/>
      <c r="D18" s="30">
        <f t="shared" si="15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966.02924459860526</v>
      </c>
      <c r="J18" s="33">
        <f t="shared" si="0"/>
        <v>76.42775540139462</v>
      </c>
      <c r="K18" s="34"/>
      <c r="L18" s="32">
        <f t="shared" si="16"/>
        <v>9.7542046622324534</v>
      </c>
      <c r="M18" s="53"/>
      <c r="N18" s="54"/>
      <c r="O18" s="50"/>
      <c r="P18" s="32">
        <f t="shared" si="3"/>
        <v>9.7542046622324534</v>
      </c>
      <c r="Q18" s="37">
        <f t="shared" si="4"/>
        <v>966.02924459860526</v>
      </c>
      <c r="R18" s="37">
        <f t="shared" si="5"/>
        <v>956.27503993637276</v>
      </c>
      <c r="S18" s="33">
        <f t="shared" si="9"/>
        <v>86.181960063627116</v>
      </c>
      <c r="T18" s="10"/>
      <c r="V18" s="80" t="str">
        <f t="shared" si="6"/>
        <v>2026-27</v>
      </c>
      <c r="W18" s="91">
        <v>9.7542046622324534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 t="s">
        <v>82</v>
      </c>
      <c r="AD18" s="80" t="s">
        <v>82</v>
      </c>
      <c r="AE18" s="80" t="s">
        <v>82</v>
      </c>
      <c r="AF18" s="59">
        <f t="shared" si="17"/>
        <v>9.7542046622324534</v>
      </c>
      <c r="AG18" s="32">
        <f t="shared" si="10"/>
        <v>86.181960063627116</v>
      </c>
      <c r="AH18" s="67"/>
      <c r="AI18" s="44">
        <v>1081.3726145732787</v>
      </c>
      <c r="AJ18" s="45">
        <f t="shared" si="11"/>
        <v>-115.34336997467346</v>
      </c>
      <c r="AK18" s="43">
        <f t="shared" si="12"/>
        <v>76.42775540139462</v>
      </c>
      <c r="AL18" s="66">
        <f t="shared" si="13"/>
        <v>7.4277554013946201</v>
      </c>
      <c r="AM18" s="52"/>
      <c r="AO18" s="46">
        <v>46747</v>
      </c>
      <c r="AP18" s="43">
        <v>1083.91345024109</v>
      </c>
      <c r="AQ18" s="46">
        <v>1112.8700542449999</v>
      </c>
      <c r="AR18" s="46">
        <f t="shared" si="7"/>
        <v>146.84080964639463</v>
      </c>
      <c r="AT18">
        <v>1076.90893554688</v>
      </c>
      <c r="AU18" s="46">
        <f t="shared" si="14"/>
        <v>11.705123401015262</v>
      </c>
      <c r="AV18" s="46">
        <f t="shared" si="8"/>
        <v>1088.6140589478953</v>
      </c>
    </row>
    <row r="19" spans="2:48" x14ac:dyDescent="0.25">
      <c r="B19" s="28" t="s">
        <v>52</v>
      </c>
      <c r="C19" s="29"/>
      <c r="D19" s="30">
        <f t="shared" si="15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974.37910970644509</v>
      </c>
      <c r="J19" s="33">
        <f t="shared" si="0"/>
        <v>68.077890293554788</v>
      </c>
      <c r="K19" s="34"/>
      <c r="L19" s="32">
        <f t="shared" si="16"/>
        <v>11.705123401015262</v>
      </c>
      <c r="M19" s="53"/>
      <c r="N19" s="54"/>
      <c r="O19" s="50"/>
      <c r="P19" s="32">
        <f t="shared" si="3"/>
        <v>11.705123401015262</v>
      </c>
      <c r="Q19" s="37">
        <f t="shared" si="4"/>
        <v>974.37910970644509</v>
      </c>
      <c r="R19" s="37">
        <f t="shared" si="5"/>
        <v>962.67398630542982</v>
      </c>
      <c r="S19" s="33">
        <f t="shared" si="9"/>
        <v>79.783013694570059</v>
      </c>
      <c r="T19" s="10"/>
      <c r="V19" s="80" t="str">
        <f t="shared" si="6"/>
        <v>2027-28</v>
      </c>
      <c r="W19" s="91">
        <v>11.705123401015262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 t="s">
        <v>82</v>
      </c>
      <c r="AD19" s="80" t="s">
        <v>82</v>
      </c>
      <c r="AE19" s="80" t="s">
        <v>82</v>
      </c>
      <c r="AF19" s="59">
        <f t="shared" si="17"/>
        <v>11.705123401015262</v>
      </c>
      <c r="AG19" s="32">
        <f t="shared" si="10"/>
        <v>79.783013694570059</v>
      </c>
      <c r="AH19" s="67"/>
      <c r="AI19" s="44">
        <v>1088.9478443321157</v>
      </c>
      <c r="AJ19" s="45">
        <f t="shared" si="11"/>
        <v>-114.56873462567057</v>
      </c>
      <c r="AK19" s="43">
        <f t="shared" si="12"/>
        <v>68.077890293554788</v>
      </c>
      <c r="AL19" s="66">
        <f t="shared" si="13"/>
        <v>-0.9221097064452124</v>
      </c>
      <c r="AM19" s="52"/>
      <c r="AO19" s="46">
        <v>47113</v>
      </c>
      <c r="AP19" s="43">
        <v>1092.7315940856899</v>
      </c>
      <c r="AQ19" s="46">
        <v>1123.43689346313</v>
      </c>
      <c r="AR19" s="46">
        <f t="shared" si="7"/>
        <v>149.0577837566849</v>
      </c>
      <c r="AT19">
        <v>1083.0756511688201</v>
      </c>
      <c r="AU19" s="46">
        <f t="shared" si="14"/>
        <v>13.720861795004414</v>
      </c>
      <c r="AV19" s="46">
        <f t="shared" si="8"/>
        <v>1096.7965129638244</v>
      </c>
    </row>
    <row r="20" spans="2:48" x14ac:dyDescent="0.25">
      <c r="B20" s="28" t="s">
        <v>53</v>
      </c>
      <c r="C20" s="29"/>
      <c r="D20" s="30">
        <f t="shared" si="15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979.87498703952895</v>
      </c>
      <c r="J20" s="33">
        <f t="shared" si="0"/>
        <v>62.582012960470934</v>
      </c>
      <c r="K20" s="34"/>
      <c r="L20" s="32">
        <f t="shared" si="16"/>
        <v>13.720861795004414</v>
      </c>
      <c r="M20" s="53"/>
      <c r="N20" s="54"/>
      <c r="O20" s="50"/>
      <c r="P20" s="32">
        <f t="shared" si="3"/>
        <v>13.720861795004414</v>
      </c>
      <c r="Q20" s="37">
        <f t="shared" si="4"/>
        <v>979.87498703952895</v>
      </c>
      <c r="R20" s="37">
        <f t="shared" si="5"/>
        <v>966.15412524452449</v>
      </c>
      <c r="S20" s="33">
        <f t="shared" si="9"/>
        <v>76.302874755475273</v>
      </c>
      <c r="T20" s="10"/>
      <c r="V20" s="80" t="str">
        <f t="shared" si="6"/>
        <v>2028-29</v>
      </c>
      <c r="W20" s="91">
        <v>13.720861795004414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 t="s">
        <v>82</v>
      </c>
      <c r="AD20" s="80" t="s">
        <v>82</v>
      </c>
      <c r="AE20" s="80" t="s">
        <v>82</v>
      </c>
      <c r="AF20" s="59">
        <f t="shared" si="17"/>
        <v>13.720861795004414</v>
      </c>
      <c r="AG20" s="32">
        <f t="shared" si="10"/>
        <v>76.302874755475273</v>
      </c>
      <c r="AH20" s="67"/>
      <c r="AI20" s="44">
        <v>1096.2966233757172</v>
      </c>
      <c r="AJ20" s="45">
        <f t="shared" si="11"/>
        <v>-116.42163633618827</v>
      </c>
      <c r="AK20" s="43">
        <f t="shared" si="12"/>
        <v>62.582012960470934</v>
      </c>
      <c r="AL20" s="66">
        <f t="shared" si="13"/>
        <v>-6.4179870395290664</v>
      </c>
      <c r="AM20" s="52"/>
      <c r="AO20" s="46">
        <v>47478</v>
      </c>
      <c r="AP20" s="43">
        <v>1106.82481765747</v>
      </c>
      <c r="AQ20" s="46">
        <v>1136.34985542297</v>
      </c>
      <c r="AR20" s="46">
        <f t="shared" si="7"/>
        <v>156.47486838344105</v>
      </c>
      <c r="AT20">
        <v>1091.7492027282699</v>
      </c>
      <c r="AU20" s="46">
        <f t="shared" si="14"/>
        <v>15.861087722635151</v>
      </c>
      <c r="AV20" s="46">
        <f t="shared" si="8"/>
        <v>1107.610290450905</v>
      </c>
    </row>
    <row r="21" spans="2:48" x14ac:dyDescent="0.25">
      <c r="B21" s="28" t="s">
        <v>54</v>
      </c>
      <c r="C21" s="29"/>
      <c r="D21" s="30">
        <f t="shared" si="15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982.9537652294274</v>
      </c>
      <c r="J21" s="33">
        <f t="shared" si="0"/>
        <v>59.503234770572476</v>
      </c>
      <c r="K21" s="34"/>
      <c r="L21" s="32">
        <f t="shared" si="16"/>
        <v>15.861087722635151</v>
      </c>
      <c r="M21" s="53"/>
      <c r="N21" s="54"/>
      <c r="O21" s="50"/>
      <c r="P21" s="32">
        <f t="shared" si="3"/>
        <v>15.861087722635151</v>
      </c>
      <c r="Q21" s="37">
        <f t="shared" si="4"/>
        <v>982.9537652294274</v>
      </c>
      <c r="R21" s="37">
        <f t="shared" si="5"/>
        <v>967.09267750679226</v>
      </c>
      <c r="S21" s="33">
        <f t="shared" si="9"/>
        <v>75.364322493207624</v>
      </c>
      <c r="T21" s="10"/>
      <c r="V21" s="80" t="str">
        <f t="shared" si="6"/>
        <v>2029-30</v>
      </c>
      <c r="W21" s="91">
        <v>15.861087722635151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 t="s">
        <v>82</v>
      </c>
      <c r="AD21" s="80" t="s">
        <v>82</v>
      </c>
      <c r="AE21" s="80" t="s">
        <v>82</v>
      </c>
      <c r="AF21" s="59">
        <f t="shared" si="17"/>
        <v>15.861087722635151</v>
      </c>
      <c r="AG21" s="32">
        <f t="shared" si="10"/>
        <v>75.364322493207624</v>
      </c>
      <c r="AH21" s="67"/>
      <c r="AI21" s="44">
        <v>1102.2936430343566</v>
      </c>
      <c r="AJ21" s="45">
        <f t="shared" si="11"/>
        <v>-119.33987780492919</v>
      </c>
      <c r="AK21" s="43">
        <f t="shared" si="12"/>
        <v>59.503234770572476</v>
      </c>
      <c r="AL21" s="66">
        <f t="shared" si="13"/>
        <v>-9.496765229427524</v>
      </c>
      <c r="AM21" s="52"/>
      <c r="AO21" s="46">
        <v>47843</v>
      </c>
      <c r="AP21" s="43">
        <v>1120.82166290283</v>
      </c>
      <c r="AQ21" s="46">
        <v>1154.4859790802</v>
      </c>
      <c r="AR21" s="46">
        <f t="shared" si="7"/>
        <v>171.53221385077256</v>
      </c>
      <c r="AT21">
        <v>1105.69041824341</v>
      </c>
      <c r="AU21" s="46">
        <f t="shared" si="14"/>
        <v>18.110547515873805</v>
      </c>
      <c r="AV21" s="46">
        <f t="shared" si="8"/>
        <v>1123.8009657592838</v>
      </c>
    </row>
    <row r="22" spans="2:48" x14ac:dyDescent="0.25">
      <c r="B22" s="28" t="s">
        <v>55</v>
      </c>
      <c r="C22" s="29"/>
      <c r="D22" s="30">
        <f t="shared" si="15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987.67272501402829</v>
      </c>
      <c r="J22" s="33">
        <f t="shared" si="0"/>
        <v>54.784274985971592</v>
      </c>
      <c r="K22" s="34"/>
      <c r="L22" s="32">
        <f t="shared" si="16"/>
        <v>18.110547515873805</v>
      </c>
      <c r="M22" s="53"/>
      <c r="N22" s="54"/>
      <c r="O22" s="50"/>
      <c r="P22" s="32">
        <f t="shared" si="3"/>
        <v>18.110547515873805</v>
      </c>
      <c r="Q22" s="37">
        <f t="shared" si="4"/>
        <v>987.67272501402829</v>
      </c>
      <c r="R22" s="37">
        <f t="shared" si="5"/>
        <v>969.56217749815448</v>
      </c>
      <c r="S22" s="33">
        <f t="shared" si="9"/>
        <v>72.894822501845397</v>
      </c>
      <c r="T22" s="10"/>
      <c r="V22" s="80" t="str">
        <f t="shared" si="6"/>
        <v>2030-31</v>
      </c>
      <c r="W22" s="91">
        <v>18.110547515873805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 t="s">
        <v>82</v>
      </c>
      <c r="AD22" s="80" t="s">
        <v>82</v>
      </c>
      <c r="AE22" s="80" t="s">
        <v>82</v>
      </c>
      <c r="AF22" s="59">
        <f t="shared" si="17"/>
        <v>18.110547515873805</v>
      </c>
      <c r="AG22" s="32">
        <f t="shared" si="10"/>
        <v>72.894822501845397</v>
      </c>
      <c r="AH22" s="67"/>
      <c r="AI22" s="44">
        <v>1110.8754963941149</v>
      </c>
      <c r="AJ22" s="45">
        <f t="shared" si="11"/>
        <v>-123.20277138008657</v>
      </c>
      <c r="AK22" s="43">
        <f t="shared" si="12"/>
        <v>54.784274985971592</v>
      </c>
      <c r="AL22" s="66">
        <f t="shared" si="13"/>
        <v>-14.215725014028408</v>
      </c>
      <c r="AM22" s="52"/>
      <c r="AO22" s="46">
        <v>48208</v>
      </c>
      <c r="AP22" s="43">
        <v>1135.16237449646</v>
      </c>
      <c r="AQ22" s="46">
        <v>1172.75867652893</v>
      </c>
      <c r="AR22" s="46">
        <f t="shared" si="7"/>
        <v>185.08595151490169</v>
      </c>
      <c r="AT22">
        <v>1119.53256988525</v>
      </c>
      <c r="AU22" s="46">
        <f t="shared" si="14"/>
        <v>20.484281172504637</v>
      </c>
      <c r="AV22" s="46">
        <f t="shared" si="8"/>
        <v>1140.0168510577546</v>
      </c>
    </row>
    <row r="23" spans="2:48" x14ac:dyDescent="0.25">
      <c r="B23" s="28" t="s">
        <v>56</v>
      </c>
      <c r="C23" s="29"/>
      <c r="D23" s="30">
        <f t="shared" si="15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994.11736911426294</v>
      </c>
      <c r="J23" s="33">
        <f t="shared" si="0"/>
        <v>48.339630885736938</v>
      </c>
      <c r="K23" s="34"/>
      <c r="L23" s="32">
        <f t="shared" si="16"/>
        <v>20.484281172504637</v>
      </c>
      <c r="M23" s="53"/>
      <c r="N23" s="54"/>
      <c r="O23" s="50"/>
      <c r="P23" s="32">
        <f t="shared" si="3"/>
        <v>20.484281172504637</v>
      </c>
      <c r="Q23" s="37">
        <f t="shared" si="4"/>
        <v>994.11736911426294</v>
      </c>
      <c r="R23" s="37">
        <f t="shared" si="5"/>
        <v>973.63308794175828</v>
      </c>
      <c r="S23" s="33">
        <f t="shared" si="9"/>
        <v>68.82391205824149</v>
      </c>
      <c r="T23" s="10"/>
      <c r="V23" s="80" t="str">
        <f t="shared" si="6"/>
        <v>2031-32</v>
      </c>
      <c r="W23" s="91">
        <v>20.484281172504637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 t="s">
        <v>82</v>
      </c>
      <c r="AD23" s="80" t="s">
        <v>82</v>
      </c>
      <c r="AE23" s="80" t="s">
        <v>82</v>
      </c>
      <c r="AF23" s="59">
        <f t="shared" si="17"/>
        <v>20.484281172504637</v>
      </c>
      <c r="AG23" s="32">
        <f t="shared" si="10"/>
        <v>68.82391205824149</v>
      </c>
      <c r="AH23" s="67"/>
      <c r="AI23" s="44">
        <v>1118.7950078327895</v>
      </c>
      <c r="AJ23" s="45">
        <f t="shared" si="11"/>
        <v>-124.67763871852651</v>
      </c>
      <c r="AK23" s="43">
        <f t="shared" si="12"/>
        <v>48.339630885736938</v>
      </c>
      <c r="AL23" s="66">
        <f t="shared" si="13"/>
        <v>-20.660369114263062</v>
      </c>
      <c r="AM23" s="52"/>
      <c r="AO23" s="46">
        <v>48574</v>
      </c>
      <c r="AP23" s="43">
        <v>1150.0301227569601</v>
      </c>
      <c r="AQ23" s="46">
        <v>1191.45956802368</v>
      </c>
      <c r="AR23" s="46">
        <f t="shared" si="7"/>
        <v>197.34219890941711</v>
      </c>
      <c r="AT23">
        <v>1133.72337913513</v>
      </c>
      <c r="AU23" s="46">
        <f t="shared" si="14"/>
        <v>22.236039689897474</v>
      </c>
      <c r="AV23" s="46">
        <f t="shared" si="8"/>
        <v>1155.9594188250276</v>
      </c>
    </row>
    <row r="24" spans="2:48" x14ac:dyDescent="0.25">
      <c r="B24" s="28" t="s">
        <v>57</v>
      </c>
      <c r="C24" s="29"/>
      <c r="D24" s="30">
        <f t="shared" si="15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1001.2315904227033</v>
      </c>
      <c r="J24" s="33">
        <f t="shared" si="0"/>
        <v>41.225409577296546</v>
      </c>
      <c r="K24" s="34"/>
      <c r="L24" s="32">
        <f t="shared" si="16"/>
        <v>22.236039689897474</v>
      </c>
      <c r="M24" s="53"/>
      <c r="N24" s="54"/>
      <c r="O24" s="50"/>
      <c r="P24" s="32">
        <f t="shared" si="3"/>
        <v>22.236039689897474</v>
      </c>
      <c r="Q24" s="37">
        <f t="shared" si="4"/>
        <v>1001.2315904227033</v>
      </c>
      <c r="R24" s="37">
        <f t="shared" si="5"/>
        <v>978.9955507328059</v>
      </c>
      <c r="S24" s="33">
        <f t="shared" si="9"/>
        <v>63.461449267194098</v>
      </c>
      <c r="T24" s="10"/>
      <c r="V24" s="80" t="str">
        <f t="shared" si="6"/>
        <v>2032-33</v>
      </c>
      <c r="W24" s="91">
        <v>22.236039689897474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 t="s">
        <v>82</v>
      </c>
      <c r="AD24" s="80" t="s">
        <v>82</v>
      </c>
      <c r="AE24" s="80" t="s">
        <v>82</v>
      </c>
      <c r="AF24" s="59">
        <f t="shared" si="17"/>
        <v>22.236039689897474</v>
      </c>
      <c r="AG24" s="32">
        <f t="shared" si="10"/>
        <v>63.461449267194098</v>
      </c>
      <c r="AH24" s="67"/>
      <c r="AI24" s="44">
        <v>1128.6245193965246</v>
      </c>
      <c r="AJ24" s="45">
        <f t="shared" si="11"/>
        <v>-127.39292897382131</v>
      </c>
      <c r="AK24" s="43">
        <f t="shared" si="12"/>
        <v>41.225409577296546</v>
      </c>
      <c r="AL24" s="66">
        <f t="shared" si="13"/>
        <v>-27.774590422703454</v>
      </c>
      <c r="AM24" s="52"/>
      <c r="AO24" s="46">
        <v>48939</v>
      </c>
      <c r="AP24" s="43">
        <v>1164.92650032043</v>
      </c>
      <c r="AQ24" s="46">
        <v>1210.66847038269</v>
      </c>
      <c r="AR24" s="46">
        <f t="shared" si="7"/>
        <v>209.43687995998664</v>
      </c>
      <c r="AT24">
        <v>1148.4505329132101</v>
      </c>
      <c r="AU24" s="46">
        <f t="shared" si="14"/>
        <v>24.103007729696522</v>
      </c>
      <c r="AV24" s="46">
        <f t="shared" si="8"/>
        <v>1172.5535406429067</v>
      </c>
    </row>
    <row r="25" spans="2:48" x14ac:dyDescent="0.25">
      <c r="B25" s="28" t="s">
        <v>58</v>
      </c>
      <c r="C25" s="29"/>
      <c r="D25" s="30">
        <f t="shared" si="15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1005.0364164264992</v>
      </c>
      <c r="J25" s="33">
        <f t="shared" si="0"/>
        <v>37.420583573500721</v>
      </c>
      <c r="K25" s="34"/>
      <c r="L25" s="32">
        <f t="shared" si="16"/>
        <v>24.103007729696522</v>
      </c>
      <c r="M25" s="53"/>
      <c r="N25" s="54"/>
      <c r="O25" s="50"/>
      <c r="P25" s="32">
        <f t="shared" si="3"/>
        <v>24.103007729696522</v>
      </c>
      <c r="Q25" s="37">
        <f t="shared" si="4"/>
        <v>1005.0364164264992</v>
      </c>
      <c r="R25" s="37">
        <f t="shared" si="5"/>
        <v>980.93340869680264</v>
      </c>
      <c r="S25" s="33">
        <f t="shared" si="9"/>
        <v>61.52359130319735</v>
      </c>
      <c r="T25" s="10"/>
      <c r="V25" s="80" t="str">
        <f t="shared" si="6"/>
        <v>2033-34</v>
      </c>
      <c r="W25" s="91">
        <v>24.103007729696522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 t="s">
        <v>82</v>
      </c>
      <c r="AD25" s="80" t="s">
        <v>82</v>
      </c>
      <c r="AE25" s="80" t="s">
        <v>82</v>
      </c>
      <c r="AF25" s="59">
        <f t="shared" si="17"/>
        <v>24.103007729696522</v>
      </c>
      <c r="AG25" s="32">
        <f t="shared" si="10"/>
        <v>61.52359130319735</v>
      </c>
      <c r="AH25" s="67"/>
      <c r="AI25" s="44">
        <v>1137.439360122042</v>
      </c>
      <c r="AJ25" s="45">
        <f t="shared" si="11"/>
        <v>-132.40294369554283</v>
      </c>
      <c r="AK25" s="43">
        <f t="shared" si="12"/>
        <v>37.420583573500721</v>
      </c>
      <c r="AL25" s="66">
        <f t="shared" si="13"/>
        <v>-31.579416426499279</v>
      </c>
      <c r="AM25" s="52"/>
      <c r="AO25" s="46">
        <v>49304</v>
      </c>
      <c r="AP25" s="43">
        <v>1179.42799949646</v>
      </c>
      <c r="AQ25" s="46">
        <v>1229.8649024963399</v>
      </c>
      <c r="AR25" s="46">
        <f t="shared" si="7"/>
        <v>224.82848606984078</v>
      </c>
      <c r="AT25">
        <v>1163.2176990508999</v>
      </c>
      <c r="AU25" s="46">
        <f t="shared" si="14"/>
        <v>26.03512313353469</v>
      </c>
      <c r="AV25" s="46">
        <f t="shared" si="8"/>
        <v>1189.2528221844345</v>
      </c>
    </row>
    <row r="26" spans="2:48" x14ac:dyDescent="0.25">
      <c r="B26" s="28" t="s">
        <v>59</v>
      </c>
      <c r="C26" s="29"/>
      <c r="D26" s="30">
        <f t="shared" si="15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1012.4312557246415</v>
      </c>
      <c r="J26" s="33">
        <f t="shared" si="0"/>
        <v>30.02574427535842</v>
      </c>
      <c r="K26" s="34"/>
      <c r="L26" s="32">
        <f t="shared" si="16"/>
        <v>26.03512313353469</v>
      </c>
      <c r="M26" s="53"/>
      <c r="N26" s="54"/>
      <c r="O26" s="50"/>
      <c r="P26" s="32">
        <f t="shared" si="3"/>
        <v>26.03512313353469</v>
      </c>
      <c r="Q26" s="37">
        <f t="shared" si="4"/>
        <v>1012.4312557246415</v>
      </c>
      <c r="R26" s="37">
        <f t="shared" si="5"/>
        <v>986.39613259110672</v>
      </c>
      <c r="S26" s="33">
        <f t="shared" si="9"/>
        <v>56.060867408893046</v>
      </c>
      <c r="T26" s="10"/>
      <c r="V26" s="80" t="str">
        <f t="shared" si="6"/>
        <v>2034-35</v>
      </c>
      <c r="W26" s="91">
        <v>26.03512313353469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 t="s">
        <v>82</v>
      </c>
      <c r="AD26" s="80" t="s">
        <v>82</v>
      </c>
      <c r="AE26" s="80" t="s">
        <v>82</v>
      </c>
      <c r="AF26" s="59">
        <f t="shared" si="17"/>
        <v>26.03512313353469</v>
      </c>
      <c r="AG26" s="32">
        <f t="shared" si="10"/>
        <v>56.060867408893046</v>
      </c>
      <c r="AH26" s="67"/>
      <c r="AI26" s="44">
        <v>1149.2166802752236</v>
      </c>
      <c r="AJ26" s="45">
        <f t="shared" si="11"/>
        <v>-136.78542455058209</v>
      </c>
      <c r="AK26" s="43">
        <f t="shared" si="12"/>
        <v>30.02574427535842</v>
      </c>
      <c r="AL26" s="66">
        <f t="shared" si="13"/>
        <v>-38.97425572464158</v>
      </c>
      <c r="AM26" s="52"/>
      <c r="AO26" s="46">
        <v>49669</v>
      </c>
      <c r="AP26" s="43">
        <v>1195.84828567505</v>
      </c>
      <c r="AQ26" s="46">
        <v>1248.54808998108</v>
      </c>
      <c r="AR26" s="46">
        <f t="shared" si="7"/>
        <v>236.11683425643855</v>
      </c>
      <c r="AT26">
        <v>1177.60448265076</v>
      </c>
      <c r="AU26" s="46">
        <f t="shared" si="14"/>
        <v>28.03059424161976</v>
      </c>
      <c r="AV26" s="46">
        <f t="shared" si="8"/>
        <v>1205.6350768923799</v>
      </c>
    </row>
    <row r="27" spans="2:48" x14ac:dyDescent="0.25">
      <c r="B27" s="28" t="s">
        <v>60</v>
      </c>
      <c r="C27" s="29"/>
      <c r="D27" s="30">
        <f t="shared" si="15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1016.6407517092729</v>
      </c>
      <c r="J27" s="33">
        <f t="shared" si="0"/>
        <v>25.816248290727003</v>
      </c>
      <c r="K27" s="34"/>
      <c r="L27" s="32">
        <f t="shared" si="16"/>
        <v>28.03059424161976</v>
      </c>
      <c r="M27" s="53"/>
      <c r="N27" s="54"/>
      <c r="O27" s="50"/>
      <c r="P27" s="32">
        <f t="shared" si="3"/>
        <v>28.03059424161976</v>
      </c>
      <c r="Q27" s="37">
        <f t="shared" si="4"/>
        <v>1016.6407517092729</v>
      </c>
      <c r="R27" s="37">
        <f t="shared" si="5"/>
        <v>988.61015746765315</v>
      </c>
      <c r="S27" s="33">
        <f t="shared" si="9"/>
        <v>53.846842532346841</v>
      </c>
      <c r="T27" s="10"/>
      <c r="V27" s="80" t="str">
        <f t="shared" si="6"/>
        <v>2035-36</v>
      </c>
      <c r="W27" s="91">
        <v>28.03059424161976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 t="s">
        <v>82</v>
      </c>
      <c r="AD27" s="80" t="s">
        <v>82</v>
      </c>
      <c r="AE27" s="80" t="s">
        <v>82</v>
      </c>
      <c r="AF27" s="59">
        <f t="shared" si="17"/>
        <v>28.03059424161976</v>
      </c>
      <c r="AG27" s="32">
        <f t="shared" si="10"/>
        <v>53.846842532346841</v>
      </c>
      <c r="AH27" s="67"/>
      <c r="AI27" s="44">
        <v>1160.2287308284001</v>
      </c>
      <c r="AJ27" s="45">
        <f t="shared" si="11"/>
        <v>-143.58797911912723</v>
      </c>
      <c r="AK27" s="43">
        <f t="shared" si="12"/>
        <v>25.816248290727003</v>
      </c>
      <c r="AL27" s="66">
        <f t="shared" si="13"/>
        <v>-43.183751709272997</v>
      </c>
      <c r="AM27" s="52"/>
      <c r="AO27" s="46">
        <v>50035</v>
      </c>
      <c r="AP27" s="43">
        <v>1213.4271640777599</v>
      </c>
      <c r="AQ27" s="46">
        <v>1269.04686546326</v>
      </c>
      <c r="AR27" s="46">
        <f t="shared" si="7"/>
        <v>252.40611375398714</v>
      </c>
      <c r="AT27">
        <v>1193.9249763488799</v>
      </c>
      <c r="AU27" s="46">
        <f t="shared" si="14"/>
        <v>29.926119027434662</v>
      </c>
      <c r="AV27" s="46">
        <f t="shared" si="8"/>
        <v>1223.8510953763146</v>
      </c>
    </row>
    <row r="28" spans="2:48" x14ac:dyDescent="0.25">
      <c r="B28" s="28" t="s">
        <v>61</v>
      </c>
      <c r="C28" s="29"/>
      <c r="D28" s="30">
        <f t="shared" si="15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1027.617529697681</v>
      </c>
      <c r="J28" s="33">
        <f t="shared" si="0"/>
        <v>14.839470302318887</v>
      </c>
      <c r="K28" s="34"/>
      <c r="L28" s="32">
        <f t="shared" si="16"/>
        <v>29.926119027434662</v>
      </c>
      <c r="M28" s="53"/>
      <c r="N28" s="54"/>
      <c r="O28" s="50"/>
      <c r="P28" s="32">
        <f t="shared" si="3"/>
        <v>29.926119027434662</v>
      </c>
      <c r="Q28" s="37">
        <f t="shared" si="4"/>
        <v>1027.617529697681</v>
      </c>
      <c r="R28" s="37">
        <f t="shared" si="5"/>
        <v>997.69141067024634</v>
      </c>
      <c r="S28" s="33">
        <f t="shared" si="9"/>
        <v>44.765589329753539</v>
      </c>
      <c r="T28" s="10"/>
      <c r="V28" s="80" t="str">
        <f t="shared" si="6"/>
        <v>2036-37</v>
      </c>
      <c r="W28" s="91">
        <v>29.926119027434662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 t="s">
        <v>82</v>
      </c>
      <c r="AD28" s="80" t="s">
        <v>82</v>
      </c>
      <c r="AE28" s="80" t="s">
        <v>82</v>
      </c>
      <c r="AF28" s="59">
        <f t="shared" si="17"/>
        <v>29.926119027434662</v>
      </c>
      <c r="AG28" s="32">
        <f t="shared" si="10"/>
        <v>44.765589329753539</v>
      </c>
      <c r="AH28" s="67"/>
      <c r="AI28" s="44">
        <v>1172.9807565724554</v>
      </c>
      <c r="AJ28" s="45">
        <f t="shared" si="11"/>
        <v>-145.36322687477445</v>
      </c>
      <c r="AK28" s="43">
        <f t="shared" si="12"/>
        <v>14.839470302318887</v>
      </c>
      <c r="AL28" s="66">
        <f t="shared" si="13"/>
        <v>-54.160529697681113</v>
      </c>
      <c r="AM28" s="52"/>
      <c r="AO28" s="46">
        <v>50400</v>
      </c>
      <c r="AP28" s="43">
        <v>1229.75672721863</v>
      </c>
      <c r="AQ28" s="46">
        <v>1290.7052478790299</v>
      </c>
      <c r="AR28" s="46">
        <f t="shared" si="7"/>
        <v>263.08771818134892</v>
      </c>
      <c r="AT28">
        <v>1211.41736793518</v>
      </c>
      <c r="AU28" s="46">
        <f t="shared" si="14"/>
        <v>31.848725240838696</v>
      </c>
      <c r="AV28" s="46">
        <f t="shared" si="8"/>
        <v>1243.2660931760188</v>
      </c>
    </row>
    <row r="29" spans="2:48" x14ac:dyDescent="0.25">
      <c r="B29" s="28" t="s">
        <v>62</v>
      </c>
      <c r="C29" s="29"/>
      <c r="D29" s="30">
        <f t="shared" si="15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1031.5763194829667</v>
      </c>
      <c r="J29" s="33">
        <f>H29-I29</f>
        <v>10.88068051703317</v>
      </c>
      <c r="K29" s="34"/>
      <c r="L29" s="32">
        <f t="shared" si="16"/>
        <v>31.848725240838696</v>
      </c>
      <c r="M29" s="53"/>
      <c r="N29" s="54"/>
      <c r="O29" s="50"/>
      <c r="P29" s="32">
        <f>SUM(L29:O29)</f>
        <v>31.848725240838696</v>
      </c>
      <c r="Q29" s="37">
        <f t="shared" si="4"/>
        <v>1031.5763194829667</v>
      </c>
      <c r="R29" s="37">
        <f t="shared" si="5"/>
        <v>999.72759424212802</v>
      </c>
      <c r="S29" s="33">
        <f t="shared" si="9"/>
        <v>42.729405757871973</v>
      </c>
      <c r="T29" s="10"/>
      <c r="V29" s="80" t="str">
        <f t="shared" si="6"/>
        <v>2037-38</v>
      </c>
      <c r="W29" s="91">
        <v>31.848725240838696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 t="s">
        <v>82</v>
      </c>
      <c r="AD29" s="80" t="s">
        <v>82</v>
      </c>
      <c r="AE29" s="80" t="s">
        <v>82</v>
      </c>
      <c r="AF29" s="59">
        <f t="shared" si="17"/>
        <v>31.848725240838696</v>
      </c>
      <c r="AG29" s="32">
        <f t="shared" si="10"/>
        <v>42.729405757871973</v>
      </c>
      <c r="AH29" s="67"/>
      <c r="AI29" s="44">
        <v>1184.6688191641585</v>
      </c>
      <c r="AJ29" s="45">
        <f t="shared" si="11"/>
        <v>-153.09249968119184</v>
      </c>
      <c r="AK29" s="43">
        <f t="shared" si="12"/>
        <v>10.88068051703317</v>
      </c>
      <c r="AL29" s="66">
        <f t="shared" si="13"/>
        <v>-58.11931948296683</v>
      </c>
      <c r="AM29" s="52"/>
      <c r="AO29" s="46">
        <v>49669</v>
      </c>
      <c r="AP29" s="43">
        <v>1195.84828567505</v>
      </c>
      <c r="AQ29" s="46">
        <v>1311.1700935363799</v>
      </c>
      <c r="AR29" s="46">
        <f t="shared" si="7"/>
        <v>279.5937740534132</v>
      </c>
      <c r="AT29">
        <v>1227.67112541199</v>
      </c>
      <c r="AU29" s="46">
        <f t="shared" si="14"/>
        <v>33.758006349625731</v>
      </c>
      <c r="AV29" s="46">
        <f>AT29+AU29</f>
        <v>1261.4291317616157</v>
      </c>
    </row>
    <row r="30" spans="2:48" x14ac:dyDescent="0.25">
      <c r="B30" s="28" t="s">
        <v>63</v>
      </c>
      <c r="C30" s="29"/>
      <c r="D30" s="30">
        <f t="shared" si="15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1037.7187262003151</v>
      </c>
      <c r="J30" s="33">
        <f>H30-I30</f>
        <v>4.7382737996847482</v>
      </c>
      <c r="K30" s="34"/>
      <c r="L30" s="32">
        <f t="shared" si="16"/>
        <v>33.758006349625731</v>
      </c>
      <c r="M30" s="53"/>
      <c r="N30" s="54"/>
      <c r="O30" s="50"/>
      <c r="P30" s="32">
        <f>SUM(L30:O30)</f>
        <v>33.758006349625731</v>
      </c>
      <c r="Q30" s="37">
        <f t="shared" si="4"/>
        <v>1037.7187262003151</v>
      </c>
      <c r="R30" s="37">
        <f t="shared" si="5"/>
        <v>1003.9607198506894</v>
      </c>
      <c r="S30" s="33">
        <f t="shared" si="9"/>
        <v>38.496280149310451</v>
      </c>
      <c r="T30" s="10"/>
      <c r="V30" s="80" t="str">
        <f t="shared" si="6"/>
        <v>2038-39</v>
      </c>
      <c r="W30" s="91">
        <v>33.758006349625731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 t="s">
        <v>82</v>
      </c>
      <c r="AD30" s="80" t="s">
        <v>82</v>
      </c>
      <c r="AE30" s="80" t="s">
        <v>82</v>
      </c>
      <c r="AF30" s="59">
        <f t="shared" si="17"/>
        <v>33.758006349625731</v>
      </c>
      <c r="AG30" s="32">
        <f t="shared" si="10"/>
        <v>38.496280149310451</v>
      </c>
      <c r="AH30" s="67"/>
      <c r="AI30" s="44">
        <v>1200.0978356738965</v>
      </c>
      <c r="AJ30" s="45"/>
      <c r="AK30" s="43">
        <f t="shared" si="12"/>
        <v>4.7382737996847482</v>
      </c>
      <c r="AL30" s="66">
        <f t="shared" si="13"/>
        <v>-64.261726200315252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15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1042.5573918014475</v>
      </c>
      <c r="J31" s="33">
        <f>H31-I31</f>
        <v>-0.10039180144758575</v>
      </c>
      <c r="K31" s="34"/>
      <c r="L31" s="32">
        <f t="shared" si="16"/>
        <v>35.667036277864206</v>
      </c>
      <c r="M31" s="53"/>
      <c r="N31" s="54"/>
      <c r="O31" s="50"/>
      <c r="P31" s="32">
        <f>SUM(L31:O31)</f>
        <v>35.667036277864206</v>
      </c>
      <c r="Q31" s="37">
        <f t="shared" si="4"/>
        <v>1042.5573918014475</v>
      </c>
      <c r="R31" s="37">
        <f t="shared" si="5"/>
        <v>1006.8903555235833</v>
      </c>
      <c r="S31" s="33">
        <f t="shared" si="9"/>
        <v>35.566644476416513</v>
      </c>
      <c r="T31" s="10"/>
      <c r="V31" s="80" t="str">
        <f t="shared" si="6"/>
        <v>2039-40</v>
      </c>
      <c r="W31" s="91">
        <v>35.667036277864206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 t="s">
        <v>82</v>
      </c>
      <c r="AD31" s="80" t="s">
        <v>82</v>
      </c>
      <c r="AE31" s="80" t="s">
        <v>82</v>
      </c>
      <c r="AF31" s="59">
        <f t="shared" si="17"/>
        <v>35.667036277864206</v>
      </c>
      <c r="AG31" s="32">
        <f t="shared" si="10"/>
        <v>35.566644476416513</v>
      </c>
      <c r="AH31" s="67"/>
      <c r="AI31" s="44">
        <v>1214.5413742702863</v>
      </c>
      <c r="AJ31" s="45"/>
      <c r="AK31" s="43">
        <f t="shared" si="12"/>
        <v>-0.10039180144758575</v>
      </c>
      <c r="AL31" s="66">
        <f t="shared" si="13"/>
        <v>-69.100391801447586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15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1050.5153794797916</v>
      </c>
      <c r="J32" s="33">
        <f>H32-I32</f>
        <v>-8.0583794797917108</v>
      </c>
      <c r="K32" s="34"/>
      <c r="L32" s="32">
        <f t="shared" si="16"/>
        <v>37.551892480388744</v>
      </c>
      <c r="M32" s="53"/>
      <c r="N32" s="54"/>
      <c r="O32" s="50"/>
      <c r="P32" s="32">
        <f t="shared" ref="P32:P33" si="18">SUM(L32:O32)</f>
        <v>37.551892480388744</v>
      </c>
      <c r="Q32" s="37">
        <f t="shared" si="4"/>
        <v>1050.5153794797916</v>
      </c>
      <c r="R32" s="37">
        <f t="shared" si="5"/>
        <v>1012.9634869994029</v>
      </c>
      <c r="S32" s="33">
        <f t="shared" si="9"/>
        <v>29.493513000596977</v>
      </c>
      <c r="T32" s="10"/>
      <c r="V32" s="80" t="str">
        <f t="shared" si="6"/>
        <v>2040-41</v>
      </c>
      <c r="W32" s="91">
        <v>37.551892480388744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 t="s">
        <v>82</v>
      </c>
      <c r="AD32" s="80" t="s">
        <v>82</v>
      </c>
      <c r="AE32" s="80" t="s">
        <v>82</v>
      </c>
      <c r="AF32" s="59">
        <f t="shared" si="17"/>
        <v>37.551892480388744</v>
      </c>
      <c r="AG32" s="32">
        <f t="shared" si="10"/>
        <v>29.493513000596977</v>
      </c>
      <c r="AH32" s="67"/>
      <c r="AK32" s="43">
        <f t="shared" si="12"/>
        <v>-8.0583794797917108</v>
      </c>
      <c r="AL32" s="66">
        <f t="shared" si="13"/>
        <v>-77.058379479791711</v>
      </c>
      <c r="AM32" s="52"/>
    </row>
    <row r="33" spans="2:43" x14ac:dyDescent="0.25">
      <c r="B33" s="28" t="s">
        <v>81</v>
      </c>
      <c r="C33" s="29"/>
      <c r="D33" s="30">
        <f t="shared" si="15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1056.1491314178184</v>
      </c>
      <c r="J33" s="33">
        <f>H33-I33</f>
        <v>-13.692131417818473</v>
      </c>
      <c r="K33" s="34"/>
      <c r="L33" s="32">
        <f t="shared" si="16"/>
        <v>39.487608186637914</v>
      </c>
      <c r="M33" s="53"/>
      <c r="N33" s="54"/>
      <c r="O33" s="50"/>
      <c r="P33" s="32">
        <f t="shared" si="18"/>
        <v>39.487608186637914</v>
      </c>
      <c r="Q33" s="37">
        <f>I33</f>
        <v>1056.1491314178184</v>
      </c>
      <c r="R33" s="37">
        <f t="shared" si="5"/>
        <v>1016.6615232311805</v>
      </c>
      <c r="S33" s="33">
        <f t="shared" si="9"/>
        <v>25.795476768819526</v>
      </c>
      <c r="T33" s="10"/>
      <c r="U33" s="55"/>
      <c r="V33" s="80" t="str">
        <f>B33</f>
        <v>2041-42</v>
      </c>
      <c r="W33" s="91">
        <v>39.487608186637914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 t="s">
        <v>82</v>
      </c>
      <c r="AD33" s="80" t="s">
        <v>82</v>
      </c>
      <c r="AE33" s="80" t="s">
        <v>82</v>
      </c>
      <c r="AF33" s="59">
        <f t="shared" si="17"/>
        <v>39.487608186637914</v>
      </c>
      <c r="AG33" s="32">
        <f t="shared" si="10"/>
        <v>25.795476768819526</v>
      </c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3" orientation="landscape" r:id="rId1"/>
  <headerFooter>
    <oddHeader>&amp;L&amp;Z&amp;F</oddHeader>
    <oddFooter>&amp;R&amp;A
&amp;D&amp;T
&amp;Z&amp;F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8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5</v>
      </c>
      <c r="AB5" s="14"/>
      <c r="AC5" s="14"/>
      <c r="AD5" s="15"/>
      <c r="AE5" s="15"/>
      <c r="AF5" s="9"/>
    </row>
    <row r="6" spans="2:48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72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BASE Demand Before DSR</v>
      </c>
      <c r="R6" s="16" t="s">
        <v>135</v>
      </c>
      <c r="S6" s="18" t="s">
        <v>18</v>
      </c>
      <c r="T6" s="10"/>
      <c r="V6" s="71" t="s">
        <v>6</v>
      </c>
      <c r="W6" s="71" t="s">
        <v>86</v>
      </c>
      <c r="X6" s="71" t="s">
        <v>19</v>
      </c>
      <c r="Y6" s="71" t="s">
        <v>20</v>
      </c>
      <c r="Z6" s="71" t="s">
        <v>21</v>
      </c>
      <c r="AA6" s="71" t="s">
        <v>85</v>
      </c>
      <c r="AB6" s="71" t="s">
        <v>22</v>
      </c>
      <c r="AC6" s="71" t="s">
        <v>23</v>
      </c>
      <c r="AD6" s="71" t="s">
        <v>24</v>
      </c>
      <c r="AE6" s="71" t="s">
        <v>14</v>
      </c>
      <c r="AF6" s="16" t="s">
        <v>25</v>
      </c>
      <c r="AG6" s="16" t="s">
        <v>26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2" t="s">
        <v>83</v>
      </c>
      <c r="X7" s="73" t="s">
        <v>30</v>
      </c>
      <c r="Y7" s="73" t="s">
        <v>31</v>
      </c>
      <c r="Z7" s="73" t="s">
        <v>32</v>
      </c>
      <c r="AA7" s="73" t="s">
        <v>33</v>
      </c>
      <c r="AB7" s="73" t="s">
        <v>34</v>
      </c>
      <c r="AC7" s="73" t="s">
        <v>35</v>
      </c>
      <c r="AD7" s="73" t="s">
        <v>36</v>
      </c>
      <c r="AE7" s="73" t="s">
        <v>37</v>
      </c>
      <c r="AF7" s="27"/>
      <c r="AG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4"/>
      <c r="AA8" s="74"/>
      <c r="AB8" s="76"/>
      <c r="AC8" s="74"/>
      <c r="AD8" s="74"/>
      <c r="AE8" s="74"/>
      <c r="AF8" s="87">
        <f t="shared" ref="AF8:AF13" si="1">SUM(X8:AE8)</f>
        <v>0</v>
      </c>
      <c r="AG8" s="37">
        <f>(H8+AF8)-I8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4"/>
      <c r="AA9" s="74"/>
      <c r="AB9" s="76"/>
      <c r="AC9" s="74"/>
      <c r="AD9" s="74"/>
      <c r="AE9" s="74"/>
      <c r="AF9" s="87">
        <f t="shared" si="1"/>
        <v>0</v>
      </c>
      <c r="AG9" s="37">
        <f>(H9+AF9)-I9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Q10-W10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9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78"/>
      <c r="AF10" s="41">
        <f t="shared" si="1"/>
        <v>15</v>
      </c>
      <c r="AG10" s="42">
        <f>(H10+AF10)-I10</f>
        <v>-2.0756608132257952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 t="shared" ref="AR10:AR29" si="7">AQ10-I10</f>
        <v>-2.2806992425785211E-2</v>
      </c>
      <c r="AT10">
        <v>1007.59009361267</v>
      </c>
      <c r="AU10" s="46">
        <f>W10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9">
        <v>6.0589568905517144</v>
      </c>
      <c r="X11" s="77"/>
      <c r="Y11" s="77"/>
      <c r="Z11" s="77"/>
      <c r="AA11" s="77"/>
      <c r="AB11" s="77"/>
      <c r="AC11" s="77"/>
      <c r="AD11" s="77"/>
      <c r="AE11" s="77"/>
      <c r="AF11" s="41">
        <f t="shared" si="1"/>
        <v>0</v>
      </c>
      <c r="AG11" s="42">
        <f>(H11+AF11)-I11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 t="shared" si="7"/>
        <v>-2.534686744593273E-2</v>
      </c>
      <c r="AT11">
        <v>1016.63834762573</v>
      </c>
      <c r="AU11" s="46">
        <f>W11</f>
        <v>6.0589568905517144</v>
      </c>
      <c r="AV11" s="46">
        <f t="shared" ref="AV11:AV28" si="8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9">H12+P12-Q12</f>
        <v>-7.5889205675269977</v>
      </c>
      <c r="T12" s="10"/>
      <c r="V12" s="80" t="str">
        <f t="shared" si="6"/>
        <v>2020-21</v>
      </c>
      <c r="W12" s="75">
        <v>0</v>
      </c>
      <c r="X12" s="80"/>
      <c r="Y12" s="80"/>
      <c r="Z12" s="80"/>
      <c r="AA12" s="80"/>
      <c r="AB12" s="80"/>
      <c r="AC12" s="80"/>
      <c r="AD12" s="80"/>
      <c r="AE12" s="80"/>
      <c r="AF12" s="59">
        <f t="shared" si="1"/>
        <v>0</v>
      </c>
      <c r="AG12" s="32">
        <f t="shared" ref="AG12:AG33" si="10">AF12+H12-I12</f>
        <v>35.454700000000003</v>
      </c>
      <c r="AH12" s="67"/>
      <c r="AI12" s="44">
        <v>1035.500620567527</v>
      </c>
      <c r="AJ12" s="45">
        <f t="shared" ref="AJ12:AJ29" si="11">I12-AI12</f>
        <v>-78.498320567527003</v>
      </c>
      <c r="AK12" s="43">
        <f t="shared" ref="AK12:AK32" si="12">J12</f>
        <v>35.454700000000003</v>
      </c>
      <c r="AL12" s="66">
        <f t="shared" ref="AL12:AL32" si="13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 t="shared" si="7"/>
        <v>79.295233035279921</v>
      </c>
      <c r="AT12">
        <v>1025.8805351257299</v>
      </c>
      <c r="AU12" s="46">
        <f t="shared" ref="AU12:AU29" si="14">W13</f>
        <v>0</v>
      </c>
      <c r="AV12" s="46">
        <f t="shared" si="8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4.6109774071628653</v>
      </c>
      <c r="M13" s="50"/>
      <c r="N13" s="51">
        <v>-3.1532888603364881</v>
      </c>
      <c r="O13" s="50"/>
      <c r="P13" s="32">
        <f t="shared" si="3"/>
        <v>1.4576885468263772</v>
      </c>
      <c r="Q13" s="37">
        <f t="shared" si="4"/>
        <v>957.00229999999999</v>
      </c>
      <c r="R13" s="37">
        <f t="shared" si="5"/>
        <v>957.00229999999999</v>
      </c>
      <c r="S13" s="33">
        <f t="shared" si="9"/>
        <v>86.912388546826264</v>
      </c>
      <c r="T13" s="10"/>
      <c r="V13" s="80" t="str">
        <f t="shared" si="6"/>
        <v>2021-22</v>
      </c>
      <c r="W13" s="81">
        <v>0</v>
      </c>
      <c r="X13" s="80"/>
      <c r="Y13" s="80"/>
      <c r="Z13" s="80"/>
      <c r="AA13" s="80"/>
      <c r="AB13" s="80"/>
      <c r="AC13" s="80"/>
      <c r="AD13" s="80"/>
      <c r="AE13" s="80"/>
      <c r="AF13" s="59">
        <f t="shared" si="1"/>
        <v>0</v>
      </c>
      <c r="AG13" s="32">
        <f t="shared" si="10"/>
        <v>85.454699999999889</v>
      </c>
      <c r="AH13" s="67"/>
      <c r="AI13" s="44">
        <v>1045.6102888603364</v>
      </c>
      <c r="AJ13" s="45">
        <f t="shared" si="11"/>
        <v>-88.607988860336377</v>
      </c>
      <c r="AK13" s="43">
        <f t="shared" si="12"/>
        <v>85.454699999999889</v>
      </c>
      <c r="AL13" s="66">
        <f t="shared" si="13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 t="shared" si="7"/>
        <v>92.182644152829994</v>
      </c>
      <c r="AT13">
        <v>1034.72814559937</v>
      </c>
      <c r="AU13" s="46">
        <f t="shared" si="14"/>
        <v>4.6109774071628653</v>
      </c>
      <c r="AV13" s="46">
        <f t="shared" si="8"/>
        <v>1039.3391230065329</v>
      </c>
    </row>
    <row r="14" spans="2:48" x14ac:dyDescent="0.25">
      <c r="B14" s="28" t="s">
        <v>47</v>
      </c>
      <c r="C14" s="29"/>
      <c r="D14" s="30">
        <f t="shared" ref="D14:D33" si="15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966.56050000000005</v>
      </c>
      <c r="J14" s="33">
        <f t="shared" si="0"/>
        <v>75.896499999999833</v>
      </c>
      <c r="K14" s="34"/>
      <c r="L14" s="32">
        <f>W14</f>
        <v>4.6109774071628653</v>
      </c>
      <c r="M14" s="53"/>
      <c r="N14" s="54"/>
      <c r="O14" s="50"/>
      <c r="P14" s="32">
        <f t="shared" si="3"/>
        <v>4.6109774071628653</v>
      </c>
      <c r="Q14" s="37">
        <f t="shared" si="4"/>
        <v>966.56050000000005</v>
      </c>
      <c r="R14" s="37">
        <f t="shared" si="5"/>
        <v>961.94952259283718</v>
      </c>
      <c r="S14" s="33">
        <f t="shared" si="9"/>
        <v>80.507477407162696</v>
      </c>
      <c r="T14" s="10"/>
      <c r="V14" s="80" t="str">
        <f t="shared" si="6"/>
        <v>2022-23</v>
      </c>
      <c r="W14" s="83">
        <v>4.6109774071628653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0" t="s">
        <v>82</v>
      </c>
      <c r="AE14" s="80" t="s">
        <v>82</v>
      </c>
      <c r="AF14" s="59">
        <f>SUM(W14:AE14)</f>
        <v>4.6109774071628653</v>
      </c>
      <c r="AG14" s="32">
        <f t="shared" si="10"/>
        <v>80.507477407162696</v>
      </c>
      <c r="AH14" s="67"/>
      <c r="AI14" s="44">
        <v>1053.5407413432795</v>
      </c>
      <c r="AJ14" s="45">
        <f t="shared" si="11"/>
        <v>-86.980241343279431</v>
      </c>
      <c r="AK14" s="43">
        <f t="shared" si="12"/>
        <v>75.896499999999833</v>
      </c>
      <c r="AL14" s="66">
        <f t="shared" si="13"/>
        <v>6.8964999999998327</v>
      </c>
      <c r="AM14" s="52"/>
      <c r="AO14" s="46">
        <v>45286</v>
      </c>
      <c r="AP14" s="43">
        <v>1051.6916141510001</v>
      </c>
      <c r="AQ14" s="46">
        <v>1057.5920944213899</v>
      </c>
      <c r="AR14" s="46">
        <f t="shared" si="7"/>
        <v>91.031594421389855</v>
      </c>
      <c r="AT14">
        <v>1039.08507537842</v>
      </c>
      <c r="AU14" s="46">
        <f t="shared" si="14"/>
        <v>9.9162474076782825</v>
      </c>
      <c r="AV14" s="46">
        <f t="shared" si="8"/>
        <v>1049.0013227860984</v>
      </c>
    </row>
    <row r="15" spans="2:48" x14ac:dyDescent="0.25">
      <c r="B15" s="28" t="s">
        <v>48</v>
      </c>
      <c r="C15" s="29"/>
      <c r="D15" s="30">
        <f t="shared" si="15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976.51042000000007</v>
      </c>
      <c r="J15" s="33">
        <f t="shared" si="0"/>
        <v>65.946579999999813</v>
      </c>
      <c r="K15" s="34"/>
      <c r="L15" s="32">
        <f t="shared" ref="L15:L33" si="16">W15</f>
        <v>9.9162474076782825</v>
      </c>
      <c r="M15" s="53"/>
      <c r="N15" s="54"/>
      <c r="O15" s="50"/>
      <c r="P15" s="32">
        <f t="shared" si="3"/>
        <v>9.9162474076782825</v>
      </c>
      <c r="Q15" s="37">
        <f t="shared" si="4"/>
        <v>976.51042000000007</v>
      </c>
      <c r="R15" s="37">
        <f t="shared" si="5"/>
        <v>966.5941725923218</v>
      </c>
      <c r="S15" s="33">
        <f t="shared" si="9"/>
        <v>75.862827407678196</v>
      </c>
      <c r="T15" s="10"/>
      <c r="V15" s="80" t="str">
        <f t="shared" si="6"/>
        <v>2023-24</v>
      </c>
      <c r="W15" s="83">
        <v>9.9162474076782825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 t="s">
        <v>82</v>
      </c>
      <c r="AD15" s="80" t="s">
        <v>82</v>
      </c>
      <c r="AE15" s="80" t="s">
        <v>82</v>
      </c>
      <c r="AF15" s="59">
        <f t="shared" ref="AF15:AF33" si="17">SUM(W15:AE15)</f>
        <v>9.9162474076782825</v>
      </c>
      <c r="AG15" s="32">
        <f t="shared" si="10"/>
        <v>75.862827407678196</v>
      </c>
      <c r="AH15" s="67"/>
      <c r="AI15" s="44">
        <v>1062.70947981108</v>
      </c>
      <c r="AJ15" s="45">
        <f t="shared" si="11"/>
        <v>-86.199059811079906</v>
      </c>
      <c r="AK15" s="43">
        <f t="shared" si="12"/>
        <v>65.946579999999813</v>
      </c>
      <c r="AL15" s="66">
        <f t="shared" si="13"/>
        <v>-3.0534200000001874</v>
      </c>
      <c r="AM15" s="52"/>
      <c r="AO15" s="46">
        <v>45652</v>
      </c>
      <c r="AP15" s="43">
        <v>1061.69411087036</v>
      </c>
      <c r="AQ15" s="46">
        <v>1073.9486598968499</v>
      </c>
      <c r="AR15" s="46">
        <f t="shared" si="7"/>
        <v>97.438239896849836</v>
      </c>
      <c r="AT15">
        <v>1051.30883216858</v>
      </c>
      <c r="AU15" s="46">
        <f t="shared" si="14"/>
        <v>15.476028784735377</v>
      </c>
      <c r="AV15" s="46">
        <f t="shared" si="8"/>
        <v>1066.7848609533153</v>
      </c>
    </row>
    <row r="16" spans="2:48" x14ac:dyDescent="0.25">
      <c r="B16" s="28" t="s">
        <v>49</v>
      </c>
      <c r="C16" s="29"/>
      <c r="D16" s="30">
        <f t="shared" si="15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987.94945999999993</v>
      </c>
      <c r="J16" s="33">
        <f t="shared" si="0"/>
        <v>54.507539999999949</v>
      </c>
      <c r="K16" s="34"/>
      <c r="L16" s="32">
        <f t="shared" si="16"/>
        <v>15.476028784735377</v>
      </c>
      <c r="M16" s="53"/>
      <c r="N16" s="54"/>
      <c r="O16" s="50"/>
      <c r="P16" s="32">
        <f t="shared" si="3"/>
        <v>15.476028784735377</v>
      </c>
      <c r="Q16" s="37">
        <f t="shared" si="4"/>
        <v>987.94945999999993</v>
      </c>
      <c r="R16" s="37">
        <f t="shared" si="5"/>
        <v>972.47343121526455</v>
      </c>
      <c r="S16" s="33">
        <f t="shared" si="9"/>
        <v>69.983568784735212</v>
      </c>
      <c r="T16" s="10"/>
      <c r="V16" s="80" t="str">
        <f t="shared" si="6"/>
        <v>2024-25</v>
      </c>
      <c r="W16" s="83">
        <v>15.476028784735377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 t="s">
        <v>82</v>
      </c>
      <c r="AD16" s="80" t="s">
        <v>82</v>
      </c>
      <c r="AE16" s="80" t="s">
        <v>82</v>
      </c>
      <c r="AF16" s="59">
        <f t="shared" si="17"/>
        <v>15.476028784735377</v>
      </c>
      <c r="AG16" s="32">
        <f t="shared" si="10"/>
        <v>69.983568784735212</v>
      </c>
      <c r="AH16" s="67"/>
      <c r="AI16" s="44">
        <v>1069.875394233997</v>
      </c>
      <c r="AJ16" s="45">
        <f t="shared" si="11"/>
        <v>-81.925934233997054</v>
      </c>
      <c r="AK16" s="43">
        <f t="shared" si="12"/>
        <v>54.507539999999949</v>
      </c>
      <c r="AL16" s="66">
        <f t="shared" si="13"/>
        <v>-14.492460000000051</v>
      </c>
      <c r="AM16" s="52"/>
      <c r="AO16" s="46">
        <v>46017</v>
      </c>
      <c r="AP16" s="43">
        <v>1068.4566287994401</v>
      </c>
      <c r="AQ16" s="46">
        <v>1088.2765007019</v>
      </c>
      <c r="AR16" s="46">
        <f t="shared" si="7"/>
        <v>100.32704070190005</v>
      </c>
      <c r="AT16">
        <v>1061.2161140441899</v>
      </c>
      <c r="AU16" s="46">
        <f t="shared" si="14"/>
        <v>21.139329931715892</v>
      </c>
      <c r="AV16" s="46">
        <f t="shared" si="8"/>
        <v>1082.3554439759057</v>
      </c>
    </row>
    <row r="17" spans="2:48" x14ac:dyDescent="0.25">
      <c r="B17" s="28" t="s">
        <v>50</v>
      </c>
      <c r="C17" s="29"/>
      <c r="D17" s="30">
        <f t="shared" si="15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995.33915999999999</v>
      </c>
      <c r="J17" s="33">
        <f t="shared" si="0"/>
        <v>47.117839999999887</v>
      </c>
      <c r="K17" s="34"/>
      <c r="L17" s="32">
        <f t="shared" si="16"/>
        <v>21.139329931715892</v>
      </c>
      <c r="M17" s="53"/>
      <c r="N17" s="54"/>
      <c r="O17" s="50"/>
      <c r="P17" s="32">
        <f t="shared" si="3"/>
        <v>21.139329931715892</v>
      </c>
      <c r="Q17" s="37">
        <f t="shared" si="4"/>
        <v>995.33915999999999</v>
      </c>
      <c r="R17" s="37">
        <f t="shared" si="5"/>
        <v>974.19983006828409</v>
      </c>
      <c r="S17" s="33">
        <f t="shared" si="9"/>
        <v>68.25716993171568</v>
      </c>
      <c r="T17" s="10"/>
      <c r="V17" s="80" t="str">
        <f t="shared" si="6"/>
        <v>2025-26</v>
      </c>
      <c r="W17" s="83">
        <v>21.139329931715892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 t="s">
        <v>82</v>
      </c>
      <c r="AD17" s="80" t="s">
        <v>82</v>
      </c>
      <c r="AE17" s="80" t="s">
        <v>82</v>
      </c>
      <c r="AF17" s="59">
        <f t="shared" si="17"/>
        <v>21.139329931715892</v>
      </c>
      <c r="AG17" s="32">
        <f t="shared" si="10"/>
        <v>68.25716993171568</v>
      </c>
      <c r="AH17" s="67"/>
      <c r="AI17" s="44">
        <v>1074.046576766304</v>
      </c>
      <c r="AJ17" s="45">
        <f t="shared" si="11"/>
        <v>-78.70741676630405</v>
      </c>
      <c r="AK17" s="43">
        <f t="shared" si="12"/>
        <v>47.117839999999887</v>
      </c>
      <c r="AL17" s="66">
        <f t="shared" si="13"/>
        <v>-21.882160000000113</v>
      </c>
      <c r="AM17" s="52"/>
      <c r="AO17" s="46">
        <v>46382</v>
      </c>
      <c r="AP17" s="43">
        <v>1077.6138305664099</v>
      </c>
      <c r="AQ17" s="46">
        <v>1099.434425354</v>
      </c>
      <c r="AR17" s="46">
        <f t="shared" si="7"/>
        <v>104.09526535400005</v>
      </c>
      <c r="AT17">
        <v>1067.8715152740499</v>
      </c>
      <c r="AU17" s="46">
        <f t="shared" si="14"/>
        <v>27.025804740285224</v>
      </c>
      <c r="AV17" s="46">
        <f t="shared" si="8"/>
        <v>1094.897320014335</v>
      </c>
    </row>
    <row r="18" spans="2:48" x14ac:dyDescent="0.25">
      <c r="B18" s="28" t="s">
        <v>51</v>
      </c>
      <c r="C18" s="29"/>
      <c r="D18" s="30">
        <f t="shared" si="15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1003.3576700000001</v>
      </c>
      <c r="J18" s="33">
        <f t="shared" si="0"/>
        <v>39.099329999999782</v>
      </c>
      <c r="K18" s="34"/>
      <c r="L18" s="32">
        <f t="shared" si="16"/>
        <v>27.025804740285224</v>
      </c>
      <c r="M18" s="53"/>
      <c r="N18" s="54"/>
      <c r="O18" s="50"/>
      <c r="P18" s="32">
        <f t="shared" si="3"/>
        <v>27.025804740285224</v>
      </c>
      <c r="Q18" s="37">
        <f t="shared" si="4"/>
        <v>1003.3576700000001</v>
      </c>
      <c r="R18" s="37">
        <f t="shared" si="5"/>
        <v>976.33186525971485</v>
      </c>
      <c r="S18" s="33">
        <f t="shared" si="9"/>
        <v>66.125134740284921</v>
      </c>
      <c r="T18" s="10"/>
      <c r="V18" s="80" t="str">
        <f t="shared" si="6"/>
        <v>2026-27</v>
      </c>
      <c r="W18" s="83">
        <v>27.025804740285224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 t="s">
        <v>82</v>
      </c>
      <c r="AD18" s="80" t="s">
        <v>82</v>
      </c>
      <c r="AE18" s="80" t="s">
        <v>82</v>
      </c>
      <c r="AF18" s="59">
        <f t="shared" si="17"/>
        <v>27.025804740285224</v>
      </c>
      <c r="AG18" s="32">
        <f t="shared" si="10"/>
        <v>66.125134740284921</v>
      </c>
      <c r="AH18" s="67"/>
      <c r="AI18" s="44">
        <v>1081.3726145732787</v>
      </c>
      <c r="AJ18" s="45">
        <f t="shared" si="11"/>
        <v>-78.014944573278626</v>
      </c>
      <c r="AK18" s="43">
        <f t="shared" si="12"/>
        <v>39.099329999999782</v>
      </c>
      <c r="AL18" s="66">
        <f t="shared" si="13"/>
        <v>-29.900670000000218</v>
      </c>
      <c r="AM18" s="52"/>
      <c r="AO18" s="46">
        <v>46747</v>
      </c>
      <c r="AP18" s="43">
        <v>1083.91345024109</v>
      </c>
      <c r="AQ18" s="46">
        <v>1112.8700542449999</v>
      </c>
      <c r="AR18" s="46">
        <f t="shared" si="7"/>
        <v>109.51238424499979</v>
      </c>
      <c r="AT18">
        <v>1076.90893554688</v>
      </c>
      <c r="AU18" s="46">
        <f t="shared" si="14"/>
        <v>33.165863658378711</v>
      </c>
      <c r="AV18" s="46">
        <f t="shared" si="8"/>
        <v>1110.0747992052586</v>
      </c>
    </row>
    <row r="19" spans="2:48" x14ac:dyDescent="0.25">
      <c r="B19" s="28" t="s">
        <v>52</v>
      </c>
      <c r="C19" s="29"/>
      <c r="D19" s="30">
        <f t="shared" si="15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1011.2176899999998</v>
      </c>
      <c r="J19" s="33">
        <f t="shared" si="0"/>
        <v>31.239310000000046</v>
      </c>
      <c r="K19" s="34"/>
      <c r="L19" s="32">
        <f t="shared" si="16"/>
        <v>33.165863658378711</v>
      </c>
      <c r="M19" s="53"/>
      <c r="N19" s="54"/>
      <c r="O19" s="50"/>
      <c r="P19" s="32">
        <f t="shared" si="3"/>
        <v>33.165863658378711</v>
      </c>
      <c r="Q19" s="37">
        <f t="shared" si="4"/>
        <v>1011.2176899999998</v>
      </c>
      <c r="R19" s="37">
        <f t="shared" si="5"/>
        <v>978.05182634162111</v>
      </c>
      <c r="S19" s="33">
        <f t="shared" si="9"/>
        <v>64.405173658378658</v>
      </c>
      <c r="T19" s="10"/>
      <c r="V19" s="80" t="str">
        <f t="shared" si="6"/>
        <v>2027-28</v>
      </c>
      <c r="W19" s="83">
        <v>33.165863658378711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 t="s">
        <v>82</v>
      </c>
      <c r="AD19" s="80" t="s">
        <v>82</v>
      </c>
      <c r="AE19" s="80" t="s">
        <v>82</v>
      </c>
      <c r="AF19" s="59">
        <f t="shared" si="17"/>
        <v>33.165863658378711</v>
      </c>
      <c r="AG19" s="32">
        <f t="shared" si="10"/>
        <v>64.405173658378658</v>
      </c>
      <c r="AH19" s="67"/>
      <c r="AI19" s="44">
        <v>1088.9478443321157</v>
      </c>
      <c r="AJ19" s="45">
        <f t="shared" si="11"/>
        <v>-77.730154332115831</v>
      </c>
      <c r="AK19" s="43">
        <f t="shared" si="12"/>
        <v>31.239310000000046</v>
      </c>
      <c r="AL19" s="66">
        <f t="shared" si="13"/>
        <v>-37.760689999999954</v>
      </c>
      <c r="AM19" s="52"/>
      <c r="AO19" s="46">
        <v>47113</v>
      </c>
      <c r="AP19" s="43">
        <v>1092.7315940856899</v>
      </c>
      <c r="AQ19" s="46">
        <v>1123.43689346313</v>
      </c>
      <c r="AR19" s="46">
        <f t="shared" si="7"/>
        <v>112.21920346313016</v>
      </c>
      <c r="AT19">
        <v>1083.0756511688201</v>
      </c>
      <c r="AU19" s="46">
        <f t="shared" si="14"/>
        <v>39.560679463789029</v>
      </c>
      <c r="AV19" s="46">
        <f t="shared" si="8"/>
        <v>1122.6363306326091</v>
      </c>
    </row>
    <row r="20" spans="2:48" x14ac:dyDescent="0.25">
      <c r="B20" s="28" t="s">
        <v>53</v>
      </c>
      <c r="C20" s="29"/>
      <c r="D20" s="30">
        <f t="shared" si="15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1020.75771</v>
      </c>
      <c r="J20" s="33">
        <f t="shared" si="0"/>
        <v>21.699289999999905</v>
      </c>
      <c r="K20" s="34"/>
      <c r="L20" s="32">
        <f t="shared" si="16"/>
        <v>39.560679463789029</v>
      </c>
      <c r="M20" s="53"/>
      <c r="N20" s="54"/>
      <c r="O20" s="50"/>
      <c r="P20" s="32">
        <f t="shared" si="3"/>
        <v>39.560679463789029</v>
      </c>
      <c r="Q20" s="37">
        <f t="shared" si="4"/>
        <v>1020.75771</v>
      </c>
      <c r="R20" s="37">
        <f t="shared" si="5"/>
        <v>981.19703053621095</v>
      </c>
      <c r="S20" s="33">
        <f t="shared" si="9"/>
        <v>61.259969463788934</v>
      </c>
      <c r="T20" s="10"/>
      <c r="V20" s="80" t="str">
        <f t="shared" si="6"/>
        <v>2028-29</v>
      </c>
      <c r="W20" s="83">
        <v>39.560679463789029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 t="s">
        <v>82</v>
      </c>
      <c r="AD20" s="80" t="s">
        <v>82</v>
      </c>
      <c r="AE20" s="80" t="s">
        <v>82</v>
      </c>
      <c r="AF20" s="59">
        <f t="shared" si="17"/>
        <v>39.560679463789029</v>
      </c>
      <c r="AG20" s="32">
        <f t="shared" si="10"/>
        <v>61.259969463788934</v>
      </c>
      <c r="AH20" s="67"/>
      <c r="AI20" s="44">
        <v>1096.2966233757172</v>
      </c>
      <c r="AJ20" s="45">
        <f t="shared" si="11"/>
        <v>-75.538913375717243</v>
      </c>
      <c r="AK20" s="43">
        <f t="shared" si="12"/>
        <v>21.699289999999905</v>
      </c>
      <c r="AL20" s="66">
        <f t="shared" si="13"/>
        <v>-47.300710000000095</v>
      </c>
      <c r="AM20" s="52"/>
      <c r="AO20" s="46">
        <v>47478</v>
      </c>
      <c r="AP20" s="43">
        <v>1106.82481765747</v>
      </c>
      <c r="AQ20" s="46">
        <v>1136.34985542297</v>
      </c>
      <c r="AR20" s="46">
        <f t="shared" si="7"/>
        <v>115.59214542297002</v>
      </c>
      <c r="AT20">
        <v>1091.7492027282699</v>
      </c>
      <c r="AU20" s="46">
        <f t="shared" si="14"/>
        <v>46.189227368028135</v>
      </c>
      <c r="AV20" s="46">
        <f t="shared" si="8"/>
        <v>1137.9384300962981</v>
      </c>
    </row>
    <row r="21" spans="2:48" x14ac:dyDescent="0.25">
      <c r="B21" s="28" t="s">
        <v>54</v>
      </c>
      <c r="C21" s="29"/>
      <c r="D21" s="30">
        <f t="shared" si="15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1027.3149399999998</v>
      </c>
      <c r="J21" s="33">
        <f t="shared" si="0"/>
        <v>15.142060000000129</v>
      </c>
      <c r="K21" s="34"/>
      <c r="L21" s="32">
        <f t="shared" si="16"/>
        <v>46.189227368028135</v>
      </c>
      <c r="M21" s="53"/>
      <c r="N21" s="54"/>
      <c r="O21" s="50"/>
      <c r="P21" s="32">
        <f t="shared" si="3"/>
        <v>46.189227368028135</v>
      </c>
      <c r="Q21" s="37">
        <f t="shared" si="4"/>
        <v>1027.3149399999998</v>
      </c>
      <c r="R21" s="37">
        <f t="shared" si="5"/>
        <v>981.12571263197162</v>
      </c>
      <c r="S21" s="33">
        <f t="shared" si="9"/>
        <v>61.33128736802837</v>
      </c>
      <c r="T21" s="10"/>
      <c r="V21" s="80" t="str">
        <f t="shared" si="6"/>
        <v>2029-30</v>
      </c>
      <c r="W21" s="83">
        <v>46.189227368028135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 t="s">
        <v>82</v>
      </c>
      <c r="AD21" s="80" t="s">
        <v>82</v>
      </c>
      <c r="AE21" s="80" t="s">
        <v>82</v>
      </c>
      <c r="AF21" s="59">
        <f t="shared" si="17"/>
        <v>46.189227368028135</v>
      </c>
      <c r="AG21" s="32">
        <f t="shared" si="10"/>
        <v>61.33128736802837</v>
      </c>
      <c r="AH21" s="67"/>
      <c r="AI21" s="44">
        <v>1102.2936430343566</v>
      </c>
      <c r="AJ21" s="45">
        <f t="shared" si="11"/>
        <v>-74.97870303435684</v>
      </c>
      <c r="AK21" s="43">
        <f t="shared" si="12"/>
        <v>15.142060000000129</v>
      </c>
      <c r="AL21" s="66">
        <f t="shared" si="13"/>
        <v>-53.857939999999871</v>
      </c>
      <c r="AM21" s="52"/>
      <c r="AO21" s="46">
        <v>47843</v>
      </c>
      <c r="AP21" s="43">
        <v>1120.82166290283</v>
      </c>
      <c r="AQ21" s="46">
        <v>1154.4859790802</v>
      </c>
      <c r="AR21" s="46">
        <f t="shared" si="7"/>
        <v>127.17103908020022</v>
      </c>
      <c r="AT21">
        <v>1105.69041824341</v>
      </c>
      <c r="AU21" s="46">
        <f t="shared" si="14"/>
        <v>53.020257442777599</v>
      </c>
      <c r="AV21" s="46">
        <f t="shared" si="8"/>
        <v>1158.7106756861876</v>
      </c>
    </row>
    <row r="22" spans="2:48" x14ac:dyDescent="0.25">
      <c r="B22" s="28" t="s">
        <v>55</v>
      </c>
      <c r="C22" s="29"/>
      <c r="D22" s="30">
        <f t="shared" si="15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1035.65245</v>
      </c>
      <c r="J22" s="33">
        <f t="shared" si="0"/>
        <v>6.8045499999998356</v>
      </c>
      <c r="K22" s="34"/>
      <c r="L22" s="32">
        <f t="shared" si="16"/>
        <v>53.020257442777599</v>
      </c>
      <c r="M22" s="53"/>
      <c r="N22" s="54"/>
      <c r="O22" s="50"/>
      <c r="P22" s="32">
        <f t="shared" si="3"/>
        <v>53.020257442777599</v>
      </c>
      <c r="Q22" s="37">
        <f t="shared" si="4"/>
        <v>1035.65245</v>
      </c>
      <c r="R22" s="37">
        <f t="shared" si="5"/>
        <v>982.63219255722242</v>
      </c>
      <c r="S22" s="33">
        <f t="shared" si="9"/>
        <v>59.824807442777455</v>
      </c>
      <c r="T22" s="10"/>
      <c r="V22" s="80" t="str">
        <f t="shared" si="6"/>
        <v>2030-31</v>
      </c>
      <c r="W22" s="83">
        <v>53.020257442777599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 t="s">
        <v>82</v>
      </c>
      <c r="AD22" s="80" t="s">
        <v>82</v>
      </c>
      <c r="AE22" s="80" t="s">
        <v>82</v>
      </c>
      <c r="AF22" s="59">
        <f t="shared" si="17"/>
        <v>53.020257442777599</v>
      </c>
      <c r="AG22" s="32">
        <f t="shared" si="10"/>
        <v>59.824807442777455</v>
      </c>
      <c r="AH22" s="67"/>
      <c r="AI22" s="44">
        <v>1110.8754963941149</v>
      </c>
      <c r="AJ22" s="45">
        <f t="shared" si="11"/>
        <v>-75.223046394114817</v>
      </c>
      <c r="AK22" s="43">
        <f t="shared" si="12"/>
        <v>6.8045499999998356</v>
      </c>
      <c r="AL22" s="66">
        <f t="shared" si="13"/>
        <v>-62.195450000000164</v>
      </c>
      <c r="AM22" s="52"/>
      <c r="AO22" s="46">
        <v>48208</v>
      </c>
      <c r="AP22" s="43">
        <v>1135.16237449646</v>
      </c>
      <c r="AQ22" s="46">
        <v>1172.75867652893</v>
      </c>
      <c r="AR22" s="46">
        <f t="shared" si="7"/>
        <v>137.10622652892994</v>
      </c>
      <c r="AT22">
        <v>1119.53256988525</v>
      </c>
      <c r="AU22" s="46">
        <f t="shared" si="14"/>
        <v>60.096051823811081</v>
      </c>
      <c r="AV22" s="46">
        <f t="shared" si="8"/>
        <v>1179.628621709061</v>
      </c>
    </row>
    <row r="23" spans="2:48" x14ac:dyDescent="0.25">
      <c r="B23" s="28" t="s">
        <v>56</v>
      </c>
      <c r="C23" s="29"/>
      <c r="D23" s="30">
        <f t="shared" si="15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1044.54214</v>
      </c>
      <c r="J23" s="33">
        <f t="shared" si="0"/>
        <v>-2.0851400000001377</v>
      </c>
      <c r="K23" s="34"/>
      <c r="L23" s="32">
        <f t="shared" si="16"/>
        <v>60.096051823811081</v>
      </c>
      <c r="M23" s="53"/>
      <c r="N23" s="54"/>
      <c r="O23" s="50"/>
      <c r="P23" s="32">
        <f t="shared" si="3"/>
        <v>60.096051823811081</v>
      </c>
      <c r="Q23" s="37">
        <f t="shared" si="4"/>
        <v>1044.54214</v>
      </c>
      <c r="R23" s="37">
        <f t="shared" si="5"/>
        <v>984.44608817618894</v>
      </c>
      <c r="S23" s="33">
        <f t="shared" si="9"/>
        <v>58.010911823811057</v>
      </c>
      <c r="T23" s="10"/>
      <c r="V23" s="80" t="str">
        <f t="shared" si="6"/>
        <v>2031-32</v>
      </c>
      <c r="W23" s="83">
        <v>60.096051823811081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 t="s">
        <v>82</v>
      </c>
      <c r="AD23" s="80" t="s">
        <v>82</v>
      </c>
      <c r="AE23" s="80" t="s">
        <v>82</v>
      </c>
      <c r="AF23" s="59">
        <f t="shared" si="17"/>
        <v>60.096051823811081</v>
      </c>
      <c r="AG23" s="32">
        <f t="shared" si="10"/>
        <v>58.010911823811057</v>
      </c>
      <c r="AH23" s="67"/>
      <c r="AI23" s="44">
        <v>1118.7950078327895</v>
      </c>
      <c r="AJ23" s="45">
        <f t="shared" si="11"/>
        <v>-74.252867832789434</v>
      </c>
      <c r="AK23" s="43">
        <f t="shared" si="12"/>
        <v>-2.0851400000001377</v>
      </c>
      <c r="AL23" s="66">
        <f t="shared" si="13"/>
        <v>-71.085140000000138</v>
      </c>
      <c r="AM23" s="52"/>
      <c r="AO23" s="46">
        <v>48574</v>
      </c>
      <c r="AP23" s="43">
        <v>1150.0301227569601</v>
      </c>
      <c r="AQ23" s="46">
        <v>1191.45956802368</v>
      </c>
      <c r="AR23" s="46">
        <f t="shared" si="7"/>
        <v>146.91742802368003</v>
      </c>
      <c r="AT23">
        <v>1133.72337913513</v>
      </c>
      <c r="AU23" s="46">
        <f t="shared" si="14"/>
        <v>64.493510880728138</v>
      </c>
      <c r="AV23" s="46">
        <f t="shared" si="8"/>
        <v>1198.2168900158581</v>
      </c>
    </row>
    <row r="24" spans="2:48" x14ac:dyDescent="0.25">
      <c r="B24" s="28" t="s">
        <v>57</v>
      </c>
      <c r="C24" s="29"/>
      <c r="D24" s="30">
        <f t="shared" si="15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1054.7405199999998</v>
      </c>
      <c r="J24" s="33">
        <f t="shared" si="0"/>
        <v>-12.283519999999953</v>
      </c>
      <c r="K24" s="34"/>
      <c r="L24" s="32">
        <f t="shared" si="16"/>
        <v>64.493510880728138</v>
      </c>
      <c r="M24" s="53"/>
      <c r="N24" s="54"/>
      <c r="O24" s="50"/>
      <c r="P24" s="32">
        <f t="shared" si="3"/>
        <v>64.493510880728138</v>
      </c>
      <c r="Q24" s="37">
        <f t="shared" si="4"/>
        <v>1054.7405199999998</v>
      </c>
      <c r="R24" s="37">
        <f t="shared" si="5"/>
        <v>990.24700911927175</v>
      </c>
      <c r="S24" s="33">
        <f t="shared" si="9"/>
        <v>52.209990880728128</v>
      </c>
      <c r="T24" s="10"/>
      <c r="V24" s="80" t="str">
        <f t="shared" si="6"/>
        <v>2032-33</v>
      </c>
      <c r="W24" s="83">
        <v>64.493510880728138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 t="s">
        <v>82</v>
      </c>
      <c r="AD24" s="80" t="s">
        <v>82</v>
      </c>
      <c r="AE24" s="80" t="s">
        <v>82</v>
      </c>
      <c r="AF24" s="59">
        <f t="shared" si="17"/>
        <v>64.493510880728138</v>
      </c>
      <c r="AG24" s="32">
        <f t="shared" si="10"/>
        <v>52.209990880728128</v>
      </c>
      <c r="AH24" s="67"/>
      <c r="AI24" s="44">
        <v>1128.6245193965246</v>
      </c>
      <c r="AJ24" s="45">
        <f t="shared" si="11"/>
        <v>-73.883999396524814</v>
      </c>
      <c r="AK24" s="43">
        <f t="shared" si="12"/>
        <v>-12.283519999999953</v>
      </c>
      <c r="AL24" s="66">
        <f t="shared" si="13"/>
        <v>-81.283519999999953</v>
      </c>
      <c r="AM24" s="52"/>
      <c r="AO24" s="46">
        <v>48939</v>
      </c>
      <c r="AP24" s="43">
        <v>1164.92650032043</v>
      </c>
      <c r="AQ24" s="46">
        <v>1210.66847038269</v>
      </c>
      <c r="AR24" s="46">
        <f t="shared" si="7"/>
        <v>155.92795038269014</v>
      </c>
      <c r="AT24">
        <v>1148.4505329132101</v>
      </c>
      <c r="AU24" s="46">
        <f t="shared" si="14"/>
        <v>69.066897835315515</v>
      </c>
      <c r="AV24" s="46">
        <f t="shared" si="8"/>
        <v>1217.5174307485256</v>
      </c>
    </row>
    <row r="25" spans="2:48" x14ac:dyDescent="0.25">
      <c r="B25" s="28" t="s">
        <v>58</v>
      </c>
      <c r="C25" s="29"/>
      <c r="D25" s="30">
        <f t="shared" si="15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1061.5890300000001</v>
      </c>
      <c r="J25" s="33">
        <f t="shared" si="0"/>
        <v>-19.132030000000213</v>
      </c>
      <c r="K25" s="34"/>
      <c r="L25" s="32">
        <f t="shared" si="16"/>
        <v>69.066897835315515</v>
      </c>
      <c r="M25" s="53"/>
      <c r="N25" s="54"/>
      <c r="O25" s="50"/>
      <c r="P25" s="32">
        <f t="shared" si="3"/>
        <v>69.066897835315515</v>
      </c>
      <c r="Q25" s="37">
        <f t="shared" si="4"/>
        <v>1061.5890300000001</v>
      </c>
      <c r="R25" s="37">
        <f t="shared" si="5"/>
        <v>992.52213216468454</v>
      </c>
      <c r="S25" s="33">
        <f t="shared" si="9"/>
        <v>49.934867835315345</v>
      </c>
      <c r="T25" s="10"/>
      <c r="V25" s="80" t="str">
        <f t="shared" si="6"/>
        <v>2033-34</v>
      </c>
      <c r="W25" s="83">
        <v>69.066897835315515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 t="s">
        <v>82</v>
      </c>
      <c r="AD25" s="80" t="s">
        <v>82</v>
      </c>
      <c r="AE25" s="80" t="s">
        <v>82</v>
      </c>
      <c r="AF25" s="59">
        <f t="shared" si="17"/>
        <v>69.066897835315515</v>
      </c>
      <c r="AG25" s="32">
        <f t="shared" si="10"/>
        <v>49.934867835315345</v>
      </c>
      <c r="AH25" s="67"/>
      <c r="AI25" s="44">
        <v>1137.439360122042</v>
      </c>
      <c r="AJ25" s="45">
        <f t="shared" si="11"/>
        <v>-75.850330122041896</v>
      </c>
      <c r="AK25" s="43">
        <f t="shared" si="12"/>
        <v>-19.132030000000213</v>
      </c>
      <c r="AL25" s="66">
        <f t="shared" si="13"/>
        <v>-88.132030000000213</v>
      </c>
      <c r="AM25" s="52"/>
      <c r="AO25" s="46">
        <v>49304</v>
      </c>
      <c r="AP25" s="43">
        <v>1179.42799949646</v>
      </c>
      <c r="AQ25" s="46">
        <v>1229.8649024963399</v>
      </c>
      <c r="AR25" s="46">
        <f t="shared" si="7"/>
        <v>168.27587249633984</v>
      </c>
      <c r="AT25">
        <v>1163.2176990508999</v>
      </c>
      <c r="AU25" s="46">
        <f t="shared" si="14"/>
        <v>73.759030680977787</v>
      </c>
      <c r="AV25" s="46">
        <f t="shared" si="8"/>
        <v>1236.9767297318776</v>
      </c>
    </row>
    <row r="26" spans="2:48" x14ac:dyDescent="0.25">
      <c r="B26" s="28" t="s">
        <v>59</v>
      </c>
      <c r="C26" s="29"/>
      <c r="D26" s="30">
        <f t="shared" si="15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1070.0812900000001</v>
      </c>
      <c r="J26" s="33">
        <f t="shared" si="0"/>
        <v>-27.624290000000201</v>
      </c>
      <c r="K26" s="34"/>
      <c r="L26" s="32">
        <f t="shared" si="16"/>
        <v>73.759030680977787</v>
      </c>
      <c r="M26" s="53"/>
      <c r="N26" s="54"/>
      <c r="O26" s="50"/>
      <c r="P26" s="32">
        <f t="shared" si="3"/>
        <v>73.759030680977787</v>
      </c>
      <c r="Q26" s="37">
        <f t="shared" si="4"/>
        <v>1070.0812900000001</v>
      </c>
      <c r="R26" s="37">
        <f t="shared" si="5"/>
        <v>996.32225931902235</v>
      </c>
      <c r="S26" s="33">
        <f t="shared" si="9"/>
        <v>46.134740680977529</v>
      </c>
      <c r="T26" s="10"/>
      <c r="V26" s="80" t="str">
        <f t="shared" si="6"/>
        <v>2034-35</v>
      </c>
      <c r="W26" s="83">
        <v>73.759030680977787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 t="s">
        <v>82</v>
      </c>
      <c r="AD26" s="80" t="s">
        <v>82</v>
      </c>
      <c r="AE26" s="80" t="s">
        <v>82</v>
      </c>
      <c r="AF26" s="59">
        <f t="shared" si="17"/>
        <v>73.759030680977787</v>
      </c>
      <c r="AG26" s="32">
        <f t="shared" si="10"/>
        <v>46.134740680977529</v>
      </c>
      <c r="AH26" s="67"/>
      <c r="AI26" s="44">
        <v>1149.2166802752236</v>
      </c>
      <c r="AJ26" s="45">
        <f t="shared" si="11"/>
        <v>-79.135390275223472</v>
      </c>
      <c r="AK26" s="43">
        <f t="shared" si="12"/>
        <v>-27.624290000000201</v>
      </c>
      <c r="AL26" s="66">
        <f t="shared" si="13"/>
        <v>-96.624290000000201</v>
      </c>
      <c r="AM26" s="52"/>
      <c r="AO26" s="46">
        <v>49669</v>
      </c>
      <c r="AP26" s="43">
        <v>1195.84828567505</v>
      </c>
      <c r="AQ26" s="46">
        <v>1248.54808998108</v>
      </c>
      <c r="AR26" s="46">
        <f t="shared" si="7"/>
        <v>178.46679998107993</v>
      </c>
      <c r="AT26">
        <v>1177.60448265076</v>
      </c>
      <c r="AU26" s="46">
        <f t="shared" si="14"/>
        <v>78.537094865663107</v>
      </c>
      <c r="AV26" s="46">
        <f t="shared" si="8"/>
        <v>1256.1415775164232</v>
      </c>
    </row>
    <row r="27" spans="2:48" x14ac:dyDescent="0.25">
      <c r="B27" s="28" t="s">
        <v>60</v>
      </c>
      <c r="C27" s="29"/>
      <c r="D27" s="30">
        <f t="shared" si="15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1078.7246899999998</v>
      </c>
      <c r="J27" s="33">
        <f t="shared" si="0"/>
        <v>-36.267689999999902</v>
      </c>
      <c r="K27" s="34"/>
      <c r="L27" s="32">
        <f t="shared" si="16"/>
        <v>78.537094865663107</v>
      </c>
      <c r="M27" s="53"/>
      <c r="N27" s="54"/>
      <c r="O27" s="50"/>
      <c r="P27" s="32">
        <f t="shared" si="3"/>
        <v>78.537094865663107</v>
      </c>
      <c r="Q27" s="37">
        <f t="shared" si="4"/>
        <v>1078.7246899999998</v>
      </c>
      <c r="R27" s="37">
        <f t="shared" si="5"/>
        <v>1000.1875951343367</v>
      </c>
      <c r="S27" s="33">
        <f t="shared" si="9"/>
        <v>42.269404865663319</v>
      </c>
      <c r="T27" s="10"/>
      <c r="V27" s="80" t="str">
        <f t="shared" si="6"/>
        <v>2035-36</v>
      </c>
      <c r="W27" s="83">
        <v>78.537094865663107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 t="s">
        <v>82</v>
      </c>
      <c r="AD27" s="80" t="s">
        <v>82</v>
      </c>
      <c r="AE27" s="80" t="s">
        <v>82</v>
      </c>
      <c r="AF27" s="59">
        <f t="shared" si="17"/>
        <v>78.537094865663107</v>
      </c>
      <c r="AG27" s="32">
        <f t="shared" si="10"/>
        <v>42.269404865663319</v>
      </c>
      <c r="AH27" s="67"/>
      <c r="AI27" s="44">
        <v>1160.2287308284001</v>
      </c>
      <c r="AJ27" s="45">
        <f t="shared" si="11"/>
        <v>-81.504040828400321</v>
      </c>
      <c r="AK27" s="43">
        <f t="shared" si="12"/>
        <v>-36.267689999999902</v>
      </c>
      <c r="AL27" s="66">
        <f t="shared" si="13"/>
        <v>-105.2676899999999</v>
      </c>
      <c r="AM27" s="52"/>
      <c r="AO27" s="46">
        <v>50035</v>
      </c>
      <c r="AP27" s="43">
        <v>1213.4271640777599</v>
      </c>
      <c r="AQ27" s="46">
        <v>1269.04686546326</v>
      </c>
      <c r="AR27" s="46">
        <f t="shared" si="7"/>
        <v>190.32217546326024</v>
      </c>
      <c r="AT27">
        <v>1193.9249763488799</v>
      </c>
      <c r="AU27" s="46">
        <f t="shared" si="14"/>
        <v>83.23648514650499</v>
      </c>
      <c r="AV27" s="46">
        <f t="shared" si="8"/>
        <v>1277.1614614953849</v>
      </c>
    </row>
    <row r="28" spans="2:48" x14ac:dyDescent="0.25">
      <c r="B28" s="28" t="s">
        <v>61</v>
      </c>
      <c r="C28" s="29"/>
      <c r="D28" s="30">
        <f t="shared" si="15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1088.9309900000001</v>
      </c>
      <c r="J28" s="33">
        <f t="shared" si="0"/>
        <v>-46.473990000000185</v>
      </c>
      <c r="K28" s="34"/>
      <c r="L28" s="32">
        <f t="shared" si="16"/>
        <v>83.23648514650499</v>
      </c>
      <c r="M28" s="53"/>
      <c r="N28" s="54"/>
      <c r="O28" s="50"/>
      <c r="P28" s="32">
        <f t="shared" si="3"/>
        <v>83.23648514650499</v>
      </c>
      <c r="Q28" s="37">
        <f t="shared" si="4"/>
        <v>1088.9309900000001</v>
      </c>
      <c r="R28" s="37">
        <f t="shared" si="5"/>
        <v>1005.6945048534951</v>
      </c>
      <c r="S28" s="33">
        <f t="shared" si="9"/>
        <v>36.762495146504762</v>
      </c>
      <c r="T28" s="10"/>
      <c r="V28" s="80" t="str">
        <f t="shared" si="6"/>
        <v>2036-37</v>
      </c>
      <c r="W28" s="83">
        <v>83.23648514650499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 t="s">
        <v>82</v>
      </c>
      <c r="AD28" s="80" t="s">
        <v>82</v>
      </c>
      <c r="AE28" s="80" t="s">
        <v>82</v>
      </c>
      <c r="AF28" s="59">
        <f t="shared" si="17"/>
        <v>83.23648514650499</v>
      </c>
      <c r="AG28" s="32">
        <f t="shared" si="10"/>
        <v>36.762495146504762</v>
      </c>
      <c r="AH28" s="67"/>
      <c r="AI28" s="44">
        <v>1172.9807565724554</v>
      </c>
      <c r="AJ28" s="45">
        <f t="shared" si="11"/>
        <v>-84.049766572455383</v>
      </c>
      <c r="AK28" s="43">
        <f t="shared" si="12"/>
        <v>-46.473990000000185</v>
      </c>
      <c r="AL28" s="66">
        <f t="shared" si="13"/>
        <v>-115.47399000000019</v>
      </c>
      <c r="AM28" s="52"/>
      <c r="AO28" s="46">
        <v>50400</v>
      </c>
      <c r="AP28" s="43">
        <v>1229.75672721863</v>
      </c>
      <c r="AQ28" s="46">
        <v>1290.7052478790299</v>
      </c>
      <c r="AR28" s="46">
        <f t="shared" si="7"/>
        <v>201.77425787902985</v>
      </c>
      <c r="AT28">
        <v>1211.41736793518</v>
      </c>
      <c r="AU28" s="46">
        <f t="shared" si="14"/>
        <v>87.983643456225266</v>
      </c>
      <c r="AV28" s="46">
        <f t="shared" si="8"/>
        <v>1299.4010113914053</v>
      </c>
    </row>
    <row r="29" spans="2:48" x14ac:dyDescent="0.25">
      <c r="B29" s="28" t="s">
        <v>62</v>
      </c>
      <c r="C29" s="29"/>
      <c r="D29" s="30">
        <f t="shared" si="15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1095.51595</v>
      </c>
      <c r="J29" s="33">
        <f>H29-I29</f>
        <v>-53.058950000000095</v>
      </c>
      <c r="K29" s="34"/>
      <c r="L29" s="32">
        <f t="shared" si="16"/>
        <v>87.983643456225266</v>
      </c>
      <c r="M29" s="53"/>
      <c r="N29" s="54"/>
      <c r="O29" s="50"/>
      <c r="P29" s="32">
        <f>SUM(L29:O29)</f>
        <v>87.983643456225266</v>
      </c>
      <c r="Q29" s="37">
        <f t="shared" si="4"/>
        <v>1095.51595</v>
      </c>
      <c r="R29" s="37">
        <f t="shared" si="5"/>
        <v>1007.5323065437747</v>
      </c>
      <c r="S29" s="33">
        <f t="shared" si="9"/>
        <v>34.924693456225214</v>
      </c>
      <c r="T29" s="10"/>
      <c r="V29" s="80" t="str">
        <f t="shared" si="6"/>
        <v>2037-38</v>
      </c>
      <c r="W29" s="83">
        <v>87.983643456225266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 t="s">
        <v>82</v>
      </c>
      <c r="AD29" s="80" t="s">
        <v>82</v>
      </c>
      <c r="AE29" s="80" t="s">
        <v>82</v>
      </c>
      <c r="AF29" s="59">
        <f t="shared" si="17"/>
        <v>87.983643456225266</v>
      </c>
      <c r="AG29" s="32">
        <f t="shared" si="10"/>
        <v>34.924693456225214</v>
      </c>
      <c r="AH29" s="67"/>
      <c r="AI29" s="44">
        <v>1184.6688191641585</v>
      </c>
      <c r="AJ29" s="45">
        <f t="shared" si="11"/>
        <v>-89.152869164158574</v>
      </c>
      <c r="AK29" s="43">
        <f t="shared" si="12"/>
        <v>-53.058950000000095</v>
      </c>
      <c r="AL29" s="66">
        <f t="shared" si="13"/>
        <v>-122.0589500000001</v>
      </c>
      <c r="AM29" s="52"/>
      <c r="AO29" s="46">
        <v>49669</v>
      </c>
      <c r="AP29" s="43">
        <v>1195.84828567505</v>
      </c>
      <c r="AQ29" s="46">
        <v>1311.1700935363799</v>
      </c>
      <c r="AR29" s="46">
        <f t="shared" si="7"/>
        <v>215.65414353637993</v>
      </c>
      <c r="AT29">
        <v>1227.67112541199</v>
      </c>
      <c r="AU29" s="46">
        <f t="shared" si="14"/>
        <v>92.732386239685624</v>
      </c>
      <c r="AV29" s="46">
        <f>AT29+AU29</f>
        <v>1320.4035116516757</v>
      </c>
    </row>
    <row r="30" spans="2:48" x14ac:dyDescent="0.25">
      <c r="B30" s="28" t="s">
        <v>63</v>
      </c>
      <c r="C30" s="29"/>
      <c r="D30" s="30">
        <f t="shared" si="15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1103.7608200000002</v>
      </c>
      <c r="J30" s="33">
        <f>H30-I30</f>
        <v>-61.303820000000314</v>
      </c>
      <c r="K30" s="34"/>
      <c r="L30" s="32">
        <f t="shared" si="16"/>
        <v>92.732386239685624</v>
      </c>
      <c r="M30" s="53"/>
      <c r="N30" s="54"/>
      <c r="O30" s="50"/>
      <c r="P30" s="32">
        <f>SUM(L30:O30)</f>
        <v>92.732386239685624</v>
      </c>
      <c r="Q30" s="37">
        <f t="shared" si="4"/>
        <v>1103.7608200000002</v>
      </c>
      <c r="R30" s="37">
        <f t="shared" si="5"/>
        <v>1011.0284337603146</v>
      </c>
      <c r="S30" s="33">
        <f t="shared" si="9"/>
        <v>31.428566239685324</v>
      </c>
      <c r="T30" s="10"/>
      <c r="V30" s="80" t="str">
        <f t="shared" si="6"/>
        <v>2038-39</v>
      </c>
      <c r="W30" s="83">
        <v>92.732386239685624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 t="s">
        <v>82</v>
      </c>
      <c r="AD30" s="80" t="s">
        <v>82</v>
      </c>
      <c r="AE30" s="80" t="s">
        <v>82</v>
      </c>
      <c r="AF30" s="59">
        <f t="shared" si="17"/>
        <v>92.732386239685624</v>
      </c>
      <c r="AG30" s="32">
        <f t="shared" si="10"/>
        <v>31.428566239685324</v>
      </c>
      <c r="AH30" s="67"/>
      <c r="AI30" s="44">
        <v>1200.0978356738965</v>
      </c>
      <c r="AJ30" s="45"/>
      <c r="AK30" s="43">
        <f t="shared" si="12"/>
        <v>-61.303820000000314</v>
      </c>
      <c r="AL30" s="66">
        <f t="shared" si="13"/>
        <v>-130.30382000000031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15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1112.5185900000001</v>
      </c>
      <c r="J31" s="33">
        <f>H31-I31</f>
        <v>-70.061590000000251</v>
      </c>
      <c r="K31" s="34"/>
      <c r="L31" s="32">
        <f t="shared" si="16"/>
        <v>97.473753069677372</v>
      </c>
      <c r="M31" s="53"/>
      <c r="N31" s="54"/>
      <c r="O31" s="50"/>
      <c r="P31" s="32">
        <f>SUM(L31:O31)</f>
        <v>97.473753069677372</v>
      </c>
      <c r="Q31" s="37">
        <f t="shared" si="4"/>
        <v>1112.5185900000001</v>
      </c>
      <c r="R31" s="37">
        <f t="shared" si="5"/>
        <v>1015.0448369303227</v>
      </c>
      <c r="S31" s="33">
        <f t="shared" si="9"/>
        <v>27.412163069677035</v>
      </c>
      <c r="T31" s="10"/>
      <c r="V31" s="80" t="str">
        <f t="shared" si="6"/>
        <v>2039-40</v>
      </c>
      <c r="W31" s="83">
        <v>97.473753069677372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 t="s">
        <v>82</v>
      </c>
      <c r="AD31" s="80" t="s">
        <v>82</v>
      </c>
      <c r="AE31" s="80" t="s">
        <v>82</v>
      </c>
      <c r="AF31" s="59">
        <f t="shared" si="17"/>
        <v>97.473753069677372</v>
      </c>
      <c r="AG31" s="32">
        <f t="shared" si="10"/>
        <v>27.412163069677035</v>
      </c>
      <c r="AH31" s="67"/>
      <c r="AI31" s="44">
        <v>1214.5413742702863</v>
      </c>
      <c r="AJ31" s="45"/>
      <c r="AK31" s="43">
        <f t="shared" si="12"/>
        <v>-70.061590000000251</v>
      </c>
      <c r="AL31" s="66">
        <f t="shared" si="13"/>
        <v>-139.06159000000025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15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1122.97398</v>
      </c>
      <c r="J32" s="33">
        <f>H32-I32</f>
        <v>-80.516980000000103</v>
      </c>
      <c r="K32" s="34"/>
      <c r="L32" s="32">
        <f t="shared" si="16"/>
        <v>102.18072579408177</v>
      </c>
      <c r="M32" s="53"/>
      <c r="N32" s="54"/>
      <c r="O32" s="50"/>
      <c r="P32" s="32">
        <f t="shared" ref="P32:P33" si="18">SUM(L32:O32)</f>
        <v>102.18072579408177</v>
      </c>
      <c r="Q32" s="37">
        <f t="shared" si="4"/>
        <v>1122.97398</v>
      </c>
      <c r="R32" s="37">
        <f t="shared" si="5"/>
        <v>1020.7932542059182</v>
      </c>
      <c r="S32" s="33">
        <f t="shared" si="9"/>
        <v>21.663745794081706</v>
      </c>
      <c r="T32" s="10"/>
      <c r="V32" s="80" t="str">
        <f t="shared" si="6"/>
        <v>2040-41</v>
      </c>
      <c r="W32" s="83">
        <v>102.18072579408177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 t="s">
        <v>82</v>
      </c>
      <c r="AD32" s="80" t="s">
        <v>82</v>
      </c>
      <c r="AE32" s="80" t="s">
        <v>82</v>
      </c>
      <c r="AF32" s="59">
        <f t="shared" si="17"/>
        <v>102.18072579408177</v>
      </c>
      <c r="AG32" s="32">
        <f t="shared" si="10"/>
        <v>21.663745794081706</v>
      </c>
      <c r="AH32" s="67"/>
      <c r="AK32" s="43">
        <f t="shared" si="12"/>
        <v>-80.516980000000103</v>
      </c>
      <c r="AL32" s="66">
        <f t="shared" si="13"/>
        <v>-149.5169800000001</v>
      </c>
      <c r="AM32" s="52"/>
    </row>
    <row r="33" spans="2:43" x14ac:dyDescent="0.25">
      <c r="B33" s="28" t="s">
        <v>81</v>
      </c>
      <c r="C33" s="29"/>
      <c r="D33" s="30">
        <f t="shared" si="15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1130.08322</v>
      </c>
      <c r="J33" s="33">
        <f>H33-I33</f>
        <v>-87.626220000000103</v>
      </c>
      <c r="K33" s="34"/>
      <c r="L33" s="32">
        <f t="shared" si="16"/>
        <v>106.76440392371885</v>
      </c>
      <c r="M33" s="53"/>
      <c r="N33" s="54"/>
      <c r="O33" s="50"/>
      <c r="P33" s="32">
        <f t="shared" si="18"/>
        <v>106.76440392371885</v>
      </c>
      <c r="Q33" s="37">
        <f>I33</f>
        <v>1130.08322</v>
      </c>
      <c r="R33" s="37">
        <f t="shared" si="5"/>
        <v>1023.3188160762811</v>
      </c>
      <c r="S33" s="33">
        <f t="shared" si="9"/>
        <v>19.138183923718771</v>
      </c>
      <c r="T33" s="10"/>
      <c r="U33" s="55"/>
      <c r="V33" s="80" t="str">
        <f>B33</f>
        <v>2041-42</v>
      </c>
      <c r="W33" s="84">
        <v>106.76440392371885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 t="s">
        <v>82</v>
      </c>
      <c r="AD33" s="80" t="s">
        <v>82</v>
      </c>
      <c r="AE33" s="80" t="s">
        <v>82</v>
      </c>
      <c r="AF33" s="59">
        <f t="shared" si="17"/>
        <v>106.76440392371885</v>
      </c>
      <c r="AG33" s="32">
        <f t="shared" si="10"/>
        <v>19.138183923718771</v>
      </c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/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/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/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/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/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/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/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/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/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/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/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/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/>
      <c r="M55" s="66"/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/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/>
      <c r="M57" s="191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/>
      <c r="M58" s="64"/>
      <c r="N58" s="64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/>
      <c r="M59" s="191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/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/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/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1" orientation="landscape" r:id="rId1"/>
  <headerFooter>
    <oddHeader>&amp;L&amp;Z&amp;F</oddHeader>
    <oddFooter>&amp;R&amp;A
&amp;D&amp;T
&amp;Z&amp;F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8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5</v>
      </c>
      <c r="AB5" s="14"/>
      <c r="AC5" s="14"/>
      <c r="AD5" s="15"/>
      <c r="AE5" s="15"/>
      <c r="AF5" s="9"/>
    </row>
    <row r="6" spans="2:48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72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BASE Demand Before DSR</v>
      </c>
      <c r="R6" s="16" t="s">
        <v>134</v>
      </c>
      <c r="S6" s="18" t="s">
        <v>18</v>
      </c>
      <c r="T6" s="10"/>
      <c r="V6" s="71" t="s">
        <v>6</v>
      </c>
      <c r="W6" s="71" t="s">
        <v>86</v>
      </c>
      <c r="X6" s="71" t="s">
        <v>19</v>
      </c>
      <c r="Y6" s="71" t="s">
        <v>20</v>
      </c>
      <c r="Z6" s="71" t="s">
        <v>21</v>
      </c>
      <c r="AA6" s="71" t="s">
        <v>85</v>
      </c>
      <c r="AB6" s="71" t="s">
        <v>22</v>
      </c>
      <c r="AC6" s="71" t="s">
        <v>23</v>
      </c>
      <c r="AD6" s="71" t="s">
        <v>24</v>
      </c>
      <c r="AE6" s="71" t="s">
        <v>14</v>
      </c>
      <c r="AF6" s="16" t="s">
        <v>25</v>
      </c>
      <c r="AG6" s="16" t="s">
        <v>26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2" t="s">
        <v>83</v>
      </c>
      <c r="X7" s="73" t="s">
        <v>30</v>
      </c>
      <c r="Y7" s="73" t="s">
        <v>31</v>
      </c>
      <c r="Z7" s="73" t="s">
        <v>32</v>
      </c>
      <c r="AA7" s="73" t="s">
        <v>33</v>
      </c>
      <c r="AB7" s="73" t="s">
        <v>34</v>
      </c>
      <c r="AC7" s="73" t="s">
        <v>35</v>
      </c>
      <c r="AD7" s="73" t="s">
        <v>36</v>
      </c>
      <c r="AE7" s="73" t="s">
        <v>37</v>
      </c>
      <c r="AF7" s="27"/>
      <c r="AG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4"/>
      <c r="AA8" s="74"/>
      <c r="AB8" s="76"/>
      <c r="AC8" s="74"/>
      <c r="AD8" s="74"/>
      <c r="AE8" s="74"/>
      <c r="AF8" s="87">
        <f t="shared" ref="AF8:AF13" si="1">SUM(X8:AE8)</f>
        <v>0</v>
      </c>
      <c r="AG8" s="37">
        <f>(H8+AF8)-I8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4"/>
      <c r="AA9" s="74"/>
      <c r="AB9" s="76"/>
      <c r="AC9" s="74"/>
      <c r="AD9" s="74"/>
      <c r="AE9" s="74"/>
      <c r="AF9" s="87">
        <f t="shared" si="1"/>
        <v>0</v>
      </c>
      <c r="AG9" s="37">
        <f>(H9+AF9)-I9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Q10-W10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9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78"/>
      <c r="AF10" s="41">
        <f t="shared" si="1"/>
        <v>15</v>
      </c>
      <c r="AG10" s="42">
        <f>(H10+AF10)-I10</f>
        <v>-2.0756608132257952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 t="shared" ref="AR10:AR29" si="7">AQ10-I10</f>
        <v>-2.2806992425785211E-2</v>
      </c>
      <c r="AT10">
        <v>1007.59009361267</v>
      </c>
      <c r="AU10" s="46">
        <f>W10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9">
        <v>6.0589568905517144</v>
      </c>
      <c r="X11" s="77"/>
      <c r="Y11" s="77"/>
      <c r="Z11" s="77"/>
      <c r="AA11" s="77"/>
      <c r="AB11" s="77"/>
      <c r="AC11" s="77"/>
      <c r="AD11" s="77"/>
      <c r="AE11" s="77"/>
      <c r="AF11" s="41">
        <f t="shared" si="1"/>
        <v>0</v>
      </c>
      <c r="AG11" s="42">
        <f>(H11+AF11)-I11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 t="shared" si="7"/>
        <v>-2.534686744593273E-2</v>
      </c>
      <c r="AT11">
        <v>1016.63834762573</v>
      </c>
      <c r="AU11" s="46">
        <f>W11</f>
        <v>6.0589568905517144</v>
      </c>
      <c r="AV11" s="46">
        <f t="shared" ref="AV11:AV28" si="8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9">H12+P12-Q12</f>
        <v>-7.5889205675269977</v>
      </c>
      <c r="T12" s="10"/>
      <c r="V12" s="80" t="str">
        <f t="shared" si="6"/>
        <v>2020-21</v>
      </c>
      <c r="W12" s="75">
        <v>0</v>
      </c>
      <c r="X12" s="80"/>
      <c r="Y12" s="80"/>
      <c r="Z12" s="80"/>
      <c r="AA12" s="80"/>
      <c r="AB12" s="80"/>
      <c r="AC12" s="80"/>
      <c r="AD12" s="80"/>
      <c r="AE12" s="80"/>
      <c r="AF12" s="59">
        <f t="shared" si="1"/>
        <v>0</v>
      </c>
      <c r="AG12" s="32">
        <f t="shared" ref="AG12:AG33" si="10">AF12+H12-I12</f>
        <v>35.454700000000003</v>
      </c>
      <c r="AH12" s="67"/>
      <c r="AI12" s="44">
        <v>1035.500620567527</v>
      </c>
      <c r="AJ12" s="45">
        <f t="shared" ref="AJ12:AJ29" si="11">I12-AI12</f>
        <v>-78.498320567527003</v>
      </c>
      <c r="AK12" s="43">
        <f t="shared" ref="AK12:AK32" si="12">J12</f>
        <v>35.454700000000003</v>
      </c>
      <c r="AL12" s="66">
        <f t="shared" ref="AL12:AL32" si="13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 t="shared" si="7"/>
        <v>79.295233035279921</v>
      </c>
      <c r="AT12">
        <v>1025.8805351257299</v>
      </c>
      <c r="AU12" s="46">
        <f t="shared" ref="AU12:AU29" si="14">W13</f>
        <v>0</v>
      </c>
      <c r="AV12" s="46">
        <f t="shared" si="8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6.5028554891237258</v>
      </c>
      <c r="M13" s="50"/>
      <c r="N13" s="51">
        <v>-3.1532888603364881</v>
      </c>
      <c r="O13" s="50"/>
      <c r="P13" s="32">
        <f t="shared" si="3"/>
        <v>3.3495666287872377</v>
      </c>
      <c r="Q13" s="37">
        <f t="shared" si="4"/>
        <v>957.00229999999999</v>
      </c>
      <c r="R13" s="37">
        <f t="shared" si="5"/>
        <v>957.00229999999999</v>
      </c>
      <c r="S13" s="33">
        <f t="shared" si="9"/>
        <v>88.804266628787104</v>
      </c>
      <c r="T13" s="10"/>
      <c r="V13" s="80" t="str">
        <f t="shared" si="6"/>
        <v>2021-22</v>
      </c>
      <c r="W13" s="81">
        <v>0</v>
      </c>
      <c r="X13" s="80"/>
      <c r="Y13" s="80"/>
      <c r="Z13" s="80"/>
      <c r="AA13" s="80"/>
      <c r="AB13" s="80"/>
      <c r="AC13" s="80"/>
      <c r="AD13" s="80"/>
      <c r="AE13" s="80"/>
      <c r="AF13" s="59">
        <f t="shared" si="1"/>
        <v>0</v>
      </c>
      <c r="AG13" s="32">
        <f t="shared" si="10"/>
        <v>85.454699999999889</v>
      </c>
      <c r="AH13" s="67"/>
      <c r="AI13" s="44">
        <v>1045.6102888603364</v>
      </c>
      <c r="AJ13" s="45">
        <f t="shared" si="11"/>
        <v>-88.607988860336377</v>
      </c>
      <c r="AK13" s="43">
        <f t="shared" si="12"/>
        <v>85.454699999999889</v>
      </c>
      <c r="AL13" s="66">
        <f t="shared" si="13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 t="shared" si="7"/>
        <v>92.182644152829994</v>
      </c>
      <c r="AT13">
        <v>1034.72814559937</v>
      </c>
      <c r="AU13" s="46">
        <f t="shared" si="14"/>
        <v>6.5028554891237258</v>
      </c>
      <c r="AV13" s="46">
        <f t="shared" si="8"/>
        <v>1041.2310010884937</v>
      </c>
    </row>
    <row r="14" spans="2:48" x14ac:dyDescent="0.25">
      <c r="B14" s="28" t="s">
        <v>47</v>
      </c>
      <c r="C14" s="29"/>
      <c r="D14" s="30">
        <f t="shared" ref="D14:D33" si="15">D$10-19</f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966.56050000000005</v>
      </c>
      <c r="J14" s="33">
        <f t="shared" si="0"/>
        <v>75.896499999999833</v>
      </c>
      <c r="K14" s="34"/>
      <c r="L14" s="32">
        <f>W14</f>
        <v>6.5028554891237258</v>
      </c>
      <c r="M14" s="53"/>
      <c r="N14" s="54"/>
      <c r="O14" s="50"/>
      <c r="P14" s="32">
        <f t="shared" si="3"/>
        <v>6.5028554891237258</v>
      </c>
      <c r="Q14" s="37">
        <f t="shared" si="4"/>
        <v>966.56050000000005</v>
      </c>
      <c r="R14" s="37">
        <f t="shared" si="5"/>
        <v>960.05764451087634</v>
      </c>
      <c r="S14" s="33">
        <f t="shared" si="9"/>
        <v>82.399355489123536</v>
      </c>
      <c r="T14" s="10"/>
      <c r="V14" s="80" t="str">
        <f t="shared" si="6"/>
        <v>2022-23</v>
      </c>
      <c r="W14" s="83">
        <v>6.5028554891237258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0" t="s">
        <v>82</v>
      </c>
      <c r="AE14" s="80" t="s">
        <v>82</v>
      </c>
      <c r="AF14" s="59">
        <f>SUM(W14:AE14)</f>
        <v>6.5028554891237258</v>
      </c>
      <c r="AG14" s="32">
        <f t="shared" si="10"/>
        <v>82.399355489123536</v>
      </c>
      <c r="AH14" s="67"/>
      <c r="AI14" s="44">
        <v>1053.5407413432795</v>
      </c>
      <c r="AJ14" s="45">
        <f t="shared" si="11"/>
        <v>-86.980241343279431</v>
      </c>
      <c r="AK14" s="43">
        <f t="shared" si="12"/>
        <v>75.896499999999833</v>
      </c>
      <c r="AL14" s="66">
        <f t="shared" si="13"/>
        <v>6.8964999999998327</v>
      </c>
      <c r="AM14" s="52"/>
      <c r="AO14" s="46">
        <v>45286</v>
      </c>
      <c r="AP14" s="43">
        <v>1051.6916141510001</v>
      </c>
      <c r="AQ14" s="46">
        <v>1057.5920944213899</v>
      </c>
      <c r="AR14" s="46">
        <f t="shared" si="7"/>
        <v>91.031594421389855</v>
      </c>
      <c r="AT14">
        <v>1039.08507537842</v>
      </c>
      <c r="AU14" s="46">
        <f t="shared" si="14"/>
        <v>13.697768115228778</v>
      </c>
      <c r="AV14" s="46">
        <f t="shared" si="8"/>
        <v>1052.7828434936489</v>
      </c>
    </row>
    <row r="15" spans="2:48" x14ac:dyDescent="0.25">
      <c r="B15" s="28" t="s">
        <v>48</v>
      </c>
      <c r="C15" s="29"/>
      <c r="D15" s="30">
        <f t="shared" si="15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976.51042000000007</v>
      </c>
      <c r="J15" s="33">
        <f t="shared" si="0"/>
        <v>65.946579999999813</v>
      </c>
      <c r="K15" s="34"/>
      <c r="L15" s="32">
        <f t="shared" ref="L15:L33" si="16">W15</f>
        <v>13.697768115228778</v>
      </c>
      <c r="M15" s="53"/>
      <c r="N15" s="54"/>
      <c r="O15" s="50"/>
      <c r="P15" s="32">
        <f t="shared" si="3"/>
        <v>13.697768115228778</v>
      </c>
      <c r="Q15" s="37">
        <f t="shared" si="4"/>
        <v>976.51042000000007</v>
      </c>
      <c r="R15" s="37">
        <f t="shared" si="5"/>
        <v>962.8126518847713</v>
      </c>
      <c r="S15" s="33">
        <f t="shared" si="9"/>
        <v>79.644348115228695</v>
      </c>
      <c r="T15" s="10"/>
      <c r="V15" s="80" t="str">
        <f t="shared" si="6"/>
        <v>2023-24</v>
      </c>
      <c r="W15" s="83">
        <v>13.697768115228778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 t="s">
        <v>82</v>
      </c>
      <c r="AD15" s="80" t="s">
        <v>82</v>
      </c>
      <c r="AE15" s="80" t="s">
        <v>82</v>
      </c>
      <c r="AF15" s="59">
        <f t="shared" ref="AF15:AF33" si="17">SUM(W15:AE15)</f>
        <v>13.697768115228778</v>
      </c>
      <c r="AG15" s="32">
        <f t="shared" si="10"/>
        <v>79.644348115228695</v>
      </c>
      <c r="AH15" s="67"/>
      <c r="AI15" s="44">
        <v>1062.70947981108</v>
      </c>
      <c r="AJ15" s="45">
        <f t="shared" si="11"/>
        <v>-86.199059811079906</v>
      </c>
      <c r="AK15" s="43">
        <f t="shared" si="12"/>
        <v>65.946579999999813</v>
      </c>
      <c r="AL15" s="66">
        <f t="shared" si="13"/>
        <v>-3.0534200000001874</v>
      </c>
      <c r="AM15" s="52"/>
      <c r="AO15" s="46">
        <v>45652</v>
      </c>
      <c r="AP15" s="43">
        <v>1061.69411087036</v>
      </c>
      <c r="AQ15" s="46">
        <v>1073.9486598968499</v>
      </c>
      <c r="AR15" s="46">
        <f t="shared" si="7"/>
        <v>97.438239896849836</v>
      </c>
      <c r="AT15">
        <v>1051.30883216858</v>
      </c>
      <c r="AU15" s="46">
        <f t="shared" si="14"/>
        <v>21.145009073846239</v>
      </c>
      <c r="AV15" s="46">
        <f t="shared" si="8"/>
        <v>1072.4538412424263</v>
      </c>
    </row>
    <row r="16" spans="2:48" x14ac:dyDescent="0.25">
      <c r="B16" s="28" t="s">
        <v>49</v>
      </c>
      <c r="C16" s="29"/>
      <c r="D16" s="30">
        <f t="shared" si="15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987.94945999999993</v>
      </c>
      <c r="J16" s="33">
        <f t="shared" si="0"/>
        <v>54.507539999999949</v>
      </c>
      <c r="K16" s="34"/>
      <c r="L16" s="32">
        <f t="shared" si="16"/>
        <v>21.145009073846239</v>
      </c>
      <c r="M16" s="53"/>
      <c r="N16" s="54"/>
      <c r="O16" s="50"/>
      <c r="P16" s="32">
        <f t="shared" si="3"/>
        <v>21.145009073846239</v>
      </c>
      <c r="Q16" s="37">
        <f t="shared" si="4"/>
        <v>987.94945999999993</v>
      </c>
      <c r="R16" s="37">
        <f t="shared" si="5"/>
        <v>966.80445092615366</v>
      </c>
      <c r="S16" s="33">
        <f t="shared" si="9"/>
        <v>75.652549073846217</v>
      </c>
      <c r="T16" s="10"/>
      <c r="V16" s="80" t="str">
        <f t="shared" si="6"/>
        <v>2024-25</v>
      </c>
      <c r="W16" s="83">
        <v>21.145009073846239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 t="s">
        <v>82</v>
      </c>
      <c r="AD16" s="80" t="s">
        <v>82</v>
      </c>
      <c r="AE16" s="80" t="s">
        <v>82</v>
      </c>
      <c r="AF16" s="59">
        <f t="shared" si="17"/>
        <v>21.145009073846239</v>
      </c>
      <c r="AG16" s="32">
        <f t="shared" si="10"/>
        <v>75.652549073846217</v>
      </c>
      <c r="AH16" s="67"/>
      <c r="AI16" s="44">
        <v>1069.875394233997</v>
      </c>
      <c r="AJ16" s="45">
        <f t="shared" si="11"/>
        <v>-81.925934233997054</v>
      </c>
      <c r="AK16" s="43">
        <f t="shared" si="12"/>
        <v>54.507539999999949</v>
      </c>
      <c r="AL16" s="66">
        <f t="shared" si="13"/>
        <v>-14.492460000000051</v>
      </c>
      <c r="AM16" s="52"/>
      <c r="AO16" s="46">
        <v>46017</v>
      </c>
      <c r="AP16" s="43">
        <v>1068.4566287994401</v>
      </c>
      <c r="AQ16" s="46">
        <v>1088.2765007019</v>
      </c>
      <c r="AR16" s="46">
        <f t="shared" si="7"/>
        <v>100.32704070190005</v>
      </c>
      <c r="AT16">
        <v>1061.2161140441899</v>
      </c>
      <c r="AU16" s="46">
        <f t="shared" si="14"/>
        <v>28.693283926305675</v>
      </c>
      <c r="AV16" s="46">
        <f t="shared" si="8"/>
        <v>1089.9093979704955</v>
      </c>
    </row>
    <row r="17" spans="2:48" x14ac:dyDescent="0.25">
      <c r="B17" s="28" t="s">
        <v>50</v>
      </c>
      <c r="C17" s="29"/>
      <c r="D17" s="30">
        <f t="shared" si="15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995.33915999999999</v>
      </c>
      <c r="J17" s="33">
        <f t="shared" si="0"/>
        <v>47.117839999999887</v>
      </c>
      <c r="K17" s="34"/>
      <c r="L17" s="32">
        <f t="shared" si="16"/>
        <v>28.693283926305675</v>
      </c>
      <c r="M17" s="53"/>
      <c r="N17" s="54"/>
      <c r="O17" s="50"/>
      <c r="P17" s="32">
        <f t="shared" si="3"/>
        <v>28.693283926305675</v>
      </c>
      <c r="Q17" s="37">
        <f t="shared" si="4"/>
        <v>995.33915999999999</v>
      </c>
      <c r="R17" s="37">
        <f t="shared" si="5"/>
        <v>966.64587607369435</v>
      </c>
      <c r="S17" s="33">
        <f t="shared" si="9"/>
        <v>75.811123926305527</v>
      </c>
      <c r="T17" s="10"/>
      <c r="V17" s="80" t="str">
        <f t="shared" si="6"/>
        <v>2025-26</v>
      </c>
      <c r="W17" s="83">
        <v>28.693283926305675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 t="s">
        <v>82</v>
      </c>
      <c r="AD17" s="80" t="s">
        <v>82</v>
      </c>
      <c r="AE17" s="80" t="s">
        <v>82</v>
      </c>
      <c r="AF17" s="59">
        <f t="shared" si="17"/>
        <v>28.693283926305675</v>
      </c>
      <c r="AG17" s="32">
        <f t="shared" si="10"/>
        <v>75.811123926305527</v>
      </c>
      <c r="AH17" s="67"/>
      <c r="AI17" s="44">
        <v>1074.046576766304</v>
      </c>
      <c r="AJ17" s="45">
        <f t="shared" si="11"/>
        <v>-78.70741676630405</v>
      </c>
      <c r="AK17" s="43">
        <f t="shared" si="12"/>
        <v>47.117839999999887</v>
      </c>
      <c r="AL17" s="66">
        <f t="shared" si="13"/>
        <v>-21.882160000000113</v>
      </c>
      <c r="AM17" s="52"/>
      <c r="AO17" s="46">
        <v>46382</v>
      </c>
      <c r="AP17" s="43">
        <v>1077.6138305664099</v>
      </c>
      <c r="AQ17" s="46">
        <v>1099.434425354</v>
      </c>
      <c r="AR17" s="46">
        <f t="shared" si="7"/>
        <v>104.09526535400005</v>
      </c>
      <c r="AT17">
        <v>1067.8715152740499</v>
      </c>
      <c r="AU17" s="46">
        <f t="shared" si="14"/>
        <v>36.461833921079993</v>
      </c>
      <c r="AV17" s="46">
        <f t="shared" si="8"/>
        <v>1104.3333491951298</v>
      </c>
    </row>
    <row r="18" spans="2:48" x14ac:dyDescent="0.25">
      <c r="B18" s="28" t="s">
        <v>51</v>
      </c>
      <c r="C18" s="29"/>
      <c r="D18" s="30">
        <f t="shared" si="15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1003.3576700000001</v>
      </c>
      <c r="J18" s="33">
        <f t="shared" si="0"/>
        <v>39.099329999999782</v>
      </c>
      <c r="K18" s="34"/>
      <c r="L18" s="32">
        <f t="shared" si="16"/>
        <v>36.461833921079993</v>
      </c>
      <c r="M18" s="53"/>
      <c r="N18" s="54"/>
      <c r="O18" s="50"/>
      <c r="P18" s="32">
        <f t="shared" si="3"/>
        <v>36.461833921079993</v>
      </c>
      <c r="Q18" s="37">
        <f t="shared" si="4"/>
        <v>1003.3576700000001</v>
      </c>
      <c r="R18" s="37">
        <f t="shared" si="5"/>
        <v>966.89583607892007</v>
      </c>
      <c r="S18" s="33">
        <f t="shared" si="9"/>
        <v>75.561163921079697</v>
      </c>
      <c r="T18" s="10"/>
      <c r="V18" s="80" t="str">
        <f t="shared" si="6"/>
        <v>2026-27</v>
      </c>
      <c r="W18" s="83">
        <v>36.461833921079993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 t="s">
        <v>82</v>
      </c>
      <c r="AD18" s="80" t="s">
        <v>82</v>
      </c>
      <c r="AE18" s="80" t="s">
        <v>82</v>
      </c>
      <c r="AF18" s="59">
        <f t="shared" si="17"/>
        <v>36.461833921079993</v>
      </c>
      <c r="AG18" s="32">
        <f t="shared" si="10"/>
        <v>75.561163921079697</v>
      </c>
      <c r="AH18" s="67"/>
      <c r="AI18" s="44">
        <v>1081.3726145732787</v>
      </c>
      <c r="AJ18" s="45">
        <f t="shared" si="11"/>
        <v>-78.014944573278626</v>
      </c>
      <c r="AK18" s="43">
        <f t="shared" si="12"/>
        <v>39.099329999999782</v>
      </c>
      <c r="AL18" s="66">
        <f t="shared" si="13"/>
        <v>-29.900670000000218</v>
      </c>
      <c r="AM18" s="52"/>
      <c r="AO18" s="46">
        <v>46747</v>
      </c>
      <c r="AP18" s="43">
        <v>1083.91345024109</v>
      </c>
      <c r="AQ18" s="46">
        <v>1112.8700542449999</v>
      </c>
      <c r="AR18" s="46">
        <f t="shared" si="7"/>
        <v>109.51238424499979</v>
      </c>
      <c r="AT18">
        <v>1076.90893554688</v>
      </c>
      <c r="AU18" s="46">
        <f t="shared" si="14"/>
        <v>44.480986213022895</v>
      </c>
      <c r="AV18" s="46">
        <f t="shared" si="8"/>
        <v>1121.3899217599028</v>
      </c>
    </row>
    <row r="19" spans="2:48" x14ac:dyDescent="0.25">
      <c r="B19" s="28" t="s">
        <v>52</v>
      </c>
      <c r="C19" s="29"/>
      <c r="D19" s="30">
        <f t="shared" si="15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1011.2176899999998</v>
      </c>
      <c r="J19" s="33">
        <f t="shared" si="0"/>
        <v>31.239310000000046</v>
      </c>
      <c r="K19" s="34"/>
      <c r="L19" s="32">
        <f t="shared" si="16"/>
        <v>44.480986213022895</v>
      </c>
      <c r="M19" s="53"/>
      <c r="N19" s="54"/>
      <c r="O19" s="50"/>
      <c r="P19" s="32">
        <f t="shared" si="3"/>
        <v>44.480986213022895</v>
      </c>
      <c r="Q19" s="37">
        <f t="shared" si="4"/>
        <v>1011.2176899999998</v>
      </c>
      <c r="R19" s="37">
        <f t="shared" si="5"/>
        <v>966.73670378697693</v>
      </c>
      <c r="S19" s="33">
        <f t="shared" si="9"/>
        <v>75.720296213022834</v>
      </c>
      <c r="T19" s="10"/>
      <c r="V19" s="80" t="str">
        <f t="shared" si="6"/>
        <v>2027-28</v>
      </c>
      <c r="W19" s="83">
        <v>44.480986213022895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 t="s">
        <v>82</v>
      </c>
      <c r="AD19" s="80" t="s">
        <v>82</v>
      </c>
      <c r="AE19" s="80" t="s">
        <v>82</v>
      </c>
      <c r="AF19" s="59">
        <f t="shared" si="17"/>
        <v>44.480986213022895</v>
      </c>
      <c r="AG19" s="32">
        <f t="shared" si="10"/>
        <v>75.720296213022834</v>
      </c>
      <c r="AH19" s="67"/>
      <c r="AI19" s="44">
        <v>1088.9478443321157</v>
      </c>
      <c r="AJ19" s="45">
        <f t="shared" si="11"/>
        <v>-77.730154332115831</v>
      </c>
      <c r="AK19" s="43">
        <f t="shared" si="12"/>
        <v>31.239310000000046</v>
      </c>
      <c r="AL19" s="66">
        <f t="shared" si="13"/>
        <v>-37.760689999999954</v>
      </c>
      <c r="AM19" s="52"/>
      <c r="AO19" s="46">
        <v>47113</v>
      </c>
      <c r="AP19" s="43">
        <v>1092.7315940856899</v>
      </c>
      <c r="AQ19" s="46">
        <v>1123.43689346313</v>
      </c>
      <c r="AR19" s="46">
        <f t="shared" si="7"/>
        <v>112.21920346313016</v>
      </c>
      <c r="AT19">
        <v>1083.0756511688201</v>
      </c>
      <c r="AU19" s="46">
        <f t="shared" si="14"/>
        <v>48.08285423751979</v>
      </c>
      <c r="AV19" s="46">
        <f t="shared" si="8"/>
        <v>1131.1585054063398</v>
      </c>
    </row>
    <row r="20" spans="2:48" x14ac:dyDescent="0.25">
      <c r="B20" s="28" t="s">
        <v>53</v>
      </c>
      <c r="C20" s="29"/>
      <c r="D20" s="30">
        <f t="shared" si="15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1020.75771</v>
      </c>
      <c r="J20" s="33">
        <f t="shared" si="0"/>
        <v>21.699289999999905</v>
      </c>
      <c r="K20" s="34"/>
      <c r="L20" s="32">
        <f t="shared" si="16"/>
        <v>48.08285423751979</v>
      </c>
      <c r="M20" s="53"/>
      <c r="N20" s="54"/>
      <c r="O20" s="50"/>
      <c r="P20" s="32">
        <f t="shared" si="3"/>
        <v>48.08285423751979</v>
      </c>
      <c r="Q20" s="37">
        <f t="shared" si="4"/>
        <v>1020.75771</v>
      </c>
      <c r="R20" s="37">
        <f t="shared" si="5"/>
        <v>972.67485576248021</v>
      </c>
      <c r="S20" s="33">
        <f t="shared" si="9"/>
        <v>69.782144237519674</v>
      </c>
      <c r="T20" s="10"/>
      <c r="V20" s="80" t="str">
        <f t="shared" si="6"/>
        <v>2028-29</v>
      </c>
      <c r="W20" s="83">
        <v>48.08285423751979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 t="s">
        <v>82</v>
      </c>
      <c r="AD20" s="80" t="s">
        <v>82</v>
      </c>
      <c r="AE20" s="80" t="s">
        <v>82</v>
      </c>
      <c r="AF20" s="59">
        <f t="shared" si="17"/>
        <v>48.08285423751979</v>
      </c>
      <c r="AG20" s="32">
        <f t="shared" si="10"/>
        <v>69.782144237519674</v>
      </c>
      <c r="AH20" s="67"/>
      <c r="AI20" s="44">
        <v>1096.2966233757172</v>
      </c>
      <c r="AJ20" s="45">
        <f t="shared" si="11"/>
        <v>-75.538913375717243</v>
      </c>
      <c r="AK20" s="43">
        <f t="shared" si="12"/>
        <v>21.699289999999905</v>
      </c>
      <c r="AL20" s="66">
        <f t="shared" si="13"/>
        <v>-47.300710000000095</v>
      </c>
      <c r="AM20" s="52"/>
      <c r="AO20" s="46">
        <v>47478</v>
      </c>
      <c r="AP20" s="43">
        <v>1106.82481765747</v>
      </c>
      <c r="AQ20" s="46">
        <v>1136.34985542297</v>
      </c>
      <c r="AR20" s="46">
        <f t="shared" si="7"/>
        <v>115.59214542297002</v>
      </c>
      <c r="AT20">
        <v>1091.7492027282699</v>
      </c>
      <c r="AU20" s="46">
        <f t="shared" si="14"/>
        <v>51.922419017885964</v>
      </c>
      <c r="AV20" s="46">
        <f t="shared" si="8"/>
        <v>1143.6716217461558</v>
      </c>
    </row>
    <row r="21" spans="2:48" x14ac:dyDescent="0.25">
      <c r="B21" s="28" t="s">
        <v>54</v>
      </c>
      <c r="C21" s="29"/>
      <c r="D21" s="30">
        <f t="shared" si="15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1027.3149399999998</v>
      </c>
      <c r="J21" s="33">
        <f t="shared" si="0"/>
        <v>15.142060000000129</v>
      </c>
      <c r="K21" s="34"/>
      <c r="L21" s="32">
        <f t="shared" si="16"/>
        <v>51.922419017885964</v>
      </c>
      <c r="M21" s="53"/>
      <c r="N21" s="54"/>
      <c r="O21" s="50"/>
      <c r="P21" s="32">
        <f t="shared" si="3"/>
        <v>51.922419017885964</v>
      </c>
      <c r="Q21" s="37">
        <f t="shared" si="4"/>
        <v>1027.3149399999998</v>
      </c>
      <c r="R21" s="37">
        <f t="shared" si="5"/>
        <v>975.39252098211375</v>
      </c>
      <c r="S21" s="33">
        <f t="shared" si="9"/>
        <v>67.064479017886015</v>
      </c>
      <c r="T21" s="10"/>
      <c r="V21" s="80" t="str">
        <f t="shared" si="6"/>
        <v>2029-30</v>
      </c>
      <c r="W21" s="83">
        <v>51.922419017885964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 t="s">
        <v>82</v>
      </c>
      <c r="AD21" s="80" t="s">
        <v>82</v>
      </c>
      <c r="AE21" s="80" t="s">
        <v>82</v>
      </c>
      <c r="AF21" s="59">
        <f t="shared" si="17"/>
        <v>51.922419017885964</v>
      </c>
      <c r="AG21" s="32">
        <f t="shared" si="10"/>
        <v>67.064479017886015</v>
      </c>
      <c r="AH21" s="67"/>
      <c r="AI21" s="44">
        <v>1102.2936430343566</v>
      </c>
      <c r="AJ21" s="45">
        <f t="shared" si="11"/>
        <v>-74.97870303435684</v>
      </c>
      <c r="AK21" s="43">
        <f t="shared" si="12"/>
        <v>15.142060000000129</v>
      </c>
      <c r="AL21" s="66">
        <f t="shared" si="13"/>
        <v>-53.857939999999871</v>
      </c>
      <c r="AM21" s="52"/>
      <c r="AO21" s="46">
        <v>47843</v>
      </c>
      <c r="AP21" s="43">
        <v>1120.82166290283</v>
      </c>
      <c r="AQ21" s="46">
        <v>1154.4859790802</v>
      </c>
      <c r="AR21" s="46">
        <f t="shared" si="7"/>
        <v>127.17103908020022</v>
      </c>
      <c r="AT21">
        <v>1105.69041824341</v>
      </c>
      <c r="AU21" s="46">
        <f t="shared" si="14"/>
        <v>55.968044016273652</v>
      </c>
      <c r="AV21" s="46">
        <f t="shared" si="8"/>
        <v>1161.6584622596836</v>
      </c>
    </row>
    <row r="22" spans="2:48" x14ac:dyDescent="0.25">
      <c r="B22" s="28" t="s">
        <v>55</v>
      </c>
      <c r="C22" s="29"/>
      <c r="D22" s="30">
        <f t="shared" si="15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1035.65245</v>
      </c>
      <c r="J22" s="33">
        <f t="shared" si="0"/>
        <v>6.8045499999998356</v>
      </c>
      <c r="K22" s="34"/>
      <c r="L22" s="32">
        <f t="shared" si="16"/>
        <v>55.968044016273652</v>
      </c>
      <c r="M22" s="53"/>
      <c r="N22" s="54"/>
      <c r="O22" s="50"/>
      <c r="P22" s="32">
        <f t="shared" si="3"/>
        <v>55.968044016273652</v>
      </c>
      <c r="Q22" s="37">
        <f t="shared" si="4"/>
        <v>1035.65245</v>
      </c>
      <c r="R22" s="37">
        <f t="shared" si="5"/>
        <v>979.68440598372638</v>
      </c>
      <c r="S22" s="33">
        <f t="shared" si="9"/>
        <v>62.772594016273388</v>
      </c>
      <c r="T22" s="10"/>
      <c r="V22" s="80" t="str">
        <f t="shared" si="6"/>
        <v>2030-31</v>
      </c>
      <c r="W22" s="83">
        <v>55.968044016273652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 t="s">
        <v>82</v>
      </c>
      <c r="AD22" s="80" t="s">
        <v>82</v>
      </c>
      <c r="AE22" s="80" t="s">
        <v>82</v>
      </c>
      <c r="AF22" s="59">
        <f t="shared" si="17"/>
        <v>55.968044016273652</v>
      </c>
      <c r="AG22" s="32">
        <f t="shared" si="10"/>
        <v>62.772594016273388</v>
      </c>
      <c r="AH22" s="67"/>
      <c r="AI22" s="44">
        <v>1110.8754963941149</v>
      </c>
      <c r="AJ22" s="45">
        <f t="shared" si="11"/>
        <v>-75.223046394114817</v>
      </c>
      <c r="AK22" s="43">
        <f t="shared" si="12"/>
        <v>6.8045499999998356</v>
      </c>
      <c r="AL22" s="66">
        <f t="shared" si="13"/>
        <v>-62.195450000000164</v>
      </c>
      <c r="AM22" s="52"/>
      <c r="AO22" s="46">
        <v>48208</v>
      </c>
      <c r="AP22" s="43">
        <v>1135.16237449646</v>
      </c>
      <c r="AQ22" s="46">
        <v>1172.75867652893</v>
      </c>
      <c r="AR22" s="46">
        <f t="shared" si="7"/>
        <v>137.10622652892994</v>
      </c>
      <c r="AT22">
        <v>1119.53256988525</v>
      </c>
      <c r="AU22" s="46">
        <f t="shared" si="14"/>
        <v>60.262347938784529</v>
      </c>
      <c r="AV22" s="46">
        <f t="shared" si="8"/>
        <v>1179.7949178240347</v>
      </c>
    </row>
    <row r="23" spans="2:48" x14ac:dyDescent="0.25">
      <c r="B23" s="28" t="s">
        <v>56</v>
      </c>
      <c r="C23" s="29"/>
      <c r="D23" s="30">
        <f t="shared" si="15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1044.54214</v>
      </c>
      <c r="J23" s="33">
        <f t="shared" si="0"/>
        <v>-2.0851400000001377</v>
      </c>
      <c r="K23" s="34"/>
      <c r="L23" s="32">
        <f t="shared" si="16"/>
        <v>60.262347938784529</v>
      </c>
      <c r="M23" s="53"/>
      <c r="N23" s="54"/>
      <c r="O23" s="50"/>
      <c r="P23" s="32">
        <f t="shared" si="3"/>
        <v>60.262347938784529</v>
      </c>
      <c r="Q23" s="37">
        <f t="shared" si="4"/>
        <v>1044.54214</v>
      </c>
      <c r="R23" s="37">
        <f t="shared" si="5"/>
        <v>984.27979206121552</v>
      </c>
      <c r="S23" s="33">
        <f t="shared" si="9"/>
        <v>58.177207938784477</v>
      </c>
      <c r="T23" s="10"/>
      <c r="V23" s="80" t="str">
        <f t="shared" si="6"/>
        <v>2031-32</v>
      </c>
      <c r="W23" s="83">
        <v>60.262347938784529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 t="s">
        <v>82</v>
      </c>
      <c r="AD23" s="80" t="s">
        <v>82</v>
      </c>
      <c r="AE23" s="80" t="s">
        <v>82</v>
      </c>
      <c r="AF23" s="59">
        <f t="shared" si="17"/>
        <v>60.262347938784529</v>
      </c>
      <c r="AG23" s="32">
        <f t="shared" si="10"/>
        <v>58.177207938784477</v>
      </c>
      <c r="AH23" s="67"/>
      <c r="AI23" s="44">
        <v>1118.7950078327895</v>
      </c>
      <c r="AJ23" s="45">
        <f t="shared" si="11"/>
        <v>-74.252867832789434</v>
      </c>
      <c r="AK23" s="43">
        <f t="shared" si="12"/>
        <v>-2.0851400000001377</v>
      </c>
      <c r="AL23" s="66">
        <f t="shared" si="13"/>
        <v>-71.085140000000138</v>
      </c>
      <c r="AM23" s="52"/>
      <c r="AO23" s="46">
        <v>48574</v>
      </c>
      <c r="AP23" s="43">
        <v>1150.0301227569601</v>
      </c>
      <c r="AQ23" s="46">
        <v>1191.45956802368</v>
      </c>
      <c r="AR23" s="46">
        <f t="shared" si="7"/>
        <v>146.91742802368003</v>
      </c>
      <c r="AT23">
        <v>1133.72337913513</v>
      </c>
      <c r="AU23" s="46">
        <f t="shared" si="14"/>
        <v>64.660009006784904</v>
      </c>
      <c r="AV23" s="46">
        <f t="shared" si="8"/>
        <v>1198.383388141915</v>
      </c>
    </row>
    <row r="24" spans="2:48" x14ac:dyDescent="0.25">
      <c r="B24" s="28" t="s">
        <v>57</v>
      </c>
      <c r="C24" s="29"/>
      <c r="D24" s="30">
        <f t="shared" si="15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1054.7405199999998</v>
      </c>
      <c r="J24" s="33">
        <f t="shared" si="0"/>
        <v>-12.283519999999953</v>
      </c>
      <c r="K24" s="34"/>
      <c r="L24" s="32">
        <f t="shared" si="16"/>
        <v>64.660009006784904</v>
      </c>
      <c r="M24" s="53"/>
      <c r="N24" s="54"/>
      <c r="O24" s="50"/>
      <c r="P24" s="32">
        <f t="shared" si="3"/>
        <v>64.660009006784904</v>
      </c>
      <c r="Q24" s="37">
        <f t="shared" si="4"/>
        <v>1054.7405199999998</v>
      </c>
      <c r="R24" s="37">
        <f t="shared" si="5"/>
        <v>990.08051099321494</v>
      </c>
      <c r="S24" s="33">
        <f t="shared" si="9"/>
        <v>52.37648900678505</v>
      </c>
      <c r="T24" s="10"/>
      <c r="V24" s="80" t="str">
        <f t="shared" si="6"/>
        <v>2032-33</v>
      </c>
      <c r="W24" s="83">
        <v>64.660009006784904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 t="s">
        <v>82</v>
      </c>
      <c r="AD24" s="80" t="s">
        <v>82</v>
      </c>
      <c r="AE24" s="80" t="s">
        <v>82</v>
      </c>
      <c r="AF24" s="59">
        <f t="shared" si="17"/>
        <v>64.660009006784904</v>
      </c>
      <c r="AG24" s="32">
        <f t="shared" si="10"/>
        <v>52.37648900678505</v>
      </c>
      <c r="AH24" s="67"/>
      <c r="AI24" s="44">
        <v>1128.6245193965246</v>
      </c>
      <c r="AJ24" s="45">
        <f t="shared" si="11"/>
        <v>-73.883999396524814</v>
      </c>
      <c r="AK24" s="43">
        <f t="shared" si="12"/>
        <v>-12.283519999999953</v>
      </c>
      <c r="AL24" s="66">
        <f t="shared" si="13"/>
        <v>-81.283519999999953</v>
      </c>
      <c r="AM24" s="52"/>
      <c r="AO24" s="46">
        <v>48939</v>
      </c>
      <c r="AP24" s="43">
        <v>1164.92650032043</v>
      </c>
      <c r="AQ24" s="46">
        <v>1210.66847038269</v>
      </c>
      <c r="AR24" s="46">
        <f t="shared" si="7"/>
        <v>155.92795038269014</v>
      </c>
      <c r="AT24">
        <v>1148.4505329132101</v>
      </c>
      <c r="AU24" s="46">
        <f t="shared" si="14"/>
        <v>69.23359792682659</v>
      </c>
      <c r="AV24" s="46">
        <f t="shared" si="8"/>
        <v>1217.6841308400367</v>
      </c>
    </row>
    <row r="25" spans="2:48" x14ac:dyDescent="0.25">
      <c r="B25" s="28" t="s">
        <v>58</v>
      </c>
      <c r="C25" s="29"/>
      <c r="D25" s="30">
        <f t="shared" si="15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1061.5890300000001</v>
      </c>
      <c r="J25" s="33">
        <f t="shared" si="0"/>
        <v>-19.132030000000213</v>
      </c>
      <c r="K25" s="34"/>
      <c r="L25" s="32">
        <f t="shared" si="16"/>
        <v>69.23359792682659</v>
      </c>
      <c r="M25" s="53"/>
      <c r="N25" s="54"/>
      <c r="O25" s="50"/>
      <c r="P25" s="32">
        <f t="shared" si="3"/>
        <v>69.23359792682659</v>
      </c>
      <c r="Q25" s="37">
        <f t="shared" si="4"/>
        <v>1061.5890300000001</v>
      </c>
      <c r="R25" s="37">
        <f t="shared" si="5"/>
        <v>992.35543207317346</v>
      </c>
      <c r="S25" s="33">
        <f t="shared" si="9"/>
        <v>50.101567926826419</v>
      </c>
      <c r="T25" s="10"/>
      <c r="V25" s="80" t="str">
        <f t="shared" si="6"/>
        <v>2033-34</v>
      </c>
      <c r="W25" s="83">
        <v>69.23359792682659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 t="s">
        <v>82</v>
      </c>
      <c r="AD25" s="80" t="s">
        <v>82</v>
      </c>
      <c r="AE25" s="80" t="s">
        <v>82</v>
      </c>
      <c r="AF25" s="59">
        <f t="shared" si="17"/>
        <v>69.23359792682659</v>
      </c>
      <c r="AG25" s="32">
        <f t="shared" si="10"/>
        <v>50.101567926826419</v>
      </c>
      <c r="AH25" s="67"/>
      <c r="AI25" s="44">
        <v>1137.439360122042</v>
      </c>
      <c r="AJ25" s="45">
        <f t="shared" si="11"/>
        <v>-75.850330122041896</v>
      </c>
      <c r="AK25" s="43">
        <f t="shared" si="12"/>
        <v>-19.132030000000213</v>
      </c>
      <c r="AL25" s="66">
        <f t="shared" si="13"/>
        <v>-88.132030000000213</v>
      </c>
      <c r="AM25" s="52"/>
      <c r="AO25" s="46">
        <v>49304</v>
      </c>
      <c r="AP25" s="43">
        <v>1179.42799949646</v>
      </c>
      <c r="AQ25" s="46">
        <v>1229.8649024963399</v>
      </c>
      <c r="AR25" s="46">
        <f t="shared" si="7"/>
        <v>168.27587249633984</v>
      </c>
      <c r="AT25">
        <v>1163.2176990508999</v>
      </c>
      <c r="AU25" s="46">
        <f t="shared" si="14"/>
        <v>73.925928554367161</v>
      </c>
      <c r="AV25" s="46">
        <f t="shared" si="8"/>
        <v>1237.1436276052671</v>
      </c>
    </row>
    <row r="26" spans="2:48" x14ac:dyDescent="0.25">
      <c r="B26" s="28" t="s">
        <v>59</v>
      </c>
      <c r="C26" s="29"/>
      <c r="D26" s="30">
        <f t="shared" si="15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1070.0812900000001</v>
      </c>
      <c r="J26" s="33">
        <f t="shared" si="0"/>
        <v>-27.624290000000201</v>
      </c>
      <c r="K26" s="34"/>
      <c r="L26" s="32">
        <f t="shared" si="16"/>
        <v>73.925928554367161</v>
      </c>
      <c r="M26" s="53"/>
      <c r="N26" s="54"/>
      <c r="O26" s="50"/>
      <c r="P26" s="32">
        <f t="shared" si="3"/>
        <v>73.925928554367161</v>
      </c>
      <c r="Q26" s="37">
        <f t="shared" si="4"/>
        <v>1070.0812900000001</v>
      </c>
      <c r="R26" s="37">
        <f t="shared" si="5"/>
        <v>996.15536144563293</v>
      </c>
      <c r="S26" s="33">
        <f t="shared" si="9"/>
        <v>46.301638554366946</v>
      </c>
      <c r="T26" s="10"/>
      <c r="V26" s="80" t="str">
        <f t="shared" si="6"/>
        <v>2034-35</v>
      </c>
      <c r="W26" s="83">
        <v>73.925928554367161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 t="s">
        <v>82</v>
      </c>
      <c r="AD26" s="80" t="s">
        <v>82</v>
      </c>
      <c r="AE26" s="80" t="s">
        <v>82</v>
      </c>
      <c r="AF26" s="59">
        <f t="shared" si="17"/>
        <v>73.925928554367161</v>
      </c>
      <c r="AG26" s="32">
        <f t="shared" si="10"/>
        <v>46.301638554366946</v>
      </c>
      <c r="AH26" s="67"/>
      <c r="AI26" s="44">
        <v>1149.2166802752236</v>
      </c>
      <c r="AJ26" s="45">
        <f t="shared" si="11"/>
        <v>-79.135390275223472</v>
      </c>
      <c r="AK26" s="43">
        <f t="shared" si="12"/>
        <v>-27.624290000000201</v>
      </c>
      <c r="AL26" s="66">
        <f t="shared" si="13"/>
        <v>-96.624290000000201</v>
      </c>
      <c r="AM26" s="52"/>
      <c r="AO26" s="46">
        <v>49669</v>
      </c>
      <c r="AP26" s="43">
        <v>1195.84828567505</v>
      </c>
      <c r="AQ26" s="46">
        <v>1248.54808998108</v>
      </c>
      <c r="AR26" s="46">
        <f t="shared" si="7"/>
        <v>178.46679998107993</v>
      </c>
      <c r="AT26">
        <v>1177.60448265076</v>
      </c>
      <c r="AU26" s="46">
        <f t="shared" si="14"/>
        <v>78.704176422181618</v>
      </c>
      <c r="AV26" s="46">
        <f t="shared" si="8"/>
        <v>1256.3086590729417</v>
      </c>
    </row>
    <row r="27" spans="2:48" x14ac:dyDescent="0.25">
      <c r="B27" s="28" t="s">
        <v>60</v>
      </c>
      <c r="C27" s="29"/>
      <c r="D27" s="30">
        <f t="shared" si="15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1078.7246899999998</v>
      </c>
      <c r="J27" s="33">
        <f t="shared" si="0"/>
        <v>-36.267689999999902</v>
      </c>
      <c r="K27" s="34"/>
      <c r="L27" s="32">
        <f t="shared" si="16"/>
        <v>78.704176422181618</v>
      </c>
      <c r="M27" s="53"/>
      <c r="N27" s="54"/>
      <c r="O27" s="50"/>
      <c r="P27" s="32">
        <f t="shared" si="3"/>
        <v>78.704176422181618</v>
      </c>
      <c r="Q27" s="37">
        <f t="shared" si="4"/>
        <v>1078.7246899999998</v>
      </c>
      <c r="R27" s="37">
        <f t="shared" si="5"/>
        <v>1000.0205135778182</v>
      </c>
      <c r="S27" s="33">
        <f t="shared" si="9"/>
        <v>42.436486422181815</v>
      </c>
      <c r="T27" s="10"/>
      <c r="V27" s="80" t="str">
        <f t="shared" si="6"/>
        <v>2035-36</v>
      </c>
      <c r="W27" s="83">
        <v>78.704176422181618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 t="s">
        <v>82</v>
      </c>
      <c r="AD27" s="80" t="s">
        <v>82</v>
      </c>
      <c r="AE27" s="80" t="s">
        <v>82</v>
      </c>
      <c r="AF27" s="59">
        <f t="shared" si="17"/>
        <v>78.704176422181618</v>
      </c>
      <c r="AG27" s="32">
        <f t="shared" si="10"/>
        <v>42.436486422181815</v>
      </c>
      <c r="AH27" s="67"/>
      <c r="AI27" s="44">
        <v>1160.2287308284001</v>
      </c>
      <c r="AJ27" s="45">
        <f t="shared" si="11"/>
        <v>-81.504040828400321</v>
      </c>
      <c r="AK27" s="43">
        <f t="shared" si="12"/>
        <v>-36.267689999999902</v>
      </c>
      <c r="AL27" s="66">
        <f t="shared" si="13"/>
        <v>-105.2676899999999</v>
      </c>
      <c r="AM27" s="52"/>
      <c r="AO27" s="46">
        <v>50035</v>
      </c>
      <c r="AP27" s="43">
        <v>1213.4271640777599</v>
      </c>
      <c r="AQ27" s="46">
        <v>1269.04686546326</v>
      </c>
      <c r="AR27" s="46">
        <f t="shared" si="7"/>
        <v>190.32217546326024</v>
      </c>
      <c r="AT27">
        <v>1193.9249763488799</v>
      </c>
      <c r="AU27" s="46">
        <f t="shared" si="14"/>
        <v>83.403758640438525</v>
      </c>
      <c r="AV27" s="46">
        <f t="shared" si="8"/>
        <v>1277.3287349893185</v>
      </c>
    </row>
    <row r="28" spans="2:48" x14ac:dyDescent="0.25">
      <c r="B28" s="28" t="s">
        <v>61</v>
      </c>
      <c r="C28" s="29"/>
      <c r="D28" s="30">
        <f t="shared" si="15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1088.9309900000001</v>
      </c>
      <c r="J28" s="33">
        <f t="shared" si="0"/>
        <v>-46.473990000000185</v>
      </c>
      <c r="K28" s="34"/>
      <c r="L28" s="32">
        <f t="shared" si="16"/>
        <v>83.403758640438525</v>
      </c>
      <c r="M28" s="53"/>
      <c r="N28" s="54"/>
      <c r="O28" s="50"/>
      <c r="P28" s="32">
        <f t="shared" si="3"/>
        <v>83.403758640438525</v>
      </c>
      <c r="Q28" s="37">
        <f t="shared" si="4"/>
        <v>1088.9309900000001</v>
      </c>
      <c r="R28" s="37">
        <f t="shared" si="5"/>
        <v>1005.5272313595615</v>
      </c>
      <c r="S28" s="33">
        <f t="shared" si="9"/>
        <v>36.929768640438397</v>
      </c>
      <c r="T28" s="10"/>
      <c r="V28" s="80" t="str">
        <f t="shared" si="6"/>
        <v>2036-37</v>
      </c>
      <c r="W28" s="83">
        <v>83.403758640438525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 t="s">
        <v>82</v>
      </c>
      <c r="AD28" s="80" t="s">
        <v>82</v>
      </c>
      <c r="AE28" s="80" t="s">
        <v>82</v>
      </c>
      <c r="AF28" s="59">
        <f t="shared" si="17"/>
        <v>83.403758640438525</v>
      </c>
      <c r="AG28" s="32">
        <f t="shared" si="10"/>
        <v>36.929768640438397</v>
      </c>
      <c r="AH28" s="67"/>
      <c r="AI28" s="44">
        <v>1172.9807565724554</v>
      </c>
      <c r="AJ28" s="45">
        <f t="shared" si="11"/>
        <v>-84.049766572455383</v>
      </c>
      <c r="AK28" s="43">
        <f t="shared" si="12"/>
        <v>-46.473990000000185</v>
      </c>
      <c r="AL28" s="66">
        <f t="shared" si="13"/>
        <v>-115.47399000000019</v>
      </c>
      <c r="AM28" s="52"/>
      <c r="AO28" s="46">
        <v>50400</v>
      </c>
      <c r="AP28" s="43">
        <v>1229.75672721863</v>
      </c>
      <c r="AQ28" s="46">
        <v>1290.7052478790299</v>
      </c>
      <c r="AR28" s="46">
        <f t="shared" si="7"/>
        <v>201.77425787902985</v>
      </c>
      <c r="AT28">
        <v>1211.41736793518</v>
      </c>
      <c r="AU28" s="46">
        <f t="shared" si="14"/>
        <v>88.151108593226667</v>
      </c>
      <c r="AV28" s="46">
        <f t="shared" si="8"/>
        <v>1299.5684765284066</v>
      </c>
    </row>
    <row r="29" spans="2:48" x14ac:dyDescent="0.25">
      <c r="B29" s="28" t="s">
        <v>62</v>
      </c>
      <c r="C29" s="29"/>
      <c r="D29" s="30">
        <f t="shared" si="15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1095.51595</v>
      </c>
      <c r="J29" s="33">
        <f>H29-I29</f>
        <v>-53.058950000000095</v>
      </c>
      <c r="K29" s="34"/>
      <c r="L29" s="32">
        <f t="shared" si="16"/>
        <v>88.151108593226667</v>
      </c>
      <c r="M29" s="53"/>
      <c r="N29" s="54"/>
      <c r="O29" s="50"/>
      <c r="P29" s="32">
        <f>SUM(L29:O29)</f>
        <v>88.151108593226667</v>
      </c>
      <c r="Q29" s="37">
        <f t="shared" si="4"/>
        <v>1095.51595</v>
      </c>
      <c r="R29" s="37">
        <f t="shared" si="5"/>
        <v>1007.3648414067733</v>
      </c>
      <c r="S29" s="33">
        <f t="shared" si="9"/>
        <v>35.092158593226486</v>
      </c>
      <c r="T29" s="10"/>
      <c r="V29" s="80" t="str">
        <f t="shared" si="6"/>
        <v>2037-38</v>
      </c>
      <c r="W29" s="83">
        <v>88.151108593226667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 t="s">
        <v>82</v>
      </c>
      <c r="AD29" s="80" t="s">
        <v>82</v>
      </c>
      <c r="AE29" s="80" t="s">
        <v>82</v>
      </c>
      <c r="AF29" s="59">
        <f t="shared" si="17"/>
        <v>88.151108593226667</v>
      </c>
      <c r="AG29" s="32">
        <f t="shared" si="10"/>
        <v>35.092158593226486</v>
      </c>
      <c r="AH29" s="67"/>
      <c r="AI29" s="44">
        <v>1184.6688191641585</v>
      </c>
      <c r="AJ29" s="45">
        <f t="shared" si="11"/>
        <v>-89.152869164158574</v>
      </c>
      <c r="AK29" s="43">
        <f t="shared" si="12"/>
        <v>-53.058950000000095</v>
      </c>
      <c r="AL29" s="66">
        <f t="shared" si="13"/>
        <v>-122.0589500000001</v>
      </c>
      <c r="AM29" s="52"/>
      <c r="AO29" s="46">
        <v>49669</v>
      </c>
      <c r="AP29" s="43">
        <v>1195.84828567505</v>
      </c>
      <c r="AQ29" s="46">
        <v>1311.1700935363799</v>
      </c>
      <c r="AR29" s="46">
        <f t="shared" si="7"/>
        <v>215.65414353637993</v>
      </c>
      <c r="AT29">
        <v>1227.67112541199</v>
      </c>
      <c r="AU29" s="46">
        <f t="shared" si="14"/>
        <v>92.900039631579801</v>
      </c>
      <c r="AV29" s="46">
        <f>AT29+AU29</f>
        <v>1320.5711650435699</v>
      </c>
    </row>
    <row r="30" spans="2:48" x14ac:dyDescent="0.25">
      <c r="B30" s="28" t="s">
        <v>63</v>
      </c>
      <c r="C30" s="29"/>
      <c r="D30" s="30">
        <f t="shared" si="15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1103.7608200000002</v>
      </c>
      <c r="J30" s="33">
        <f>H30-I30</f>
        <v>-61.303820000000314</v>
      </c>
      <c r="K30" s="34"/>
      <c r="L30" s="32">
        <f t="shared" si="16"/>
        <v>92.900039631579801</v>
      </c>
      <c r="M30" s="53"/>
      <c r="N30" s="54"/>
      <c r="O30" s="50"/>
      <c r="P30" s="32">
        <f>SUM(L30:O30)</f>
        <v>92.900039631579801</v>
      </c>
      <c r="Q30" s="37">
        <f t="shared" si="4"/>
        <v>1103.7608200000002</v>
      </c>
      <c r="R30" s="37">
        <f t="shared" si="5"/>
        <v>1010.8607803684204</v>
      </c>
      <c r="S30" s="33">
        <f t="shared" si="9"/>
        <v>31.596219631579515</v>
      </c>
      <c r="T30" s="10"/>
      <c r="V30" s="80" t="str">
        <f t="shared" si="6"/>
        <v>2038-39</v>
      </c>
      <c r="W30" s="83">
        <v>92.900039631579801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 t="s">
        <v>82</v>
      </c>
      <c r="AD30" s="80" t="s">
        <v>82</v>
      </c>
      <c r="AE30" s="80" t="s">
        <v>82</v>
      </c>
      <c r="AF30" s="59">
        <f t="shared" si="17"/>
        <v>92.900039631579801</v>
      </c>
      <c r="AG30" s="32">
        <f t="shared" si="10"/>
        <v>31.596219631579515</v>
      </c>
      <c r="AH30" s="67"/>
      <c r="AI30" s="44">
        <v>1200.0978356738965</v>
      </c>
      <c r="AJ30" s="45"/>
      <c r="AK30" s="43">
        <f t="shared" si="12"/>
        <v>-61.303820000000314</v>
      </c>
      <c r="AL30" s="66">
        <f t="shared" si="13"/>
        <v>-130.30382000000031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15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1112.5185900000001</v>
      </c>
      <c r="J31" s="33">
        <f>H31-I31</f>
        <v>-70.061590000000251</v>
      </c>
      <c r="K31" s="34"/>
      <c r="L31" s="32">
        <f t="shared" si="16"/>
        <v>97.641593791949987</v>
      </c>
      <c r="M31" s="53"/>
      <c r="N31" s="54"/>
      <c r="O31" s="50"/>
      <c r="P31" s="32">
        <f>SUM(L31:O31)</f>
        <v>97.641593791949987</v>
      </c>
      <c r="Q31" s="37">
        <f t="shared" si="4"/>
        <v>1112.5185900000001</v>
      </c>
      <c r="R31" s="37">
        <f t="shared" si="5"/>
        <v>1014.8769962080502</v>
      </c>
      <c r="S31" s="33">
        <f t="shared" si="9"/>
        <v>27.580003791949821</v>
      </c>
      <c r="T31" s="10"/>
      <c r="V31" s="80" t="str">
        <f t="shared" si="6"/>
        <v>2039-40</v>
      </c>
      <c r="W31" s="83">
        <v>97.641593791949987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 t="s">
        <v>82</v>
      </c>
      <c r="AD31" s="80" t="s">
        <v>82</v>
      </c>
      <c r="AE31" s="80" t="s">
        <v>82</v>
      </c>
      <c r="AF31" s="59">
        <f t="shared" si="17"/>
        <v>97.641593791949987</v>
      </c>
      <c r="AG31" s="32">
        <f t="shared" si="10"/>
        <v>27.580003791949821</v>
      </c>
      <c r="AH31" s="67"/>
      <c r="AI31" s="44">
        <v>1214.5413742702863</v>
      </c>
      <c r="AJ31" s="45"/>
      <c r="AK31" s="43">
        <f t="shared" si="12"/>
        <v>-70.061590000000251</v>
      </c>
      <c r="AL31" s="66">
        <f t="shared" si="13"/>
        <v>-139.06159000000025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15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1122.97398</v>
      </c>
      <c r="J32" s="33">
        <f>H32-I32</f>
        <v>-80.516980000000103</v>
      </c>
      <c r="K32" s="34"/>
      <c r="L32" s="32">
        <f t="shared" si="16"/>
        <v>102.34875340283345</v>
      </c>
      <c r="M32" s="53"/>
      <c r="N32" s="54"/>
      <c r="O32" s="50"/>
      <c r="P32" s="32">
        <f t="shared" ref="P32:P33" si="18">SUM(L32:O32)</f>
        <v>102.34875340283345</v>
      </c>
      <c r="Q32" s="37">
        <f t="shared" si="4"/>
        <v>1122.97398</v>
      </c>
      <c r="R32" s="37">
        <f t="shared" si="5"/>
        <v>1020.6252265971665</v>
      </c>
      <c r="S32" s="33">
        <f t="shared" si="9"/>
        <v>21.831773402833278</v>
      </c>
      <c r="T32" s="10"/>
      <c r="V32" s="80" t="str">
        <f t="shared" si="6"/>
        <v>2040-41</v>
      </c>
      <c r="W32" s="83">
        <v>102.34875340283345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 t="s">
        <v>82</v>
      </c>
      <c r="AD32" s="80" t="s">
        <v>82</v>
      </c>
      <c r="AE32" s="80" t="s">
        <v>82</v>
      </c>
      <c r="AF32" s="59">
        <f t="shared" si="17"/>
        <v>102.34875340283345</v>
      </c>
      <c r="AG32" s="32">
        <f t="shared" si="10"/>
        <v>21.831773402833278</v>
      </c>
      <c r="AH32" s="67"/>
      <c r="AK32" s="43">
        <f t="shared" si="12"/>
        <v>-80.516980000000103</v>
      </c>
      <c r="AL32" s="66">
        <f t="shared" si="13"/>
        <v>-149.5169800000001</v>
      </c>
      <c r="AM32" s="52"/>
    </row>
    <row r="33" spans="2:43" x14ac:dyDescent="0.25">
      <c r="B33" s="28" t="s">
        <v>81</v>
      </c>
      <c r="C33" s="29"/>
      <c r="D33" s="30">
        <f t="shared" si="15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1130.08322</v>
      </c>
      <c r="J33" s="33">
        <f>H33-I33</f>
        <v>-87.626220000000103</v>
      </c>
      <c r="K33" s="34"/>
      <c r="L33" s="32">
        <f t="shared" si="16"/>
        <v>106.93261584180523</v>
      </c>
      <c r="M33" s="53"/>
      <c r="N33" s="54"/>
      <c r="O33" s="50"/>
      <c r="P33" s="32">
        <f t="shared" si="18"/>
        <v>106.93261584180523</v>
      </c>
      <c r="Q33" s="37">
        <f>I33</f>
        <v>1130.08322</v>
      </c>
      <c r="R33" s="37">
        <f t="shared" si="5"/>
        <v>1023.1506041581947</v>
      </c>
      <c r="S33" s="33">
        <f t="shared" si="9"/>
        <v>19.30639584180517</v>
      </c>
      <c r="T33" s="10"/>
      <c r="U33" s="55"/>
      <c r="V33" s="80" t="str">
        <f>B33</f>
        <v>2041-42</v>
      </c>
      <c r="W33" s="84">
        <v>106.93261584180523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 t="s">
        <v>82</v>
      </c>
      <c r="AD33" s="80" t="s">
        <v>82</v>
      </c>
      <c r="AE33" s="80" t="s">
        <v>82</v>
      </c>
      <c r="AF33" s="59">
        <f t="shared" si="17"/>
        <v>106.93261584180523</v>
      </c>
      <c r="AG33" s="32">
        <f t="shared" si="10"/>
        <v>19.30639584180517</v>
      </c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1" orientation="landscape" r:id="rId1"/>
  <headerFooter>
    <oddHeader>&amp;L&amp;Z&amp;F</oddHeader>
    <oddFooter>&amp;R&amp;A
&amp;D&amp;T
&amp;Z&amp;F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P8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0.42578125" customWidth="1"/>
    <col min="24" max="24" width="10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8" ht="18.75" x14ac:dyDescent="0.3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5</v>
      </c>
      <c r="AB5" s="14"/>
      <c r="AC5" s="14"/>
      <c r="AD5" s="15"/>
      <c r="AE5" s="15"/>
      <c r="AF5" s="9"/>
    </row>
    <row r="6" spans="2:48" ht="77.25" customHeight="1" x14ac:dyDescent="0.25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72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BASE Demand Before DSR</v>
      </c>
      <c r="R6" s="16" t="s">
        <v>133</v>
      </c>
      <c r="S6" s="18" t="s">
        <v>18</v>
      </c>
      <c r="T6" s="10"/>
      <c r="V6" s="71" t="s">
        <v>6</v>
      </c>
      <c r="W6" s="71" t="s">
        <v>86</v>
      </c>
      <c r="X6" s="71" t="s">
        <v>19</v>
      </c>
      <c r="Y6" s="71" t="s">
        <v>20</v>
      </c>
      <c r="Z6" s="71" t="s">
        <v>21</v>
      </c>
      <c r="AA6" s="71" t="s">
        <v>85</v>
      </c>
      <c r="AB6" s="71" t="s">
        <v>22</v>
      </c>
      <c r="AC6" s="71" t="s">
        <v>23</v>
      </c>
      <c r="AD6" s="71" t="s">
        <v>24</v>
      </c>
      <c r="AE6" s="71" t="s">
        <v>14</v>
      </c>
      <c r="AF6" s="16" t="s">
        <v>25</v>
      </c>
      <c r="AG6" s="16" t="s">
        <v>26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x14ac:dyDescent="0.25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72" t="s">
        <v>29</v>
      </c>
      <c r="W7" s="72" t="s">
        <v>83</v>
      </c>
      <c r="X7" s="73" t="s">
        <v>30</v>
      </c>
      <c r="Y7" s="73" t="s">
        <v>31</v>
      </c>
      <c r="Z7" s="73" t="s">
        <v>32</v>
      </c>
      <c r="AA7" s="73" t="s">
        <v>33</v>
      </c>
      <c r="AB7" s="73" t="s">
        <v>34</v>
      </c>
      <c r="AC7" s="73" t="s">
        <v>35</v>
      </c>
      <c r="AD7" s="73" t="s">
        <v>36</v>
      </c>
      <c r="AE7" s="73" t="s">
        <v>37</v>
      </c>
      <c r="AF7" s="27"/>
      <c r="AG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28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75" t="e">
        <f>#REF!</f>
        <v>#REF!</v>
      </c>
      <c r="W8" s="74"/>
      <c r="X8" s="74"/>
      <c r="Y8" s="74"/>
      <c r="Z8" s="74"/>
      <c r="AA8" s="74"/>
      <c r="AB8" s="76"/>
      <c r="AC8" s="74"/>
      <c r="AD8" s="74"/>
      <c r="AE8" s="74"/>
      <c r="AF8" s="94">
        <f t="shared" ref="AF8:AF13" si="1">SUM(X8:AE8)</f>
        <v>0</v>
      </c>
      <c r="AG8" s="37">
        <f>(H8+AF8)-I8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75" t="str">
        <f>B8</f>
        <v>2015-16</v>
      </c>
      <c r="W9" s="74"/>
      <c r="X9" s="74"/>
      <c r="Y9" s="74"/>
      <c r="Z9" s="74"/>
      <c r="AA9" s="74"/>
      <c r="AB9" s="76"/>
      <c r="AC9" s="74"/>
      <c r="AD9" s="74"/>
      <c r="AE9" s="74"/>
      <c r="AF9" s="94">
        <f t="shared" si="1"/>
        <v>0</v>
      </c>
      <c r="AG9" s="37">
        <f>(H9+AF9)-I9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 t="shared" ref="Q10:Q32" si="4">I10</f>
        <v>1009.5326608132258</v>
      </c>
      <c r="R10" s="37">
        <f t="shared" ref="R10:R33" si="5">Q10-W10</f>
        <v>1007.6380883417644</v>
      </c>
      <c r="S10" s="33">
        <f>H10-R10</f>
        <v>-15.181088341764394</v>
      </c>
      <c r="T10" s="10"/>
      <c r="V10" s="75" t="str">
        <f t="shared" ref="V10:V32" si="6">B10</f>
        <v>2018-19</v>
      </c>
      <c r="W10" s="79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78"/>
      <c r="AF10" s="41">
        <f t="shared" si="1"/>
        <v>15</v>
      </c>
      <c r="AG10" s="42">
        <f>(H10+AF10)-I10</f>
        <v>-2.0756608132257952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 t="shared" ref="AR10:AR29" si="7">AQ10-I10</f>
        <v>-2.2806992425785211E-2</v>
      </c>
      <c r="AT10">
        <v>1007.59009361267</v>
      </c>
      <c r="AU10" s="46">
        <f>W10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 t="shared" si="4"/>
        <v>1022.7918912094859</v>
      </c>
      <c r="R11" s="37">
        <f t="shared" si="5"/>
        <v>1016.7329343189342</v>
      </c>
      <c r="S11" s="33">
        <f>H11-R11</f>
        <v>25.224065681065667</v>
      </c>
      <c r="T11" s="10"/>
      <c r="V11" s="80" t="str">
        <f t="shared" si="6"/>
        <v>2019-20</v>
      </c>
      <c r="W11" s="79">
        <v>6.0589568905517144</v>
      </c>
      <c r="X11" s="77"/>
      <c r="Y11" s="77"/>
      <c r="Z11" s="77"/>
      <c r="AA11" s="77"/>
      <c r="AB11" s="77"/>
      <c r="AC11" s="77"/>
      <c r="AD11" s="77"/>
      <c r="AE11" s="77"/>
      <c r="AF11" s="41">
        <f t="shared" si="1"/>
        <v>0</v>
      </c>
      <c r="AG11" s="42">
        <f>(H11+AF11)-I11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 t="shared" si="7"/>
        <v>-2.534686744593273E-2</v>
      </c>
      <c r="AT11">
        <v>1016.63834762573</v>
      </c>
      <c r="AU11" s="46">
        <f>W11</f>
        <v>6.0589568905517144</v>
      </c>
      <c r="AV11" s="46">
        <f t="shared" ref="AV11:AV28" si="8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 t="shared" si="4"/>
        <v>957.00229999999999</v>
      </c>
      <c r="R12" s="37">
        <f t="shared" si="5"/>
        <v>957.00229999999999</v>
      </c>
      <c r="S12" s="33">
        <f t="shared" ref="S12:S33" si="9">H12+P12-Q12</f>
        <v>-7.5889205675269977</v>
      </c>
      <c r="T12" s="10"/>
      <c r="V12" s="80" t="str">
        <f t="shared" si="6"/>
        <v>2020-21</v>
      </c>
      <c r="W12" s="75">
        <v>0</v>
      </c>
      <c r="X12" s="80"/>
      <c r="Y12" s="80"/>
      <c r="Z12" s="80"/>
      <c r="AA12" s="80"/>
      <c r="AB12" s="80"/>
      <c r="AC12" s="80"/>
      <c r="AD12" s="80"/>
      <c r="AE12" s="80"/>
      <c r="AF12" s="59">
        <f t="shared" si="1"/>
        <v>0</v>
      </c>
      <c r="AG12" s="32">
        <f t="shared" ref="AG12:AG33" si="10">AF12+H12-I12</f>
        <v>35.454700000000003</v>
      </c>
      <c r="AH12" s="67"/>
      <c r="AI12" s="44">
        <v>1035.500620567527</v>
      </c>
      <c r="AJ12" s="45">
        <f t="shared" ref="AJ12:AJ29" si="11">I12-AI12</f>
        <v>-78.498320567527003</v>
      </c>
      <c r="AK12" s="43">
        <f t="shared" ref="AK12:AK32" si="12">J12</f>
        <v>35.454700000000003</v>
      </c>
      <c r="AL12" s="66">
        <f t="shared" ref="AL12:AL32" si="13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 t="shared" si="7"/>
        <v>79.295233035279921</v>
      </c>
      <c r="AT12">
        <v>1025.8805351257299</v>
      </c>
      <c r="AU12" s="46">
        <f t="shared" ref="AU12:AU29" si="14">W13</f>
        <v>0</v>
      </c>
      <c r="AV12" s="46">
        <f t="shared" si="8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5.5862745515953023</v>
      </c>
      <c r="M13" s="50"/>
      <c r="N13" s="51">
        <v>-3.1532888603364881</v>
      </c>
      <c r="O13" s="50"/>
      <c r="P13" s="32">
        <f t="shared" si="3"/>
        <v>2.4329856912588141</v>
      </c>
      <c r="Q13" s="37">
        <f t="shared" si="4"/>
        <v>957.00229999999999</v>
      </c>
      <c r="R13" s="37">
        <f t="shared" si="5"/>
        <v>957.00229999999999</v>
      </c>
      <c r="S13" s="33">
        <f t="shared" si="9"/>
        <v>87.887685691258753</v>
      </c>
      <c r="T13" s="10"/>
      <c r="V13" s="80" t="str">
        <f t="shared" si="6"/>
        <v>2021-22</v>
      </c>
      <c r="W13" s="81">
        <v>0</v>
      </c>
      <c r="X13" s="80"/>
      <c r="Y13" s="80"/>
      <c r="Z13" s="80"/>
      <c r="AA13" s="80"/>
      <c r="AB13" s="80"/>
      <c r="AC13" s="80"/>
      <c r="AD13" s="80"/>
      <c r="AE13" s="80"/>
      <c r="AF13" s="59">
        <f t="shared" si="1"/>
        <v>0</v>
      </c>
      <c r="AG13" s="32">
        <f t="shared" si="10"/>
        <v>85.454699999999889</v>
      </c>
      <c r="AH13" s="67"/>
      <c r="AI13" s="44">
        <v>1045.6102888603364</v>
      </c>
      <c r="AJ13" s="45">
        <f t="shared" si="11"/>
        <v>-88.607988860336377</v>
      </c>
      <c r="AK13" s="43">
        <f t="shared" si="12"/>
        <v>85.454699999999889</v>
      </c>
      <c r="AL13" s="66">
        <f t="shared" si="13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 t="shared" si="7"/>
        <v>92.182644152829994</v>
      </c>
      <c r="AT13">
        <v>1034.72814559937</v>
      </c>
      <c r="AU13" s="46">
        <f t="shared" si="14"/>
        <v>5.5862745515953023</v>
      </c>
      <c r="AV13" s="46">
        <f t="shared" si="8"/>
        <v>1040.3144201509654</v>
      </c>
    </row>
    <row r="14" spans="2:48" x14ac:dyDescent="0.25">
      <c r="B14" s="28" t="s">
        <v>47</v>
      </c>
      <c r="C14" s="29"/>
      <c r="D14" s="30">
        <v>523.9</v>
      </c>
      <c r="E14" s="30">
        <v>447.05700000000002</v>
      </c>
      <c r="F14" s="31">
        <v>2.5</v>
      </c>
      <c r="G14" s="48">
        <v>69</v>
      </c>
      <c r="H14" s="32">
        <f t="shared" si="2"/>
        <v>1042.4569999999999</v>
      </c>
      <c r="I14" s="49">
        <v>966.56050000000005</v>
      </c>
      <c r="J14" s="33">
        <f t="shared" si="0"/>
        <v>75.896499999999833</v>
      </c>
      <c r="K14" s="34"/>
      <c r="L14" s="32">
        <f>W14</f>
        <v>5.5862745515953023</v>
      </c>
      <c r="M14" s="53"/>
      <c r="N14" s="54"/>
      <c r="O14" s="50"/>
      <c r="P14" s="32">
        <f t="shared" si="3"/>
        <v>5.5862745515953023</v>
      </c>
      <c r="Q14" s="37">
        <f t="shared" si="4"/>
        <v>966.56050000000005</v>
      </c>
      <c r="R14" s="37">
        <f t="shared" si="5"/>
        <v>960.9742254484047</v>
      </c>
      <c r="S14" s="33">
        <f t="shared" si="9"/>
        <v>81.482774551595185</v>
      </c>
      <c r="T14" s="10"/>
      <c r="V14" s="80" t="str">
        <f t="shared" si="6"/>
        <v>2022-23</v>
      </c>
      <c r="W14" s="83">
        <v>5.5862745515953023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80" t="s">
        <v>82</v>
      </c>
      <c r="AD14" s="80" t="s">
        <v>82</v>
      </c>
      <c r="AE14" s="80" t="s">
        <v>82</v>
      </c>
      <c r="AF14" s="59">
        <f>SUM(W14:AE14)</f>
        <v>5.5862745515953023</v>
      </c>
      <c r="AG14" s="32">
        <f t="shared" si="10"/>
        <v>81.482774551595185</v>
      </c>
      <c r="AH14" s="67"/>
      <c r="AI14" s="44">
        <v>1053.5407413432795</v>
      </c>
      <c r="AJ14" s="45">
        <f t="shared" si="11"/>
        <v>-86.980241343279431</v>
      </c>
      <c r="AK14" s="43">
        <f t="shared" si="12"/>
        <v>75.896499999999833</v>
      </c>
      <c r="AL14" s="66">
        <f t="shared" si="13"/>
        <v>6.8964999999998327</v>
      </c>
      <c r="AM14" s="52"/>
      <c r="AO14" s="46">
        <v>45286</v>
      </c>
      <c r="AP14" s="43">
        <v>1051.6916141510001</v>
      </c>
      <c r="AQ14" s="46">
        <v>1057.5920944213899</v>
      </c>
      <c r="AR14" s="46">
        <f t="shared" si="7"/>
        <v>91.031594421389855</v>
      </c>
      <c r="AT14">
        <v>1039.08507537842</v>
      </c>
      <c r="AU14" s="46">
        <f t="shared" si="14"/>
        <v>11.863323670085789</v>
      </c>
      <c r="AV14" s="46">
        <f t="shared" si="8"/>
        <v>1050.9483990485057</v>
      </c>
    </row>
    <row r="15" spans="2:48" x14ac:dyDescent="0.25">
      <c r="B15" s="28" t="s">
        <v>48</v>
      </c>
      <c r="C15" s="29"/>
      <c r="D15" s="30"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49">
        <v>976.51042000000007</v>
      </c>
      <c r="J15" s="33">
        <f t="shared" si="0"/>
        <v>65.946579999999813</v>
      </c>
      <c r="K15" s="34"/>
      <c r="L15" s="32">
        <f t="shared" ref="L15:L33" si="15">W15</f>
        <v>11.863323670085789</v>
      </c>
      <c r="M15" s="53"/>
      <c r="N15" s="54"/>
      <c r="O15" s="50"/>
      <c r="P15" s="32">
        <f t="shared" si="3"/>
        <v>11.863323670085789</v>
      </c>
      <c r="Q15" s="37">
        <f t="shared" si="4"/>
        <v>976.51042000000007</v>
      </c>
      <c r="R15" s="37">
        <f t="shared" si="5"/>
        <v>964.64709632991423</v>
      </c>
      <c r="S15" s="33">
        <f t="shared" si="9"/>
        <v>77.809903670085532</v>
      </c>
      <c r="T15" s="10"/>
      <c r="V15" s="80" t="str">
        <f t="shared" si="6"/>
        <v>2023-24</v>
      </c>
      <c r="W15" s="83">
        <v>11.863323670085789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 t="s">
        <v>82</v>
      </c>
      <c r="AD15" s="80" t="s">
        <v>82</v>
      </c>
      <c r="AE15" s="80" t="s">
        <v>82</v>
      </c>
      <c r="AF15" s="59">
        <f t="shared" ref="AF15:AF33" si="16">SUM(W15:AE15)</f>
        <v>11.863323670085789</v>
      </c>
      <c r="AG15" s="32">
        <f t="shared" si="10"/>
        <v>77.809903670085532</v>
      </c>
      <c r="AH15" s="67"/>
      <c r="AI15" s="44">
        <v>1062.70947981108</v>
      </c>
      <c r="AJ15" s="45">
        <f t="shared" si="11"/>
        <v>-86.199059811079906</v>
      </c>
      <c r="AK15" s="43">
        <f t="shared" si="12"/>
        <v>65.946579999999813</v>
      </c>
      <c r="AL15" s="66">
        <f t="shared" si="13"/>
        <v>-3.0534200000001874</v>
      </c>
      <c r="AM15" s="52"/>
      <c r="AO15" s="46">
        <v>45652</v>
      </c>
      <c r="AP15" s="43">
        <v>1061.69411087036</v>
      </c>
      <c r="AQ15" s="46">
        <v>1073.9486598968499</v>
      </c>
      <c r="AR15" s="46">
        <f t="shared" si="7"/>
        <v>97.438239896849836</v>
      </c>
      <c r="AT15">
        <v>1051.30883216858</v>
      </c>
      <c r="AU15" s="46">
        <f t="shared" si="14"/>
        <v>18.397198768665049</v>
      </c>
      <c r="AV15" s="46">
        <f t="shared" si="8"/>
        <v>1069.706030937245</v>
      </c>
    </row>
    <row r="16" spans="2:48" x14ac:dyDescent="0.25">
      <c r="B16" s="28" t="s">
        <v>49</v>
      </c>
      <c r="C16" s="29"/>
      <c r="D16" s="30"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49">
        <v>987.94945999999993</v>
      </c>
      <c r="J16" s="33">
        <f t="shared" si="0"/>
        <v>54.507539999999949</v>
      </c>
      <c r="K16" s="34"/>
      <c r="L16" s="32">
        <f t="shared" si="15"/>
        <v>18.397198768665049</v>
      </c>
      <c r="M16" s="53"/>
      <c r="N16" s="54"/>
      <c r="O16" s="50"/>
      <c r="P16" s="32">
        <f t="shared" si="3"/>
        <v>18.397198768665049</v>
      </c>
      <c r="Q16" s="37">
        <f t="shared" si="4"/>
        <v>987.94945999999993</v>
      </c>
      <c r="R16" s="37">
        <f t="shared" si="5"/>
        <v>969.55226123133491</v>
      </c>
      <c r="S16" s="33">
        <f t="shared" si="9"/>
        <v>72.90473876866497</v>
      </c>
      <c r="T16" s="10"/>
      <c r="V16" s="80" t="str">
        <f t="shared" si="6"/>
        <v>2024-25</v>
      </c>
      <c r="W16" s="83">
        <v>18.397198768665049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 t="s">
        <v>82</v>
      </c>
      <c r="AD16" s="80" t="s">
        <v>82</v>
      </c>
      <c r="AE16" s="80" t="s">
        <v>82</v>
      </c>
      <c r="AF16" s="59">
        <f t="shared" si="16"/>
        <v>18.397198768665049</v>
      </c>
      <c r="AG16" s="32">
        <f t="shared" si="10"/>
        <v>72.90473876866497</v>
      </c>
      <c r="AH16" s="67"/>
      <c r="AI16" s="44">
        <v>1069.875394233997</v>
      </c>
      <c r="AJ16" s="45">
        <f t="shared" si="11"/>
        <v>-81.925934233997054</v>
      </c>
      <c r="AK16" s="43">
        <f t="shared" si="12"/>
        <v>54.507539999999949</v>
      </c>
      <c r="AL16" s="66">
        <f t="shared" si="13"/>
        <v>-14.492460000000051</v>
      </c>
      <c r="AM16" s="52"/>
      <c r="AO16" s="46">
        <v>46017</v>
      </c>
      <c r="AP16" s="43">
        <v>1068.4566287994401</v>
      </c>
      <c r="AQ16" s="46">
        <v>1088.2765007019</v>
      </c>
      <c r="AR16" s="46">
        <f t="shared" si="7"/>
        <v>100.32704070190005</v>
      </c>
      <c r="AT16">
        <v>1061.2161140441899</v>
      </c>
      <c r="AU16" s="46">
        <f t="shared" si="14"/>
        <v>25.036570760753744</v>
      </c>
      <c r="AV16" s="46">
        <f t="shared" si="8"/>
        <v>1086.2526848049436</v>
      </c>
    </row>
    <row r="17" spans="2:48" x14ac:dyDescent="0.25">
      <c r="B17" s="28" t="s">
        <v>50</v>
      </c>
      <c r="C17" s="29"/>
      <c r="D17" s="30"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49">
        <v>995.33915999999999</v>
      </c>
      <c r="J17" s="33">
        <f t="shared" si="0"/>
        <v>47.117839999999887</v>
      </c>
      <c r="K17" s="34"/>
      <c r="L17" s="32">
        <f t="shared" si="15"/>
        <v>25.036570760753744</v>
      </c>
      <c r="M17" s="53"/>
      <c r="N17" s="54"/>
      <c r="O17" s="50"/>
      <c r="P17" s="32">
        <f t="shared" si="3"/>
        <v>25.036570760753744</v>
      </c>
      <c r="Q17" s="37">
        <f t="shared" si="4"/>
        <v>995.33915999999999</v>
      </c>
      <c r="R17" s="37">
        <f t="shared" si="5"/>
        <v>970.30258923924623</v>
      </c>
      <c r="S17" s="33">
        <f t="shared" si="9"/>
        <v>72.154410760753535</v>
      </c>
      <c r="T17" s="10"/>
      <c r="V17" s="80" t="str">
        <f t="shared" si="6"/>
        <v>2025-26</v>
      </c>
      <c r="W17" s="83">
        <v>25.036570760753744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 t="s">
        <v>82</v>
      </c>
      <c r="AD17" s="80" t="s">
        <v>82</v>
      </c>
      <c r="AE17" s="80" t="s">
        <v>82</v>
      </c>
      <c r="AF17" s="59">
        <f t="shared" si="16"/>
        <v>25.036570760753744</v>
      </c>
      <c r="AG17" s="32">
        <f t="shared" si="10"/>
        <v>72.154410760753535</v>
      </c>
      <c r="AH17" s="67"/>
      <c r="AI17" s="44">
        <v>1074.046576766304</v>
      </c>
      <c r="AJ17" s="45">
        <f t="shared" si="11"/>
        <v>-78.70741676630405</v>
      </c>
      <c r="AK17" s="43">
        <f t="shared" si="12"/>
        <v>47.117839999999887</v>
      </c>
      <c r="AL17" s="66">
        <f t="shared" si="13"/>
        <v>-21.882160000000113</v>
      </c>
      <c r="AM17" s="52"/>
      <c r="AO17" s="46">
        <v>46382</v>
      </c>
      <c r="AP17" s="43">
        <v>1077.6138305664099</v>
      </c>
      <c r="AQ17" s="46">
        <v>1099.434425354</v>
      </c>
      <c r="AR17" s="46">
        <f t="shared" si="7"/>
        <v>104.09526535400005</v>
      </c>
      <c r="AT17">
        <v>1067.8715152740499</v>
      </c>
      <c r="AU17" s="46">
        <f t="shared" si="14"/>
        <v>31.907262650763904</v>
      </c>
      <c r="AV17" s="46">
        <f t="shared" si="8"/>
        <v>1099.7787779248138</v>
      </c>
    </row>
    <row r="18" spans="2:48" x14ac:dyDescent="0.25">
      <c r="B18" s="28" t="s">
        <v>51</v>
      </c>
      <c r="C18" s="29"/>
      <c r="D18" s="30"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49">
        <v>1003.3576700000001</v>
      </c>
      <c r="J18" s="33">
        <f t="shared" si="0"/>
        <v>39.099329999999782</v>
      </c>
      <c r="K18" s="34"/>
      <c r="L18" s="32">
        <f t="shared" si="15"/>
        <v>31.907262650763904</v>
      </c>
      <c r="M18" s="53"/>
      <c r="N18" s="54"/>
      <c r="O18" s="50"/>
      <c r="P18" s="32">
        <f t="shared" si="3"/>
        <v>31.907262650763904</v>
      </c>
      <c r="Q18" s="37">
        <f t="shared" si="4"/>
        <v>1003.3576700000001</v>
      </c>
      <c r="R18" s="37">
        <f t="shared" si="5"/>
        <v>971.45040734923623</v>
      </c>
      <c r="S18" s="33">
        <f t="shared" si="9"/>
        <v>71.00659265076365</v>
      </c>
      <c r="T18" s="10"/>
      <c r="V18" s="80" t="str">
        <f t="shared" si="6"/>
        <v>2026-27</v>
      </c>
      <c r="W18" s="83">
        <v>31.907262650763904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 t="s">
        <v>82</v>
      </c>
      <c r="AD18" s="80" t="s">
        <v>82</v>
      </c>
      <c r="AE18" s="80" t="s">
        <v>82</v>
      </c>
      <c r="AF18" s="59">
        <f t="shared" si="16"/>
        <v>31.907262650763904</v>
      </c>
      <c r="AG18" s="32">
        <f t="shared" si="10"/>
        <v>71.00659265076365</v>
      </c>
      <c r="AH18" s="67"/>
      <c r="AI18" s="44">
        <v>1081.3726145732787</v>
      </c>
      <c r="AJ18" s="45">
        <f t="shared" si="11"/>
        <v>-78.014944573278626</v>
      </c>
      <c r="AK18" s="43">
        <f t="shared" si="12"/>
        <v>39.099329999999782</v>
      </c>
      <c r="AL18" s="66">
        <f t="shared" si="13"/>
        <v>-29.900670000000218</v>
      </c>
      <c r="AM18" s="52"/>
      <c r="AO18" s="46">
        <v>46747</v>
      </c>
      <c r="AP18" s="43">
        <v>1083.91345024109</v>
      </c>
      <c r="AQ18" s="46">
        <v>1112.8700542449999</v>
      </c>
      <c r="AR18" s="46">
        <f t="shared" si="7"/>
        <v>109.51238424499979</v>
      </c>
      <c r="AT18">
        <v>1076.90893554688</v>
      </c>
      <c r="AU18" s="46">
        <f t="shared" si="14"/>
        <v>39.051988892174293</v>
      </c>
      <c r="AV18" s="46">
        <f t="shared" si="8"/>
        <v>1115.9609244390542</v>
      </c>
    </row>
    <row r="19" spans="2:48" x14ac:dyDescent="0.25">
      <c r="B19" s="28" t="s">
        <v>52</v>
      </c>
      <c r="C19" s="29"/>
      <c r="D19" s="30"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49">
        <v>1011.2176899999998</v>
      </c>
      <c r="J19" s="33">
        <f t="shared" si="0"/>
        <v>31.239310000000046</v>
      </c>
      <c r="K19" s="34"/>
      <c r="L19" s="32">
        <f t="shared" si="15"/>
        <v>39.051988892174293</v>
      </c>
      <c r="M19" s="53"/>
      <c r="N19" s="54"/>
      <c r="O19" s="50"/>
      <c r="P19" s="32">
        <f t="shared" si="3"/>
        <v>39.051988892174293</v>
      </c>
      <c r="Q19" s="37">
        <f t="shared" si="4"/>
        <v>1011.2176899999998</v>
      </c>
      <c r="R19" s="37">
        <f t="shared" si="5"/>
        <v>972.1657011078255</v>
      </c>
      <c r="S19" s="33">
        <f t="shared" si="9"/>
        <v>70.291298892174268</v>
      </c>
      <c r="T19" s="10"/>
      <c r="V19" s="80" t="str">
        <f t="shared" si="6"/>
        <v>2027-28</v>
      </c>
      <c r="W19" s="83">
        <v>39.051988892174293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 t="s">
        <v>82</v>
      </c>
      <c r="AD19" s="80" t="s">
        <v>82</v>
      </c>
      <c r="AE19" s="80" t="s">
        <v>82</v>
      </c>
      <c r="AF19" s="59">
        <f t="shared" si="16"/>
        <v>39.051988892174293</v>
      </c>
      <c r="AG19" s="32">
        <f t="shared" si="10"/>
        <v>70.291298892174268</v>
      </c>
      <c r="AH19" s="67"/>
      <c r="AI19" s="44">
        <v>1088.9478443321157</v>
      </c>
      <c r="AJ19" s="45">
        <f t="shared" si="11"/>
        <v>-77.730154332115831</v>
      </c>
      <c r="AK19" s="43">
        <f t="shared" si="12"/>
        <v>31.239310000000046</v>
      </c>
      <c r="AL19" s="66">
        <f t="shared" si="13"/>
        <v>-37.760689999999954</v>
      </c>
      <c r="AM19" s="52"/>
      <c r="AO19" s="46">
        <v>47113</v>
      </c>
      <c r="AP19" s="43">
        <v>1092.7315940856899</v>
      </c>
      <c r="AQ19" s="46">
        <v>1123.43689346313</v>
      </c>
      <c r="AR19" s="46">
        <f t="shared" si="7"/>
        <v>112.21920346313016</v>
      </c>
      <c r="AT19">
        <v>1083.0756511688201</v>
      </c>
      <c r="AU19" s="46">
        <f t="shared" si="14"/>
        <v>46.472300973712045</v>
      </c>
      <c r="AV19" s="46">
        <f t="shared" si="8"/>
        <v>1129.547952142532</v>
      </c>
    </row>
    <row r="20" spans="2:48" x14ac:dyDescent="0.25">
      <c r="B20" s="28" t="s">
        <v>53</v>
      </c>
      <c r="C20" s="29"/>
      <c r="D20" s="30"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49">
        <v>1020.75771</v>
      </c>
      <c r="J20" s="33">
        <f t="shared" si="0"/>
        <v>21.699289999999905</v>
      </c>
      <c r="K20" s="34"/>
      <c r="L20" s="32">
        <f t="shared" si="15"/>
        <v>46.472300973712045</v>
      </c>
      <c r="M20" s="53"/>
      <c r="N20" s="54"/>
      <c r="O20" s="50"/>
      <c r="P20" s="32">
        <f t="shared" si="3"/>
        <v>46.472300973712045</v>
      </c>
      <c r="Q20" s="37">
        <f t="shared" si="4"/>
        <v>1020.75771</v>
      </c>
      <c r="R20" s="37">
        <f t="shared" si="5"/>
        <v>974.28540902628788</v>
      </c>
      <c r="S20" s="33">
        <f t="shared" si="9"/>
        <v>68.171590973711886</v>
      </c>
      <c r="T20" s="10"/>
      <c r="V20" s="80" t="str">
        <f t="shared" si="6"/>
        <v>2028-29</v>
      </c>
      <c r="W20" s="83">
        <v>46.472300973712045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 t="s">
        <v>82</v>
      </c>
      <c r="AD20" s="80" t="s">
        <v>82</v>
      </c>
      <c r="AE20" s="80" t="s">
        <v>82</v>
      </c>
      <c r="AF20" s="59">
        <f t="shared" si="16"/>
        <v>46.472300973712045</v>
      </c>
      <c r="AG20" s="32">
        <f t="shared" si="10"/>
        <v>68.171590973711886</v>
      </c>
      <c r="AH20" s="67"/>
      <c r="AI20" s="44">
        <v>1096.2966233757172</v>
      </c>
      <c r="AJ20" s="45">
        <f t="shared" si="11"/>
        <v>-75.538913375717243</v>
      </c>
      <c r="AK20" s="43">
        <f t="shared" si="12"/>
        <v>21.699289999999905</v>
      </c>
      <c r="AL20" s="66">
        <f t="shared" si="13"/>
        <v>-47.300710000000095</v>
      </c>
      <c r="AM20" s="52"/>
      <c r="AO20" s="46">
        <v>47478</v>
      </c>
      <c r="AP20" s="43">
        <v>1106.82481765747</v>
      </c>
      <c r="AQ20" s="46">
        <v>1136.34985542297</v>
      </c>
      <c r="AR20" s="46">
        <f t="shared" si="7"/>
        <v>115.59214542297002</v>
      </c>
      <c r="AT20">
        <v>1091.7492027282699</v>
      </c>
      <c r="AU20" s="46">
        <f t="shared" si="14"/>
        <v>54.161413315939861</v>
      </c>
      <c r="AV20" s="46">
        <f t="shared" si="8"/>
        <v>1145.9106160442097</v>
      </c>
    </row>
    <row r="21" spans="2:48" x14ac:dyDescent="0.25">
      <c r="B21" s="28" t="s">
        <v>54</v>
      </c>
      <c r="C21" s="29"/>
      <c r="D21" s="30"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49">
        <v>1027.3149399999998</v>
      </c>
      <c r="J21" s="33">
        <f t="shared" si="0"/>
        <v>15.142060000000129</v>
      </c>
      <c r="K21" s="34"/>
      <c r="L21" s="32">
        <f t="shared" si="15"/>
        <v>54.161413315939861</v>
      </c>
      <c r="M21" s="53"/>
      <c r="N21" s="54"/>
      <c r="O21" s="50"/>
      <c r="P21" s="32">
        <f t="shared" si="3"/>
        <v>54.161413315939861</v>
      </c>
      <c r="Q21" s="37">
        <f t="shared" si="4"/>
        <v>1027.3149399999998</v>
      </c>
      <c r="R21" s="37">
        <f t="shared" si="5"/>
        <v>973.1535266840599</v>
      </c>
      <c r="S21" s="33">
        <f t="shared" si="9"/>
        <v>69.303473315939982</v>
      </c>
      <c r="T21" s="10"/>
      <c r="V21" s="80" t="str">
        <f t="shared" si="6"/>
        <v>2029-30</v>
      </c>
      <c r="W21" s="83">
        <v>54.161413315939861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80" t="s">
        <v>82</v>
      </c>
      <c r="AD21" s="80" t="s">
        <v>82</v>
      </c>
      <c r="AE21" s="80" t="s">
        <v>82</v>
      </c>
      <c r="AF21" s="59">
        <f t="shared" si="16"/>
        <v>54.161413315939861</v>
      </c>
      <c r="AG21" s="32">
        <f t="shared" si="10"/>
        <v>69.303473315939982</v>
      </c>
      <c r="AH21" s="67"/>
      <c r="AI21" s="44">
        <v>1102.2936430343566</v>
      </c>
      <c r="AJ21" s="45">
        <f t="shared" si="11"/>
        <v>-74.97870303435684</v>
      </c>
      <c r="AK21" s="43">
        <f t="shared" si="12"/>
        <v>15.142060000000129</v>
      </c>
      <c r="AL21" s="66">
        <f t="shared" si="13"/>
        <v>-53.857939999999871</v>
      </c>
      <c r="AM21" s="52"/>
      <c r="AO21" s="46">
        <v>47843</v>
      </c>
      <c r="AP21" s="43">
        <v>1120.82166290283</v>
      </c>
      <c r="AQ21" s="46">
        <v>1154.4859790802</v>
      </c>
      <c r="AR21" s="46">
        <f t="shared" si="7"/>
        <v>127.17103908020022</v>
      </c>
      <c r="AT21">
        <v>1105.69041824341</v>
      </c>
      <c r="AU21" s="46">
        <f t="shared" si="14"/>
        <v>62.095362623315928</v>
      </c>
      <c r="AV21" s="46">
        <f t="shared" si="8"/>
        <v>1167.7857808667259</v>
      </c>
    </row>
    <row r="22" spans="2:48" x14ac:dyDescent="0.25">
      <c r="B22" s="28" t="s">
        <v>55</v>
      </c>
      <c r="C22" s="29"/>
      <c r="D22" s="30"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49">
        <v>1035.65245</v>
      </c>
      <c r="J22" s="33">
        <f t="shared" si="0"/>
        <v>6.8045499999998356</v>
      </c>
      <c r="K22" s="34"/>
      <c r="L22" s="32">
        <f t="shared" si="15"/>
        <v>62.095362623315928</v>
      </c>
      <c r="M22" s="53"/>
      <c r="N22" s="54"/>
      <c r="O22" s="50"/>
      <c r="P22" s="32">
        <f t="shared" si="3"/>
        <v>62.095362623315928</v>
      </c>
      <c r="Q22" s="37">
        <f t="shared" si="4"/>
        <v>1035.65245</v>
      </c>
      <c r="R22" s="37">
        <f t="shared" si="5"/>
        <v>973.55708737668408</v>
      </c>
      <c r="S22" s="33">
        <f t="shared" si="9"/>
        <v>68.899912623315686</v>
      </c>
      <c r="T22" s="10"/>
      <c r="V22" s="80" t="str">
        <f t="shared" si="6"/>
        <v>2030-31</v>
      </c>
      <c r="W22" s="83">
        <v>62.095362623315928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 t="s">
        <v>82</v>
      </c>
      <c r="AD22" s="80" t="s">
        <v>82</v>
      </c>
      <c r="AE22" s="80" t="s">
        <v>82</v>
      </c>
      <c r="AF22" s="59">
        <f t="shared" si="16"/>
        <v>62.095362623315928</v>
      </c>
      <c r="AG22" s="32">
        <f t="shared" si="10"/>
        <v>68.899912623315686</v>
      </c>
      <c r="AH22" s="67"/>
      <c r="AI22" s="44">
        <v>1110.8754963941149</v>
      </c>
      <c r="AJ22" s="45">
        <f t="shared" si="11"/>
        <v>-75.223046394114817</v>
      </c>
      <c r="AK22" s="43">
        <f t="shared" si="12"/>
        <v>6.8045499999998356</v>
      </c>
      <c r="AL22" s="66">
        <f t="shared" si="13"/>
        <v>-62.195450000000164</v>
      </c>
      <c r="AM22" s="52"/>
      <c r="AO22" s="46">
        <v>48208</v>
      </c>
      <c r="AP22" s="43">
        <v>1135.16237449646</v>
      </c>
      <c r="AQ22" s="46">
        <v>1172.75867652893</v>
      </c>
      <c r="AR22" s="46">
        <f t="shared" si="7"/>
        <v>137.10622652892994</v>
      </c>
      <c r="AT22">
        <v>1119.53256988525</v>
      </c>
      <c r="AU22" s="46">
        <f t="shared" si="14"/>
        <v>70.319635040514413</v>
      </c>
      <c r="AV22" s="46">
        <f t="shared" si="8"/>
        <v>1189.8522049257645</v>
      </c>
    </row>
    <row r="23" spans="2:48" x14ac:dyDescent="0.25">
      <c r="B23" s="28" t="s">
        <v>56</v>
      </c>
      <c r="C23" s="29"/>
      <c r="D23" s="30"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49">
        <v>1044.54214</v>
      </c>
      <c r="J23" s="33">
        <f t="shared" si="0"/>
        <v>-2.0851400000001377</v>
      </c>
      <c r="K23" s="34"/>
      <c r="L23" s="32">
        <f t="shared" si="15"/>
        <v>70.319635040514413</v>
      </c>
      <c r="M23" s="53"/>
      <c r="N23" s="54"/>
      <c r="O23" s="50"/>
      <c r="P23" s="32">
        <f t="shared" si="3"/>
        <v>70.319635040514413</v>
      </c>
      <c r="Q23" s="37">
        <f t="shared" si="4"/>
        <v>1044.54214</v>
      </c>
      <c r="R23" s="37">
        <f t="shared" si="5"/>
        <v>974.2225049594856</v>
      </c>
      <c r="S23" s="33">
        <f t="shared" si="9"/>
        <v>68.234495040514275</v>
      </c>
      <c r="T23" s="10"/>
      <c r="V23" s="80" t="str">
        <f t="shared" si="6"/>
        <v>2031-32</v>
      </c>
      <c r="W23" s="83">
        <v>70.319635040514413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 t="s">
        <v>82</v>
      </c>
      <c r="AD23" s="80" t="s">
        <v>82</v>
      </c>
      <c r="AE23" s="80" t="s">
        <v>82</v>
      </c>
      <c r="AF23" s="59">
        <f t="shared" si="16"/>
        <v>70.319635040514413</v>
      </c>
      <c r="AG23" s="32">
        <f t="shared" si="10"/>
        <v>68.234495040514275</v>
      </c>
      <c r="AH23" s="67"/>
      <c r="AI23" s="44">
        <v>1118.7950078327895</v>
      </c>
      <c r="AJ23" s="45">
        <f t="shared" si="11"/>
        <v>-74.252867832789434</v>
      </c>
      <c r="AK23" s="43">
        <f t="shared" si="12"/>
        <v>-2.0851400000001377</v>
      </c>
      <c r="AL23" s="66">
        <f t="shared" si="13"/>
        <v>-71.085140000000138</v>
      </c>
      <c r="AM23" s="52"/>
      <c r="AO23" s="46">
        <v>48574</v>
      </c>
      <c r="AP23" s="43">
        <v>1150.0301227569601</v>
      </c>
      <c r="AQ23" s="46">
        <v>1191.45956802368</v>
      </c>
      <c r="AR23" s="46">
        <f t="shared" si="7"/>
        <v>146.91742802368003</v>
      </c>
      <c r="AT23">
        <v>1133.72337913513</v>
      </c>
      <c r="AU23" s="46">
        <f t="shared" si="14"/>
        <v>74.968128483501033</v>
      </c>
      <c r="AV23" s="46">
        <f t="shared" si="8"/>
        <v>1208.691507618631</v>
      </c>
    </row>
    <row r="24" spans="2:48" x14ac:dyDescent="0.25">
      <c r="B24" s="28" t="s">
        <v>57</v>
      </c>
      <c r="C24" s="29"/>
      <c r="D24" s="30"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49">
        <v>1054.7405199999998</v>
      </c>
      <c r="J24" s="33">
        <f t="shared" si="0"/>
        <v>-12.283519999999953</v>
      </c>
      <c r="K24" s="34"/>
      <c r="L24" s="32">
        <f t="shared" si="15"/>
        <v>74.968128483501033</v>
      </c>
      <c r="M24" s="53"/>
      <c r="N24" s="54"/>
      <c r="O24" s="50"/>
      <c r="P24" s="32">
        <f t="shared" si="3"/>
        <v>74.968128483501033</v>
      </c>
      <c r="Q24" s="37">
        <f t="shared" si="4"/>
        <v>1054.7405199999998</v>
      </c>
      <c r="R24" s="37">
        <f t="shared" si="5"/>
        <v>979.77239151649883</v>
      </c>
      <c r="S24" s="33">
        <f t="shared" si="9"/>
        <v>62.684608483501052</v>
      </c>
      <c r="T24" s="10"/>
      <c r="V24" s="80" t="str">
        <f t="shared" si="6"/>
        <v>2032-33</v>
      </c>
      <c r="W24" s="83">
        <v>74.968128483501033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 t="s">
        <v>82</v>
      </c>
      <c r="AD24" s="80" t="s">
        <v>82</v>
      </c>
      <c r="AE24" s="80" t="s">
        <v>82</v>
      </c>
      <c r="AF24" s="59">
        <f t="shared" si="16"/>
        <v>74.968128483501033</v>
      </c>
      <c r="AG24" s="32">
        <f t="shared" si="10"/>
        <v>62.684608483501052</v>
      </c>
      <c r="AH24" s="67"/>
      <c r="AI24" s="44">
        <v>1128.6245193965246</v>
      </c>
      <c r="AJ24" s="45">
        <f t="shared" si="11"/>
        <v>-73.883999396524814</v>
      </c>
      <c r="AK24" s="43">
        <f t="shared" si="12"/>
        <v>-12.283519999999953</v>
      </c>
      <c r="AL24" s="66">
        <f t="shared" si="13"/>
        <v>-81.283519999999953</v>
      </c>
      <c r="AM24" s="52"/>
      <c r="AO24" s="46">
        <v>48939</v>
      </c>
      <c r="AP24" s="43">
        <v>1164.92650032043</v>
      </c>
      <c r="AQ24" s="46">
        <v>1210.66847038269</v>
      </c>
      <c r="AR24" s="46">
        <f t="shared" si="7"/>
        <v>155.92795038269014</v>
      </c>
      <c r="AT24">
        <v>1148.4505329132101</v>
      </c>
      <c r="AU24" s="46">
        <f t="shared" si="14"/>
        <v>79.850991617335964</v>
      </c>
      <c r="AV24" s="46">
        <f t="shared" si="8"/>
        <v>1228.301524530546</v>
      </c>
    </row>
    <row r="25" spans="2:48" x14ac:dyDescent="0.25">
      <c r="B25" s="28" t="s">
        <v>58</v>
      </c>
      <c r="C25" s="29"/>
      <c r="D25" s="30"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49">
        <v>1061.5890300000001</v>
      </c>
      <c r="J25" s="33">
        <f t="shared" si="0"/>
        <v>-19.132030000000213</v>
      </c>
      <c r="K25" s="34"/>
      <c r="L25" s="32">
        <f t="shared" si="15"/>
        <v>79.850991617335964</v>
      </c>
      <c r="M25" s="53"/>
      <c r="N25" s="54"/>
      <c r="O25" s="50"/>
      <c r="P25" s="32">
        <f t="shared" si="3"/>
        <v>79.850991617335964</v>
      </c>
      <c r="Q25" s="37">
        <f t="shared" si="4"/>
        <v>1061.5890300000001</v>
      </c>
      <c r="R25" s="37">
        <f t="shared" si="5"/>
        <v>981.73803838266417</v>
      </c>
      <c r="S25" s="33">
        <f t="shared" si="9"/>
        <v>60.718961617335708</v>
      </c>
      <c r="T25" s="10"/>
      <c r="V25" s="80" t="str">
        <f t="shared" si="6"/>
        <v>2033-34</v>
      </c>
      <c r="W25" s="83">
        <v>79.850991617335964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 t="s">
        <v>82</v>
      </c>
      <c r="AD25" s="80" t="s">
        <v>82</v>
      </c>
      <c r="AE25" s="80" t="s">
        <v>82</v>
      </c>
      <c r="AF25" s="59">
        <f t="shared" si="16"/>
        <v>79.850991617335964</v>
      </c>
      <c r="AG25" s="32">
        <f t="shared" si="10"/>
        <v>60.718961617335708</v>
      </c>
      <c r="AH25" s="67"/>
      <c r="AI25" s="44">
        <v>1137.439360122042</v>
      </c>
      <c r="AJ25" s="45">
        <f t="shared" si="11"/>
        <v>-75.850330122041896</v>
      </c>
      <c r="AK25" s="43">
        <f t="shared" si="12"/>
        <v>-19.132030000000213</v>
      </c>
      <c r="AL25" s="66">
        <f t="shared" si="13"/>
        <v>-88.132030000000213</v>
      </c>
      <c r="AM25" s="52"/>
      <c r="AO25" s="46">
        <v>49304</v>
      </c>
      <c r="AP25" s="43">
        <v>1179.42799949646</v>
      </c>
      <c r="AQ25" s="46">
        <v>1229.8649024963399</v>
      </c>
      <c r="AR25" s="46">
        <f t="shared" si="7"/>
        <v>168.27587249633984</v>
      </c>
      <c r="AT25">
        <v>1163.2176990508999</v>
      </c>
      <c r="AU25" s="46">
        <f t="shared" si="14"/>
        <v>84.91099919104542</v>
      </c>
      <c r="AV25" s="46">
        <f t="shared" si="8"/>
        <v>1248.1286982419454</v>
      </c>
    </row>
    <row r="26" spans="2:48" x14ac:dyDescent="0.25">
      <c r="B26" s="28" t="s">
        <v>59</v>
      </c>
      <c r="C26" s="29"/>
      <c r="D26" s="30"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49">
        <v>1070.0812900000001</v>
      </c>
      <c r="J26" s="33">
        <f t="shared" si="0"/>
        <v>-27.624290000000201</v>
      </c>
      <c r="K26" s="34"/>
      <c r="L26" s="32">
        <f t="shared" si="15"/>
        <v>84.91099919104542</v>
      </c>
      <c r="M26" s="53"/>
      <c r="N26" s="54"/>
      <c r="O26" s="50"/>
      <c r="P26" s="32">
        <f t="shared" si="3"/>
        <v>84.91099919104542</v>
      </c>
      <c r="Q26" s="37">
        <f t="shared" si="4"/>
        <v>1070.0812900000001</v>
      </c>
      <c r="R26" s="37">
        <f t="shared" si="5"/>
        <v>985.17029080895463</v>
      </c>
      <c r="S26" s="33">
        <f t="shared" si="9"/>
        <v>57.286709191045247</v>
      </c>
      <c r="T26" s="10"/>
      <c r="V26" s="80" t="str">
        <f t="shared" si="6"/>
        <v>2034-35</v>
      </c>
      <c r="W26" s="83">
        <v>84.91099919104542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80" t="s">
        <v>82</v>
      </c>
      <c r="AD26" s="80" t="s">
        <v>82</v>
      </c>
      <c r="AE26" s="80" t="s">
        <v>82</v>
      </c>
      <c r="AF26" s="59">
        <f t="shared" si="16"/>
        <v>84.91099919104542</v>
      </c>
      <c r="AG26" s="32">
        <f t="shared" si="10"/>
        <v>57.286709191045247</v>
      </c>
      <c r="AH26" s="67"/>
      <c r="AI26" s="44">
        <v>1149.2166802752236</v>
      </c>
      <c r="AJ26" s="45">
        <f t="shared" si="11"/>
        <v>-79.135390275223472</v>
      </c>
      <c r="AK26" s="43">
        <f t="shared" si="12"/>
        <v>-27.624290000000201</v>
      </c>
      <c r="AL26" s="66">
        <f t="shared" si="13"/>
        <v>-96.624290000000201</v>
      </c>
      <c r="AM26" s="52"/>
      <c r="AO26" s="46">
        <v>49669</v>
      </c>
      <c r="AP26" s="43">
        <v>1195.84828567505</v>
      </c>
      <c r="AQ26" s="46">
        <v>1248.54808998108</v>
      </c>
      <c r="AR26" s="46">
        <f t="shared" si="7"/>
        <v>178.46679998107993</v>
      </c>
      <c r="AT26">
        <v>1177.60448265076</v>
      </c>
      <c r="AU26" s="46">
        <f t="shared" si="14"/>
        <v>90.108424543844052</v>
      </c>
      <c r="AV26" s="46">
        <f t="shared" si="8"/>
        <v>1267.712907194604</v>
      </c>
    </row>
    <row r="27" spans="2:48" x14ac:dyDescent="0.25">
      <c r="B27" s="28" t="s">
        <v>60</v>
      </c>
      <c r="C27" s="29"/>
      <c r="D27" s="30"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49">
        <v>1078.7246899999998</v>
      </c>
      <c r="J27" s="33">
        <f t="shared" si="0"/>
        <v>-36.267689999999902</v>
      </c>
      <c r="K27" s="34"/>
      <c r="L27" s="32">
        <f t="shared" si="15"/>
        <v>90.108424543844052</v>
      </c>
      <c r="M27" s="53"/>
      <c r="N27" s="54"/>
      <c r="O27" s="50"/>
      <c r="P27" s="32">
        <f t="shared" si="3"/>
        <v>90.108424543844052</v>
      </c>
      <c r="Q27" s="37">
        <f t="shared" si="4"/>
        <v>1078.7246899999998</v>
      </c>
      <c r="R27" s="37">
        <f t="shared" si="5"/>
        <v>988.6162654561557</v>
      </c>
      <c r="S27" s="33">
        <f t="shared" si="9"/>
        <v>53.840734543844064</v>
      </c>
      <c r="T27" s="10"/>
      <c r="V27" s="80" t="str">
        <f t="shared" si="6"/>
        <v>2035-36</v>
      </c>
      <c r="W27" s="83">
        <v>90.108424543844052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80" t="s">
        <v>82</v>
      </c>
      <c r="AD27" s="80" t="s">
        <v>82</v>
      </c>
      <c r="AE27" s="80" t="s">
        <v>82</v>
      </c>
      <c r="AF27" s="59">
        <f t="shared" si="16"/>
        <v>90.108424543844052</v>
      </c>
      <c r="AG27" s="32">
        <f t="shared" si="10"/>
        <v>53.840734543844064</v>
      </c>
      <c r="AH27" s="67"/>
      <c r="AI27" s="44">
        <v>1160.2287308284001</v>
      </c>
      <c r="AJ27" s="45">
        <f t="shared" si="11"/>
        <v>-81.504040828400321</v>
      </c>
      <c r="AK27" s="43">
        <f t="shared" si="12"/>
        <v>-36.267689999999902</v>
      </c>
      <c r="AL27" s="66">
        <f t="shared" si="13"/>
        <v>-105.2676899999999</v>
      </c>
      <c r="AM27" s="52"/>
      <c r="AO27" s="46">
        <v>50035</v>
      </c>
      <c r="AP27" s="43">
        <v>1213.4271640777599</v>
      </c>
      <c r="AQ27" s="46">
        <v>1269.04686546326</v>
      </c>
      <c r="AR27" s="46">
        <f t="shared" si="7"/>
        <v>190.32217546326024</v>
      </c>
      <c r="AT27">
        <v>1193.9249763488799</v>
      </c>
      <c r="AU27" s="46">
        <f t="shared" si="14"/>
        <v>95.277982999950453</v>
      </c>
      <c r="AV27" s="46">
        <f t="shared" si="8"/>
        <v>1289.2029593488303</v>
      </c>
    </row>
    <row r="28" spans="2:48" x14ac:dyDescent="0.25">
      <c r="B28" s="28" t="s">
        <v>61</v>
      </c>
      <c r="C28" s="29"/>
      <c r="D28" s="30"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49">
        <v>1088.9309900000001</v>
      </c>
      <c r="J28" s="33">
        <f t="shared" si="0"/>
        <v>-46.473990000000185</v>
      </c>
      <c r="K28" s="34"/>
      <c r="L28" s="32">
        <f t="shared" si="15"/>
        <v>95.277982999950453</v>
      </c>
      <c r="M28" s="53"/>
      <c r="N28" s="54"/>
      <c r="O28" s="50"/>
      <c r="P28" s="32">
        <f t="shared" si="3"/>
        <v>95.277982999950453</v>
      </c>
      <c r="Q28" s="37">
        <f t="shared" si="4"/>
        <v>1088.9309900000001</v>
      </c>
      <c r="R28" s="37">
        <f t="shared" si="5"/>
        <v>993.65300700004957</v>
      </c>
      <c r="S28" s="33">
        <f t="shared" si="9"/>
        <v>48.803992999950196</v>
      </c>
      <c r="T28" s="10"/>
      <c r="V28" s="80" t="str">
        <f t="shared" si="6"/>
        <v>2036-37</v>
      </c>
      <c r="W28" s="83">
        <v>95.277982999950453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80" t="s">
        <v>82</v>
      </c>
      <c r="AD28" s="80" t="s">
        <v>82</v>
      </c>
      <c r="AE28" s="80" t="s">
        <v>82</v>
      </c>
      <c r="AF28" s="59">
        <f t="shared" si="16"/>
        <v>95.277982999950453</v>
      </c>
      <c r="AG28" s="32">
        <f t="shared" si="10"/>
        <v>48.803992999950196</v>
      </c>
      <c r="AH28" s="67"/>
      <c r="AI28" s="44">
        <v>1172.9807565724554</v>
      </c>
      <c r="AJ28" s="45">
        <f t="shared" si="11"/>
        <v>-84.049766572455383</v>
      </c>
      <c r="AK28" s="43">
        <f t="shared" si="12"/>
        <v>-46.473990000000185</v>
      </c>
      <c r="AL28" s="66">
        <f t="shared" si="13"/>
        <v>-115.47399000000019</v>
      </c>
      <c r="AM28" s="52"/>
      <c r="AO28" s="46">
        <v>50400</v>
      </c>
      <c r="AP28" s="43">
        <v>1229.75672721863</v>
      </c>
      <c r="AQ28" s="46">
        <v>1290.7052478790299</v>
      </c>
      <c r="AR28" s="46">
        <f t="shared" si="7"/>
        <v>201.77425787902985</v>
      </c>
      <c r="AT28">
        <v>1211.41736793518</v>
      </c>
      <c r="AU28" s="46">
        <f t="shared" si="14"/>
        <v>100.5278723754916</v>
      </c>
      <c r="AV28" s="46">
        <f t="shared" si="8"/>
        <v>1311.9452403106716</v>
      </c>
    </row>
    <row r="29" spans="2:48" x14ac:dyDescent="0.25">
      <c r="B29" s="28" t="s">
        <v>62</v>
      </c>
      <c r="C29" s="29"/>
      <c r="D29" s="30"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49">
        <v>1095.51595</v>
      </c>
      <c r="J29" s="33">
        <f>H29-I29</f>
        <v>-53.058950000000095</v>
      </c>
      <c r="K29" s="34"/>
      <c r="L29" s="32">
        <f t="shared" si="15"/>
        <v>100.5278723754916</v>
      </c>
      <c r="M29" s="53"/>
      <c r="N29" s="54"/>
      <c r="O29" s="50"/>
      <c r="P29" s="32">
        <f>SUM(L29:O29)</f>
        <v>100.5278723754916</v>
      </c>
      <c r="Q29" s="37">
        <f t="shared" si="4"/>
        <v>1095.51595</v>
      </c>
      <c r="R29" s="37">
        <f t="shared" si="5"/>
        <v>994.98807762450838</v>
      </c>
      <c r="S29" s="33">
        <f t="shared" si="9"/>
        <v>47.468922375491502</v>
      </c>
      <c r="T29" s="10"/>
      <c r="V29" s="80" t="str">
        <f t="shared" si="6"/>
        <v>2037-38</v>
      </c>
      <c r="W29" s="83">
        <v>100.5278723754916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80" t="s">
        <v>82</v>
      </c>
      <c r="AD29" s="80" t="s">
        <v>82</v>
      </c>
      <c r="AE29" s="80" t="s">
        <v>82</v>
      </c>
      <c r="AF29" s="59">
        <f t="shared" si="16"/>
        <v>100.5278723754916</v>
      </c>
      <c r="AG29" s="32">
        <f t="shared" si="10"/>
        <v>47.468922375491502</v>
      </c>
      <c r="AH29" s="67"/>
      <c r="AI29" s="44">
        <v>1184.6688191641585</v>
      </c>
      <c r="AJ29" s="45">
        <f t="shared" si="11"/>
        <v>-89.152869164158574</v>
      </c>
      <c r="AK29" s="43">
        <f t="shared" si="12"/>
        <v>-53.058950000000095</v>
      </c>
      <c r="AL29" s="66">
        <f t="shared" si="13"/>
        <v>-122.0589500000001</v>
      </c>
      <c r="AM29" s="52"/>
      <c r="AO29" s="46">
        <v>49669</v>
      </c>
      <c r="AP29" s="43">
        <v>1195.84828567505</v>
      </c>
      <c r="AQ29" s="46">
        <v>1311.1700935363799</v>
      </c>
      <c r="AR29" s="46">
        <f t="shared" si="7"/>
        <v>215.65414353637993</v>
      </c>
      <c r="AT29">
        <v>1227.67112541199</v>
      </c>
      <c r="AU29" s="46">
        <f t="shared" si="14"/>
        <v>105.80638457277279</v>
      </c>
      <c r="AV29" s="46">
        <f>AT29+AU29</f>
        <v>1333.4775099847627</v>
      </c>
    </row>
    <row r="30" spans="2:48" x14ac:dyDescent="0.25">
      <c r="B30" s="28" t="s">
        <v>63</v>
      </c>
      <c r="C30" s="29"/>
      <c r="D30" s="30"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49">
        <v>1103.7608200000002</v>
      </c>
      <c r="J30" s="33">
        <f>H30-I30</f>
        <v>-61.303820000000314</v>
      </c>
      <c r="K30" s="34"/>
      <c r="L30" s="32">
        <f t="shared" si="15"/>
        <v>105.80638457277279</v>
      </c>
      <c r="M30" s="53"/>
      <c r="N30" s="54"/>
      <c r="O30" s="50"/>
      <c r="P30" s="32">
        <f>SUM(L30:O30)</f>
        <v>105.80638457277279</v>
      </c>
      <c r="Q30" s="37">
        <f t="shared" si="4"/>
        <v>1103.7608200000002</v>
      </c>
      <c r="R30" s="37">
        <f t="shared" si="5"/>
        <v>997.95443542722739</v>
      </c>
      <c r="S30" s="33">
        <f t="shared" si="9"/>
        <v>44.502564572772371</v>
      </c>
      <c r="T30" s="10"/>
      <c r="V30" s="80" t="str">
        <f t="shared" si="6"/>
        <v>2038-39</v>
      </c>
      <c r="W30" s="83">
        <v>105.80638457277279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80" t="s">
        <v>82</v>
      </c>
      <c r="AD30" s="80" t="s">
        <v>82</v>
      </c>
      <c r="AE30" s="80" t="s">
        <v>82</v>
      </c>
      <c r="AF30" s="59">
        <f t="shared" si="16"/>
        <v>105.80638457277279</v>
      </c>
      <c r="AG30" s="32">
        <f t="shared" si="10"/>
        <v>44.502564572772371</v>
      </c>
      <c r="AH30" s="67"/>
      <c r="AI30" s="44">
        <v>1200.0978356738965</v>
      </c>
      <c r="AJ30" s="45"/>
      <c r="AK30" s="43">
        <f t="shared" si="12"/>
        <v>-61.303820000000314</v>
      </c>
      <c r="AL30" s="66">
        <f t="shared" si="13"/>
        <v>-130.30382000000031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49">
        <v>1112.5185900000001</v>
      </c>
      <c r="J31" s="33">
        <f>H31-I31</f>
        <v>-70.061590000000251</v>
      </c>
      <c r="K31" s="34"/>
      <c r="L31" s="32">
        <f t="shared" si="15"/>
        <v>111.09889625121451</v>
      </c>
      <c r="M31" s="53"/>
      <c r="N31" s="54"/>
      <c r="O31" s="50"/>
      <c r="P31" s="32">
        <f>SUM(L31:O31)</f>
        <v>111.09889625121451</v>
      </c>
      <c r="Q31" s="37">
        <f t="shared" si="4"/>
        <v>1112.5185900000001</v>
      </c>
      <c r="R31" s="37">
        <f t="shared" si="5"/>
        <v>1001.4196937487857</v>
      </c>
      <c r="S31" s="33">
        <f t="shared" si="9"/>
        <v>41.037306251214204</v>
      </c>
      <c r="T31" s="10"/>
      <c r="V31" s="80" t="str">
        <f t="shared" si="6"/>
        <v>2039-40</v>
      </c>
      <c r="W31" s="83">
        <v>111.09889625121451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80" t="s">
        <v>82</v>
      </c>
      <c r="AD31" s="80" t="s">
        <v>82</v>
      </c>
      <c r="AE31" s="80" t="s">
        <v>82</v>
      </c>
      <c r="AF31" s="59">
        <f t="shared" si="16"/>
        <v>111.09889625121451</v>
      </c>
      <c r="AG31" s="32">
        <f t="shared" si="10"/>
        <v>41.037306251214204</v>
      </c>
      <c r="AH31" s="67"/>
      <c r="AI31" s="44">
        <v>1214.5413742702863</v>
      </c>
      <c r="AJ31" s="45"/>
      <c r="AK31" s="43">
        <f t="shared" si="12"/>
        <v>-70.061590000000251</v>
      </c>
      <c r="AL31" s="66">
        <f t="shared" si="13"/>
        <v>-139.06159000000025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49">
        <v>1122.97398</v>
      </c>
      <c r="J32" s="33">
        <f>H32-I32</f>
        <v>-80.516980000000103</v>
      </c>
      <c r="K32" s="34"/>
      <c r="L32" s="32">
        <f t="shared" si="15"/>
        <v>116.3667364614312</v>
      </c>
      <c r="M32" s="53"/>
      <c r="N32" s="54"/>
      <c r="O32" s="50"/>
      <c r="P32" s="32">
        <f t="shared" ref="P32:P33" si="17">SUM(L32:O32)</f>
        <v>116.3667364614312</v>
      </c>
      <c r="Q32" s="37">
        <f t="shared" si="4"/>
        <v>1122.97398</v>
      </c>
      <c r="R32" s="37">
        <f t="shared" si="5"/>
        <v>1006.6072435385688</v>
      </c>
      <c r="S32" s="33">
        <f t="shared" si="9"/>
        <v>35.84975646143107</v>
      </c>
      <c r="T32" s="10"/>
      <c r="V32" s="80" t="str">
        <f t="shared" si="6"/>
        <v>2040-41</v>
      </c>
      <c r="W32" s="83">
        <v>116.3667364614312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80" t="s">
        <v>82</v>
      </c>
      <c r="AD32" s="80" t="s">
        <v>82</v>
      </c>
      <c r="AE32" s="80" t="s">
        <v>82</v>
      </c>
      <c r="AF32" s="59">
        <f t="shared" si="16"/>
        <v>116.3667364614312</v>
      </c>
      <c r="AG32" s="32">
        <f t="shared" si="10"/>
        <v>35.84975646143107</v>
      </c>
      <c r="AH32" s="67"/>
      <c r="AK32" s="43">
        <f t="shared" si="12"/>
        <v>-80.516980000000103</v>
      </c>
      <c r="AL32" s="66">
        <f t="shared" si="13"/>
        <v>-149.5169800000001</v>
      </c>
      <c r="AM32" s="52"/>
    </row>
    <row r="33" spans="2:43" x14ac:dyDescent="0.25">
      <c r="B33" s="28" t="s">
        <v>81</v>
      </c>
      <c r="C33" s="29"/>
      <c r="D33" s="30"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49">
        <v>1130.08322</v>
      </c>
      <c r="J33" s="33">
        <f>H33-I33</f>
        <v>-87.626220000000103</v>
      </c>
      <c r="K33" s="34"/>
      <c r="L33" s="32">
        <f t="shared" si="15"/>
        <v>121.52089044485895</v>
      </c>
      <c r="M33" s="53"/>
      <c r="N33" s="54"/>
      <c r="O33" s="50"/>
      <c r="P33" s="32">
        <f t="shared" si="17"/>
        <v>121.52089044485895</v>
      </c>
      <c r="Q33" s="37">
        <f>I33</f>
        <v>1130.08322</v>
      </c>
      <c r="R33" s="37">
        <f t="shared" si="5"/>
        <v>1008.562329555141</v>
      </c>
      <c r="S33" s="33">
        <f t="shared" si="9"/>
        <v>33.894670444858775</v>
      </c>
      <c r="T33" s="10"/>
      <c r="U33" s="55"/>
      <c r="V33" s="80" t="str">
        <f>B33</f>
        <v>2041-42</v>
      </c>
      <c r="W33" s="84">
        <v>121.52089044485895</v>
      </c>
      <c r="X33" s="80" t="s">
        <v>82</v>
      </c>
      <c r="Y33" s="80" t="s">
        <v>82</v>
      </c>
      <c r="Z33" s="80" t="s">
        <v>82</v>
      </c>
      <c r="AA33" s="80" t="s">
        <v>82</v>
      </c>
      <c r="AB33" s="80" t="s">
        <v>82</v>
      </c>
      <c r="AC33" s="80" t="s">
        <v>82</v>
      </c>
      <c r="AD33" s="80" t="s">
        <v>82</v>
      </c>
      <c r="AE33" s="80" t="s">
        <v>82</v>
      </c>
      <c r="AF33" s="59">
        <f t="shared" si="16"/>
        <v>121.52089044485895</v>
      </c>
      <c r="AG33" s="32">
        <f t="shared" si="10"/>
        <v>33.894670444858775</v>
      </c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1" orientation="landscape" r:id="rId1"/>
  <headerFooter>
    <oddHeader>&amp;L&amp;Z&amp;F</oddHeader>
    <oddFooter>&amp;R&amp;A
&amp;D&amp;T
&amp;Z&amp;F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B1:V149"/>
  <sheetViews>
    <sheetView topLeftCell="I1" workbookViewId="0">
      <selection activeCell="C39" sqref="C39"/>
    </sheetView>
  </sheetViews>
  <sheetFormatPr defaultRowHeight="15" x14ac:dyDescent="0.25"/>
  <cols>
    <col min="1" max="1" width="4" customWidth="1"/>
    <col min="2" max="2" width="5" customWidth="1"/>
    <col min="3" max="3" width="33.28515625" customWidth="1"/>
    <col min="4" max="4" width="18.42578125" customWidth="1"/>
    <col min="5" max="8" width="16.7109375" customWidth="1"/>
    <col min="9" max="9" width="3.7109375" customWidth="1"/>
    <col min="10" max="10" width="5" bestFit="1" customWidth="1"/>
    <col min="11" max="11" width="33.28515625" bestFit="1" customWidth="1"/>
    <col min="12" max="12" width="18.42578125" bestFit="1" customWidth="1"/>
    <col min="13" max="13" width="23.7109375" bestFit="1" customWidth="1"/>
    <col min="14" max="14" width="23.7109375" customWidth="1"/>
    <col min="15" max="15" width="10.140625" customWidth="1"/>
    <col min="16" max="16" width="5.42578125" customWidth="1"/>
    <col min="17" max="17" width="4.85546875" customWidth="1"/>
    <col min="18" max="18" width="18.7109375" customWidth="1"/>
    <col min="19" max="19" width="22" customWidth="1"/>
    <col min="20" max="20" width="21.7109375" customWidth="1"/>
    <col min="21" max="21" width="21.140625" customWidth="1"/>
    <col min="23" max="23" width="4.28515625" customWidth="1"/>
    <col min="24" max="24" width="33" bestFit="1" customWidth="1"/>
    <col min="25" max="25" width="34.7109375" bestFit="1" customWidth="1"/>
    <col min="27" max="27" width="19.28515625" customWidth="1"/>
    <col min="28" max="28" width="14.7109375" customWidth="1"/>
  </cols>
  <sheetData>
    <row r="1" spans="2:22" ht="15.75" thickBot="1" x14ac:dyDescent="0.3">
      <c r="B1" s="135" t="s">
        <v>117</v>
      </c>
      <c r="C1" s="136"/>
      <c r="D1" s="137" t="s">
        <v>108</v>
      </c>
      <c r="E1" s="136"/>
      <c r="F1" s="138"/>
      <c r="G1" s="166" t="s">
        <v>109</v>
      </c>
      <c r="H1" s="134"/>
      <c r="J1" s="135" t="s">
        <v>104</v>
      </c>
      <c r="K1" s="138"/>
      <c r="L1" s="137" t="s">
        <v>124</v>
      </c>
      <c r="M1" s="138"/>
      <c r="N1" s="138"/>
      <c r="O1" s="163" t="s">
        <v>125</v>
      </c>
      <c r="Q1" s="135" t="s">
        <v>106</v>
      </c>
      <c r="R1" s="138"/>
      <c r="S1" s="137" t="s">
        <v>128</v>
      </c>
      <c r="T1" s="138"/>
      <c r="U1" s="167"/>
      <c r="V1" s="163" t="s">
        <v>129</v>
      </c>
    </row>
    <row r="2" spans="2:22" x14ac:dyDescent="0.25">
      <c r="B2" t="s">
        <v>74</v>
      </c>
      <c r="C2" t="s">
        <v>78</v>
      </c>
      <c r="D2" t="s">
        <v>79</v>
      </c>
      <c r="E2" s="97" t="s">
        <v>80</v>
      </c>
      <c r="F2" t="s">
        <v>98</v>
      </c>
      <c r="G2" s="95" t="s">
        <v>96</v>
      </c>
      <c r="H2" s="95"/>
      <c r="J2" t="s">
        <v>74</v>
      </c>
      <c r="K2" t="s">
        <v>78</v>
      </c>
      <c r="L2" t="s">
        <v>79</v>
      </c>
      <c r="M2" t="s">
        <v>80</v>
      </c>
      <c r="Q2" t="s">
        <v>74</v>
      </c>
      <c r="R2" t="s">
        <v>78</v>
      </c>
      <c r="S2" t="s">
        <v>79</v>
      </c>
      <c r="T2" t="s">
        <v>80</v>
      </c>
      <c r="U2" t="s">
        <v>98</v>
      </c>
    </row>
    <row r="3" spans="2:22" x14ac:dyDescent="0.25">
      <c r="B3">
        <v>2022</v>
      </c>
      <c r="C3" s="132">
        <v>909386.390625</v>
      </c>
      <c r="D3" s="132">
        <v>893748.00390625</v>
      </c>
      <c r="E3" s="132">
        <v>909386.390625</v>
      </c>
      <c r="F3" s="66">
        <v>95508.031888961807</v>
      </c>
      <c r="G3" s="95">
        <f>E3/F3</f>
        <v>9.5215697846465712</v>
      </c>
      <c r="H3" s="95">
        <f>D3/F3</f>
        <v>9.3578308151645988</v>
      </c>
      <c r="J3">
        <v>2022</v>
      </c>
      <c r="K3" s="69">
        <v>915815.390625</v>
      </c>
      <c r="L3" s="69">
        <v>900177.0078125</v>
      </c>
      <c r="M3" s="69">
        <v>915815.390625</v>
      </c>
      <c r="N3" s="69">
        <v>95508.031888961807</v>
      </c>
      <c r="Q3">
        <v>2022</v>
      </c>
      <c r="R3" s="88">
        <v>917361.91796875</v>
      </c>
      <c r="S3" s="88">
        <v>892924.45703125</v>
      </c>
      <c r="T3" s="88">
        <v>917361.91796875</v>
      </c>
      <c r="U3">
        <v>95388.400928020506</v>
      </c>
    </row>
    <row r="4" spans="2:22" x14ac:dyDescent="0.25">
      <c r="B4">
        <v>2023</v>
      </c>
      <c r="C4" s="132">
        <v>883241.03125</v>
      </c>
      <c r="D4" s="132">
        <v>865653.7890625</v>
      </c>
      <c r="E4" s="132">
        <v>883241.03125</v>
      </c>
      <c r="F4" s="66">
        <v>96638.234351158098</v>
      </c>
      <c r="G4" s="95">
        <f t="shared" ref="G4:G22" si="0">E4/F4</f>
        <v>9.139664411091502</v>
      </c>
      <c r="H4" s="95">
        <f t="shared" ref="H4:H22" si="1">D4/F4</f>
        <v>8.957673894547165</v>
      </c>
      <c r="J4">
        <v>2023</v>
      </c>
      <c r="K4" s="69">
        <v>889419.17578125</v>
      </c>
      <c r="L4" s="69">
        <v>871831.93359375</v>
      </c>
      <c r="M4" s="69">
        <v>889419.17578125</v>
      </c>
      <c r="N4" s="69">
        <v>96638.234351158098</v>
      </c>
      <c r="Q4">
        <v>2023</v>
      </c>
      <c r="R4" s="88">
        <v>888479.08203125</v>
      </c>
      <c r="S4" s="88">
        <v>862115.16796875</v>
      </c>
      <c r="T4" s="88">
        <v>888479.08203125</v>
      </c>
      <c r="U4">
        <v>96260.817171096802</v>
      </c>
    </row>
    <row r="5" spans="2:22" x14ac:dyDescent="0.25">
      <c r="B5">
        <v>2024</v>
      </c>
      <c r="C5" s="132">
        <v>918157.94140625</v>
      </c>
      <c r="D5" s="132">
        <v>899203.16015625</v>
      </c>
      <c r="E5" s="132">
        <v>918157.94140625</v>
      </c>
      <c r="F5" s="66">
        <v>98067.436558723493</v>
      </c>
      <c r="G5" s="95">
        <f t="shared" si="0"/>
        <v>9.36251597497861</v>
      </c>
      <c r="H5" s="95">
        <f t="shared" si="1"/>
        <v>9.1692328433383761</v>
      </c>
      <c r="J5">
        <v>2024</v>
      </c>
      <c r="K5" s="69">
        <v>925423.5859375</v>
      </c>
      <c r="L5" s="69">
        <v>906468.8203125</v>
      </c>
      <c r="M5" s="69">
        <v>925423.5859375</v>
      </c>
      <c r="N5" s="69">
        <v>98067.436558723493</v>
      </c>
      <c r="Q5">
        <v>2024</v>
      </c>
      <c r="R5" s="88">
        <v>921601.5078125</v>
      </c>
      <c r="S5" s="88">
        <v>893891.02734375</v>
      </c>
      <c r="T5" s="88">
        <v>921601.5078125</v>
      </c>
      <c r="U5">
        <v>97432.904253482804</v>
      </c>
    </row>
    <row r="6" spans="2:22" x14ac:dyDescent="0.25">
      <c r="B6">
        <v>2025</v>
      </c>
      <c r="C6" s="132">
        <v>945209.2734375</v>
      </c>
      <c r="D6" s="132">
        <v>924912.1953125</v>
      </c>
      <c r="E6" s="132">
        <v>945209.2734375</v>
      </c>
      <c r="F6" s="66">
        <v>97676.422962188706</v>
      </c>
      <c r="G6" s="95">
        <f t="shared" si="0"/>
        <v>9.6769439827193278</v>
      </c>
      <c r="H6" s="95">
        <f t="shared" si="1"/>
        <v>9.4691448280261099</v>
      </c>
      <c r="J6">
        <v>2025</v>
      </c>
      <c r="K6" s="69">
        <v>952456.0078125</v>
      </c>
      <c r="L6" s="69">
        <v>932158.95703125</v>
      </c>
      <c r="M6" s="69">
        <v>952456.0078125</v>
      </c>
      <c r="N6" s="69">
        <v>97676.422962188706</v>
      </c>
      <c r="Q6">
        <v>2025</v>
      </c>
      <c r="R6" s="88">
        <v>946335.93359375</v>
      </c>
      <c r="S6" s="88">
        <v>917304.85546875</v>
      </c>
      <c r="T6" s="88">
        <v>946335.93359375</v>
      </c>
      <c r="U6">
        <v>96785.467978954301</v>
      </c>
    </row>
    <row r="7" spans="2:22" x14ac:dyDescent="0.25">
      <c r="B7">
        <v>2026</v>
      </c>
      <c r="C7" s="132">
        <v>997890.6875</v>
      </c>
      <c r="D7" s="132">
        <v>976393.6171875</v>
      </c>
      <c r="E7" s="132">
        <v>997890.6875</v>
      </c>
      <c r="F7" s="66">
        <v>97201.753697395296</v>
      </c>
      <c r="G7" s="95">
        <f t="shared" si="0"/>
        <v>10.266179873735554</v>
      </c>
      <c r="H7" s="95">
        <f t="shared" si="1"/>
        <v>10.045020589105526</v>
      </c>
      <c r="J7">
        <v>2026</v>
      </c>
      <c r="K7" s="69">
        <v>1006456.5078125</v>
      </c>
      <c r="L7" s="69">
        <v>984959.44921875</v>
      </c>
      <c r="M7" s="69">
        <v>1006456.5078125</v>
      </c>
      <c r="N7" s="69">
        <v>97201.753697395296</v>
      </c>
      <c r="Q7">
        <v>2026</v>
      </c>
      <c r="R7" s="88">
        <v>998395.25</v>
      </c>
      <c r="S7" s="88">
        <v>968186.0859375</v>
      </c>
      <c r="T7" s="88">
        <v>998395.25</v>
      </c>
      <c r="U7">
        <v>96055.078919410706</v>
      </c>
    </row>
    <row r="8" spans="2:22" x14ac:dyDescent="0.25">
      <c r="B8">
        <v>2027</v>
      </c>
      <c r="C8" s="132">
        <v>1023579.42578125</v>
      </c>
      <c r="D8" s="132">
        <v>1000868.90625</v>
      </c>
      <c r="E8" s="132">
        <v>1023579.42578125</v>
      </c>
      <c r="F8" s="66">
        <v>97535.994361400604</v>
      </c>
      <c r="G8" s="95">
        <f t="shared" si="0"/>
        <v>10.494376281115011</v>
      </c>
      <c r="H8" s="95">
        <f t="shared" si="1"/>
        <v>10.261533834796163</v>
      </c>
      <c r="J8">
        <v>2027</v>
      </c>
      <c r="K8" s="69">
        <v>1031982.25</v>
      </c>
      <c r="L8" s="69">
        <v>1009271.7265625</v>
      </c>
      <c r="M8" s="69">
        <v>1031982.25</v>
      </c>
      <c r="N8" s="69">
        <v>97535.994361400604</v>
      </c>
      <c r="Q8">
        <v>2027</v>
      </c>
      <c r="R8" s="88">
        <v>1019565.8359375</v>
      </c>
      <c r="S8" s="88">
        <v>988165.2265625</v>
      </c>
      <c r="T8" s="88">
        <v>1019565.8359375</v>
      </c>
      <c r="U8">
        <v>96134.3056664467</v>
      </c>
    </row>
    <row r="9" spans="2:22" x14ac:dyDescent="0.25">
      <c r="B9">
        <v>2028</v>
      </c>
      <c r="C9" s="132">
        <v>1084622.80078125</v>
      </c>
      <c r="D9" s="132">
        <v>1060682.97265625</v>
      </c>
      <c r="E9" s="132">
        <v>1084622.80078125</v>
      </c>
      <c r="F9" s="66">
        <v>98186.983276367202</v>
      </c>
      <c r="G9" s="95">
        <f t="shared" si="0"/>
        <v>11.046502953740404</v>
      </c>
      <c r="H9" s="95">
        <f t="shared" si="1"/>
        <v>10.802684197667448</v>
      </c>
      <c r="J9">
        <v>2028</v>
      </c>
      <c r="K9" s="69">
        <v>1092825.5234375</v>
      </c>
      <c r="L9" s="69">
        <v>1068885.72265625</v>
      </c>
      <c r="M9" s="69">
        <v>1092825.5234375</v>
      </c>
      <c r="N9" s="69">
        <v>98186.983276367202</v>
      </c>
      <c r="Q9">
        <v>2028</v>
      </c>
      <c r="R9" s="88">
        <v>1058531.23046875</v>
      </c>
      <c r="S9" s="88">
        <v>1047593.80078125</v>
      </c>
      <c r="T9" s="88">
        <v>1058531.23046875</v>
      </c>
      <c r="U9">
        <v>96825.053594589204</v>
      </c>
    </row>
    <row r="10" spans="2:22" x14ac:dyDescent="0.25">
      <c r="B10">
        <v>2029</v>
      </c>
      <c r="C10" s="132">
        <v>1082890.9453125</v>
      </c>
      <c r="D10" s="132">
        <v>1057992.71875</v>
      </c>
      <c r="E10" s="132">
        <v>1082890.9453125</v>
      </c>
      <c r="F10" s="66">
        <v>97337.482276439696</v>
      </c>
      <c r="G10" s="95">
        <f t="shared" si="0"/>
        <v>11.125117683207337</v>
      </c>
      <c r="H10" s="95">
        <f t="shared" si="1"/>
        <v>10.869324889103739</v>
      </c>
      <c r="J10">
        <v>2029</v>
      </c>
      <c r="K10" s="69">
        <v>1091558.84765625</v>
      </c>
      <c r="L10" s="69">
        <v>1066660.61328125</v>
      </c>
      <c r="M10" s="69">
        <v>1091558.84765625</v>
      </c>
      <c r="N10" s="69">
        <v>97337.482276439696</v>
      </c>
      <c r="Q10">
        <v>2029</v>
      </c>
      <c r="R10" s="88">
        <v>1057954.4453125</v>
      </c>
      <c r="S10" s="88">
        <v>1046026.2734375</v>
      </c>
      <c r="T10" s="88">
        <v>1057954.4453125</v>
      </c>
      <c r="U10">
        <v>96355.119375705704</v>
      </c>
    </row>
    <row r="11" spans="2:22" x14ac:dyDescent="0.25">
      <c r="B11">
        <v>2030</v>
      </c>
      <c r="C11" s="132">
        <v>1152260.38671875</v>
      </c>
      <c r="D11" s="132">
        <v>1126446.0234375</v>
      </c>
      <c r="E11" s="132">
        <v>1152260.38671875</v>
      </c>
      <c r="F11" s="66">
        <v>96832.999685287505</v>
      </c>
      <c r="G11" s="95">
        <f t="shared" si="0"/>
        <v>11.899459796388202</v>
      </c>
      <c r="H11" s="95">
        <f t="shared" si="1"/>
        <v>11.632873370633055</v>
      </c>
      <c r="J11">
        <v>2030</v>
      </c>
      <c r="K11" s="69">
        <v>1161479.99609375</v>
      </c>
      <c r="L11" s="69">
        <v>1135665.6640625</v>
      </c>
      <c r="M11" s="69">
        <v>1161479.99609375</v>
      </c>
      <c r="N11" s="69">
        <v>96832.999685287505</v>
      </c>
      <c r="Q11">
        <v>2030</v>
      </c>
      <c r="R11" s="88">
        <v>1133525.71484375</v>
      </c>
      <c r="S11" s="88">
        <v>1120648.859375</v>
      </c>
      <c r="T11" s="88">
        <v>1133525.71484375</v>
      </c>
      <c r="U11">
        <v>96229.198276042895</v>
      </c>
    </row>
    <row r="12" spans="2:22" x14ac:dyDescent="0.25">
      <c r="B12">
        <v>2031</v>
      </c>
      <c r="C12" s="132">
        <v>1198106.9375</v>
      </c>
      <c r="D12" s="132">
        <v>1171413.7109375</v>
      </c>
      <c r="E12" s="132">
        <v>1198106.9375</v>
      </c>
      <c r="F12" s="66">
        <v>97463.355181217194</v>
      </c>
      <c r="G12" s="95">
        <f t="shared" si="0"/>
        <v>12.292896497071292</v>
      </c>
      <c r="H12" s="95">
        <f t="shared" si="1"/>
        <v>12.01901687828669</v>
      </c>
      <c r="J12">
        <v>2031</v>
      </c>
      <c r="K12" s="69">
        <v>1207449.73828125</v>
      </c>
      <c r="L12" s="69">
        <v>1180756.51953125</v>
      </c>
      <c r="M12" s="69">
        <v>1207449.73828125</v>
      </c>
      <c r="N12" s="69">
        <v>97463.355181217194</v>
      </c>
      <c r="Q12">
        <v>2031</v>
      </c>
      <c r="R12" s="88">
        <v>1183250.421875</v>
      </c>
      <c r="S12" s="88">
        <v>1169462.37109375</v>
      </c>
      <c r="T12" s="88">
        <v>1183250.421875</v>
      </c>
      <c r="U12">
        <v>97237.088641643495</v>
      </c>
    </row>
    <row r="13" spans="2:22" x14ac:dyDescent="0.25">
      <c r="B13">
        <v>2032</v>
      </c>
      <c r="C13" s="132">
        <v>1288744.8515625</v>
      </c>
      <c r="D13" s="132">
        <v>1274384.1328125</v>
      </c>
      <c r="E13" s="132">
        <v>1288744.8515625</v>
      </c>
      <c r="F13" s="66">
        <v>98419.553557872801</v>
      </c>
      <c r="G13" s="95">
        <f t="shared" si="0"/>
        <v>13.094398470367887</v>
      </c>
      <c r="H13" s="95">
        <f t="shared" si="1"/>
        <v>12.948485201806315</v>
      </c>
      <c r="J13">
        <v>2032</v>
      </c>
      <c r="K13" s="69">
        <v>1285420.84375</v>
      </c>
      <c r="L13" s="69">
        <v>1271060.1328125</v>
      </c>
      <c r="M13" s="69">
        <v>1285420.84375</v>
      </c>
      <c r="N13" s="69">
        <v>98419.553557872801</v>
      </c>
      <c r="Q13">
        <v>2032</v>
      </c>
      <c r="R13" s="88">
        <v>1288506.03125</v>
      </c>
      <c r="S13" s="88">
        <v>1274145.3046875</v>
      </c>
      <c r="T13" s="88">
        <v>1288506.03125</v>
      </c>
      <c r="U13">
        <v>98395.315816879302</v>
      </c>
    </row>
    <row r="14" spans="2:22" x14ac:dyDescent="0.25">
      <c r="B14">
        <v>2033</v>
      </c>
      <c r="C14" s="132">
        <v>1284138.32421875</v>
      </c>
      <c r="D14" s="132">
        <v>1269303.05078125</v>
      </c>
      <c r="E14" s="132">
        <v>1284138.32421875</v>
      </c>
      <c r="F14" s="66">
        <v>97986.111842632294</v>
      </c>
      <c r="G14" s="95">
        <f t="shared" si="0"/>
        <v>13.10530951856833</v>
      </c>
      <c r="H14" s="95">
        <f t="shared" si="1"/>
        <v>12.95390772132868</v>
      </c>
      <c r="J14">
        <v>2033</v>
      </c>
      <c r="K14" s="69">
        <v>1307999.78515625</v>
      </c>
      <c r="L14" s="69">
        <v>1293164.5078125</v>
      </c>
      <c r="M14" s="69">
        <v>1307999.78515625</v>
      </c>
      <c r="N14" s="69">
        <v>97986.111842632294</v>
      </c>
      <c r="Q14">
        <v>2033</v>
      </c>
      <c r="R14" s="88">
        <v>1283786.65625</v>
      </c>
      <c r="S14" s="88">
        <v>1268951.39453125</v>
      </c>
      <c r="T14" s="88">
        <v>1283786.65625</v>
      </c>
      <c r="U14">
        <v>97961.864252090498</v>
      </c>
    </row>
    <row r="15" spans="2:22" x14ac:dyDescent="0.25">
      <c r="B15">
        <v>2034</v>
      </c>
      <c r="C15" s="132">
        <v>1370187.46875</v>
      </c>
      <c r="D15" s="132">
        <v>1355021.25</v>
      </c>
      <c r="E15" s="132">
        <v>1370187.46875</v>
      </c>
      <c r="F15" s="66">
        <v>97850.784532546997</v>
      </c>
      <c r="G15" s="95">
        <f t="shared" si="0"/>
        <v>14.002825580762208</v>
      </c>
      <c r="H15" s="95">
        <f t="shared" si="1"/>
        <v>13.847832252681577</v>
      </c>
      <c r="J15">
        <v>2034</v>
      </c>
      <c r="K15" s="69">
        <v>1380599.4765625</v>
      </c>
      <c r="L15" s="69">
        <v>1365433.2421875</v>
      </c>
      <c r="M15" s="69">
        <v>1380599.4765625</v>
      </c>
      <c r="N15" s="69">
        <v>97850.784532546997</v>
      </c>
      <c r="Q15">
        <v>2034</v>
      </c>
      <c r="R15" s="88">
        <v>1369872.5078125</v>
      </c>
      <c r="S15" s="88">
        <v>1354706.265625</v>
      </c>
      <c r="T15" s="88">
        <v>1369872.5078125</v>
      </c>
      <c r="U15">
        <v>97826.531739234895</v>
      </c>
    </row>
    <row r="16" spans="2:22" x14ac:dyDescent="0.25">
      <c r="B16">
        <v>2035</v>
      </c>
      <c r="C16" s="132">
        <v>1440415.5390625</v>
      </c>
      <c r="D16" s="132">
        <v>1425113.78125</v>
      </c>
      <c r="E16" s="132">
        <v>1440415.5390625</v>
      </c>
      <c r="F16" s="66">
        <v>98747.761077403993</v>
      </c>
      <c r="G16" s="95">
        <f t="shared" si="0"/>
        <v>14.586817193084734</v>
      </c>
      <c r="H16" s="95">
        <f t="shared" si="1"/>
        <v>14.431859170284545</v>
      </c>
      <c r="J16">
        <v>2035</v>
      </c>
      <c r="K16" s="69">
        <v>1450950.1484375</v>
      </c>
      <c r="L16" s="69">
        <v>1435648.40625</v>
      </c>
      <c r="M16" s="69">
        <v>1450950.1484375</v>
      </c>
      <c r="N16" s="69">
        <v>98747.761077403993</v>
      </c>
      <c r="Q16">
        <v>2035</v>
      </c>
      <c r="R16" s="88">
        <v>1440084.9453125</v>
      </c>
      <c r="S16" s="88">
        <v>1424783.1953125</v>
      </c>
      <c r="T16" s="88">
        <v>1440084.9453125</v>
      </c>
      <c r="U16">
        <v>98723.499563217207</v>
      </c>
    </row>
    <row r="17" spans="2:22" x14ac:dyDescent="0.25">
      <c r="B17">
        <v>2036</v>
      </c>
      <c r="C17" s="132">
        <v>1524277.578125</v>
      </c>
      <c r="D17" s="132">
        <v>1508947.2578125</v>
      </c>
      <c r="E17" s="132">
        <v>1524277.578125</v>
      </c>
      <c r="F17" s="66">
        <v>99898.218702793107</v>
      </c>
      <c r="G17" s="95">
        <f t="shared" si="0"/>
        <v>15.25830588290942</v>
      </c>
      <c r="H17" s="95">
        <f t="shared" si="1"/>
        <v>15.104846486820396</v>
      </c>
      <c r="J17">
        <v>2036</v>
      </c>
      <c r="K17" s="69">
        <v>1535916.5625</v>
      </c>
      <c r="L17" s="69">
        <v>1520586.2421875</v>
      </c>
      <c r="M17" s="69">
        <v>1535916.5625</v>
      </c>
      <c r="N17" s="69">
        <v>99898.218702793107</v>
      </c>
      <c r="Q17">
        <v>2036</v>
      </c>
      <c r="R17" s="88">
        <v>1523930.578125</v>
      </c>
      <c r="S17" s="88">
        <v>1508600.2578125</v>
      </c>
      <c r="T17" s="88">
        <v>1523930.578125</v>
      </c>
      <c r="U17">
        <v>99873.949477672606</v>
      </c>
    </row>
    <row r="18" spans="2:22" x14ac:dyDescent="0.25">
      <c r="B18">
        <v>2037</v>
      </c>
      <c r="C18" s="132">
        <v>1591707.796875</v>
      </c>
      <c r="D18" s="132">
        <v>1576311.8828125</v>
      </c>
      <c r="E18" s="132">
        <v>1591707.796875</v>
      </c>
      <c r="F18" s="66">
        <v>99370.335439682007</v>
      </c>
      <c r="G18" s="95">
        <f t="shared" si="0"/>
        <v>16.017937242862281</v>
      </c>
      <c r="H18" s="95">
        <f t="shared" si="1"/>
        <v>15.863002533279406</v>
      </c>
      <c r="J18">
        <v>2037</v>
      </c>
      <c r="K18" s="69">
        <v>1604298.21875</v>
      </c>
      <c r="L18" s="69">
        <v>1588902.34375</v>
      </c>
      <c r="M18" s="69">
        <v>1604298.21875</v>
      </c>
      <c r="N18" s="69">
        <v>99370.335439682007</v>
      </c>
      <c r="Q18">
        <v>2037</v>
      </c>
      <c r="R18" s="88">
        <v>1591342.53125</v>
      </c>
      <c r="S18" s="88">
        <v>1575946.640625</v>
      </c>
      <c r="T18" s="88">
        <v>1591342.53125</v>
      </c>
      <c r="U18">
        <v>99346.058618068695</v>
      </c>
    </row>
    <row r="19" spans="2:22" x14ac:dyDescent="0.25">
      <c r="B19">
        <v>2038</v>
      </c>
      <c r="C19" s="132">
        <v>1619744.75</v>
      </c>
      <c r="D19" s="132">
        <v>1604347.4375</v>
      </c>
      <c r="E19" s="132">
        <v>1619744.75</v>
      </c>
      <c r="F19" s="66">
        <v>99141.359594345093</v>
      </c>
      <c r="G19" s="95">
        <f t="shared" si="0"/>
        <v>16.33772984985762</v>
      </c>
      <c r="H19" s="95">
        <f t="shared" si="1"/>
        <v>16.182423199202425</v>
      </c>
      <c r="J19">
        <v>2038</v>
      </c>
      <c r="K19" s="69">
        <v>1632286.6796875</v>
      </c>
      <c r="L19" s="69">
        <v>1616889.3515625</v>
      </c>
      <c r="M19" s="69">
        <v>1632286.6796875</v>
      </c>
      <c r="N19" s="69">
        <v>99141.359594345093</v>
      </c>
      <c r="Q19">
        <v>2038</v>
      </c>
      <c r="R19" s="88">
        <v>1619370.828125</v>
      </c>
      <c r="S19" s="88">
        <v>1603973.5</v>
      </c>
      <c r="T19" s="88">
        <v>1619370.828125</v>
      </c>
      <c r="U19">
        <v>99117.077105522199</v>
      </c>
    </row>
    <row r="20" spans="2:22" x14ac:dyDescent="0.25">
      <c r="B20">
        <v>2039</v>
      </c>
      <c r="C20" s="132">
        <v>1708572.75</v>
      </c>
      <c r="D20" s="132">
        <v>1693229.453125</v>
      </c>
      <c r="E20" s="132">
        <v>1708572.75</v>
      </c>
      <c r="F20" s="66">
        <v>100135.89383554499</v>
      </c>
      <c r="G20" s="95">
        <f t="shared" si="0"/>
        <v>17.062540559192694</v>
      </c>
      <c r="H20" s="95">
        <f t="shared" si="1"/>
        <v>16.909315813426719</v>
      </c>
      <c r="J20">
        <v>2039</v>
      </c>
      <c r="K20" s="69">
        <v>1721429.7890625</v>
      </c>
      <c r="L20" s="69">
        <v>1706086.53125</v>
      </c>
      <c r="M20" s="69">
        <v>1721429.7890625</v>
      </c>
      <c r="N20" s="69">
        <v>100135.89383554499</v>
      </c>
      <c r="Q20">
        <v>2039</v>
      </c>
      <c r="R20" s="88">
        <v>1708181.140625</v>
      </c>
      <c r="S20" s="88">
        <v>1692837.8203125</v>
      </c>
      <c r="T20" s="88">
        <v>1708181.140625</v>
      </c>
      <c r="U20">
        <v>100111.601756096</v>
      </c>
    </row>
    <row r="21" spans="2:22" x14ac:dyDescent="0.25">
      <c r="B21">
        <v>2040</v>
      </c>
      <c r="C21" s="132">
        <v>1807616.4296875</v>
      </c>
      <c r="D21" s="132">
        <v>1792920.9609375</v>
      </c>
      <c r="E21" s="132">
        <v>1807616.4296875</v>
      </c>
      <c r="F21" s="66">
        <v>101421.37013340001</v>
      </c>
      <c r="G21" s="95">
        <f t="shared" si="0"/>
        <v>17.822835831441967</v>
      </c>
      <c r="H21" s="95">
        <f t="shared" si="1"/>
        <v>17.677940640904996</v>
      </c>
      <c r="J21">
        <v>2040</v>
      </c>
      <c r="K21" s="69">
        <v>1821416.0234375</v>
      </c>
      <c r="L21" s="69">
        <v>1806720.5703125</v>
      </c>
      <c r="M21" s="69">
        <v>1821416.0234375</v>
      </c>
      <c r="N21" s="69">
        <v>101421.37013340001</v>
      </c>
      <c r="Q21">
        <v>2040</v>
      </c>
      <c r="R21" s="88">
        <v>1807254.453125</v>
      </c>
      <c r="S21" s="88">
        <v>1792558.953125</v>
      </c>
      <c r="T21" s="88">
        <v>1807254.453125</v>
      </c>
      <c r="U21">
        <v>101397.073393345</v>
      </c>
    </row>
    <row r="22" spans="2:22" x14ac:dyDescent="0.25">
      <c r="B22">
        <v>2041</v>
      </c>
      <c r="C22" s="132">
        <v>1886669.3984375</v>
      </c>
      <c r="D22" s="132">
        <v>1876688.6484375</v>
      </c>
      <c r="E22" s="132">
        <v>1886669.3984375</v>
      </c>
      <c r="F22" s="66">
        <v>101217.652220726</v>
      </c>
      <c r="G22" s="95">
        <f t="shared" si="0"/>
        <v>18.639726935408735</v>
      </c>
      <c r="H22" s="95">
        <f t="shared" si="1"/>
        <v>18.541120123444404</v>
      </c>
      <c r="J22">
        <v>2041</v>
      </c>
      <c r="K22" s="69">
        <v>1901598.0390625</v>
      </c>
      <c r="L22" s="69">
        <v>1891617.2890625</v>
      </c>
      <c r="M22" s="69">
        <v>1901598.0390625</v>
      </c>
      <c r="N22" s="69">
        <v>101217.652220726</v>
      </c>
      <c r="Q22">
        <v>2041</v>
      </c>
      <c r="R22" s="88">
        <v>1886237.7421875</v>
      </c>
      <c r="S22" s="88">
        <v>1876256.9921875</v>
      </c>
      <c r="T22" s="88">
        <v>1886237.7421875</v>
      </c>
      <c r="U22">
        <v>101193.34547615099</v>
      </c>
    </row>
    <row r="23" spans="2:22" x14ac:dyDescent="0.25">
      <c r="D23" s="139">
        <f>NPV(0.068,D3:D22)/1000000</f>
        <v>12.456273686393605</v>
      </c>
      <c r="E23" s="139">
        <f>NPV(0.068,E3:E22)/1000000</f>
        <v>12.660135446470683</v>
      </c>
      <c r="F23" s="96" t="s">
        <v>97</v>
      </c>
      <c r="G23" s="93">
        <f>NPV(0.068,G3:G22)</f>
        <v>129.01205109591098</v>
      </c>
      <c r="H23" s="93"/>
      <c r="M23" s="139">
        <f>NPV(0.068,M3:M22)/1000000</f>
        <v>12.757737412204595</v>
      </c>
      <c r="N23" s="92" t="s">
        <v>126</v>
      </c>
      <c r="S23" s="139">
        <f>NPV(0.068,S3:S22)/1000000</f>
        <v>12.406919632510226</v>
      </c>
      <c r="T23" s="139">
        <f>NPV(0.068,T3:T22)/1000000</f>
        <v>12.623034078398481</v>
      </c>
      <c r="U23" t="s">
        <v>126</v>
      </c>
    </row>
    <row r="24" spans="2:22" ht="15.75" thickBot="1" x14ac:dyDescent="0.3">
      <c r="C24" s="164"/>
      <c r="E24" s="93"/>
      <c r="F24" s="93"/>
      <c r="G24" s="93"/>
      <c r="H24" s="93"/>
      <c r="M24" s="92">
        <f>(M23-E23)</f>
        <v>9.7601965733911555E-2</v>
      </c>
      <c r="N24" s="92" t="s">
        <v>127</v>
      </c>
      <c r="T24" s="126">
        <f>(T23-E23)</f>
        <v>-3.7101368072201879E-2</v>
      </c>
      <c r="U24" t="s">
        <v>127</v>
      </c>
    </row>
    <row r="25" spans="2:22" ht="15.75" thickBot="1" x14ac:dyDescent="0.3">
      <c r="B25" s="135" t="s">
        <v>116</v>
      </c>
      <c r="C25" s="165"/>
      <c r="D25" s="162" t="s">
        <v>115</v>
      </c>
      <c r="E25" s="136"/>
      <c r="F25" s="136"/>
      <c r="G25" s="163" t="s">
        <v>109</v>
      </c>
      <c r="J25" s="135" t="s">
        <v>131</v>
      </c>
      <c r="K25" s="136"/>
      <c r="L25" s="142" t="s">
        <v>110</v>
      </c>
      <c r="M25" s="137"/>
      <c r="N25" s="137"/>
      <c r="O25" s="163" t="s">
        <v>111</v>
      </c>
      <c r="P25" s="134"/>
      <c r="Q25" s="135" t="s">
        <v>105</v>
      </c>
      <c r="R25" s="138"/>
      <c r="S25" s="137" t="s">
        <v>132</v>
      </c>
      <c r="T25" s="138"/>
      <c r="U25" s="167"/>
      <c r="V25" s="163" t="s">
        <v>130</v>
      </c>
    </row>
    <row r="26" spans="2:22" x14ac:dyDescent="0.25">
      <c r="B26" t="s">
        <v>74</v>
      </c>
      <c r="C26" t="s">
        <v>78</v>
      </c>
      <c r="D26" t="s">
        <v>79</v>
      </c>
      <c r="E26" t="s">
        <v>80</v>
      </c>
      <c r="F26" t="s">
        <v>98</v>
      </c>
      <c r="J26" t="s">
        <v>74</v>
      </c>
      <c r="K26" t="s">
        <v>78</v>
      </c>
      <c r="L26" s="141"/>
      <c r="M26" t="s">
        <v>80</v>
      </c>
      <c r="N26" t="s">
        <v>98</v>
      </c>
      <c r="O26" s="8"/>
      <c r="P26" s="8"/>
      <c r="Q26" t="s">
        <v>74</v>
      </c>
      <c r="R26" t="s">
        <v>78</v>
      </c>
      <c r="S26" t="s">
        <v>79</v>
      </c>
      <c r="T26" t="s">
        <v>80</v>
      </c>
      <c r="U26" t="s">
        <v>98</v>
      </c>
    </row>
    <row r="27" spans="2:22" x14ac:dyDescent="0.25">
      <c r="B27">
        <v>2022</v>
      </c>
      <c r="C27" s="69">
        <v>896201.734375</v>
      </c>
      <c r="D27" s="69">
        <v>896201.734375</v>
      </c>
      <c r="E27" s="69">
        <v>896201.734375</v>
      </c>
      <c r="F27" s="66">
        <v>95751.722650527998</v>
      </c>
      <c r="G27" s="95">
        <f>E27/F27</f>
        <v>9.3596408457937876</v>
      </c>
      <c r="H27" s="95"/>
      <c r="J27">
        <v>2022</v>
      </c>
      <c r="K27" s="143">
        <v>1062047.09375</v>
      </c>
      <c r="L27" s="143">
        <v>1046381.3125</v>
      </c>
      <c r="M27" s="143">
        <v>1062047.09375</v>
      </c>
      <c r="N27" s="66">
        <v>109445.700367928</v>
      </c>
      <c r="O27" s="193">
        <f>M27/N27</f>
        <v>9.7038722414829781</v>
      </c>
      <c r="P27" s="8">
        <f>L27/N27</f>
        <v>9.5607347660286148</v>
      </c>
      <c r="Q27">
        <v>2022</v>
      </c>
      <c r="R27">
        <v>917693.0625</v>
      </c>
      <c r="S27">
        <v>893615.7421875</v>
      </c>
      <c r="T27">
        <v>917693.0625</v>
      </c>
      <c r="U27">
        <v>95477.717522621198</v>
      </c>
    </row>
    <row r="28" spans="2:22" x14ac:dyDescent="0.25">
      <c r="B28">
        <v>2023</v>
      </c>
      <c r="C28" s="69">
        <v>872569.94140625</v>
      </c>
      <c r="D28" s="69">
        <v>872569.94140625</v>
      </c>
      <c r="E28" s="69">
        <v>872569.94140625</v>
      </c>
      <c r="F28" s="66">
        <v>97432.3651304245</v>
      </c>
      <c r="G28" s="95">
        <f t="shared" ref="G28:G46" si="2">E28/F28</f>
        <v>8.9556477484480048</v>
      </c>
      <c r="H28" s="95"/>
      <c r="J28">
        <v>2023</v>
      </c>
      <c r="K28" s="143">
        <v>1023363.0390625</v>
      </c>
      <c r="L28" s="143">
        <v>1005749.35546875</v>
      </c>
      <c r="M28" s="143">
        <v>1023363.0390625</v>
      </c>
      <c r="N28" s="66">
        <v>111781.37309455901</v>
      </c>
      <c r="O28" s="193">
        <f t="shared" ref="O28:O46" si="3">M28/N28</f>
        <v>9.1550408689004783</v>
      </c>
      <c r="P28" s="8">
        <f t="shared" ref="P28:P46" si="4">L28/N28</f>
        <v>8.9974682509755741</v>
      </c>
      <c r="Q28">
        <v>2023</v>
      </c>
      <c r="R28">
        <v>890319.94921875</v>
      </c>
      <c r="S28">
        <v>864611.51953125</v>
      </c>
      <c r="T28">
        <v>890319.94921875</v>
      </c>
      <c r="U28">
        <v>96544.839252471895</v>
      </c>
    </row>
    <row r="29" spans="2:22" x14ac:dyDescent="0.25">
      <c r="B29">
        <v>2024</v>
      </c>
      <c r="C29" s="69">
        <v>911011.74609375</v>
      </c>
      <c r="D29" s="69">
        <v>911011.74609375</v>
      </c>
      <c r="E29" s="69">
        <v>911011.74609375</v>
      </c>
      <c r="F29" s="66">
        <v>99453.998975753799</v>
      </c>
      <c r="G29" s="95">
        <f t="shared" si="2"/>
        <v>9.1601318747961908</v>
      </c>
      <c r="H29" s="95"/>
      <c r="J29">
        <v>2024</v>
      </c>
      <c r="K29" s="143">
        <v>1064351.04296875</v>
      </c>
      <c r="L29" s="143">
        <v>1045370.83203125</v>
      </c>
      <c r="M29" s="143">
        <v>1064351.04296875</v>
      </c>
      <c r="N29" s="66">
        <v>115646.125735283</v>
      </c>
      <c r="O29" s="193">
        <f t="shared" si="3"/>
        <v>9.2035166435672675</v>
      </c>
      <c r="P29" s="8">
        <f t="shared" si="4"/>
        <v>9.0393934546854702</v>
      </c>
      <c r="Q29">
        <v>2024</v>
      </c>
      <c r="R29">
        <v>924640.38671875</v>
      </c>
      <c r="S29">
        <v>897873.76953125</v>
      </c>
      <c r="T29">
        <v>924640.38671875</v>
      </c>
      <c r="U29">
        <v>97915.1197633743</v>
      </c>
    </row>
    <row r="30" spans="2:22" x14ac:dyDescent="0.25">
      <c r="B30">
        <v>2025</v>
      </c>
      <c r="C30" s="69">
        <v>942263.0546875</v>
      </c>
      <c r="D30" s="69">
        <v>942263.0546875</v>
      </c>
      <c r="E30" s="69">
        <v>942263.0546875</v>
      </c>
      <c r="F30" s="66">
        <v>99678.1216030121</v>
      </c>
      <c r="G30" s="95">
        <f t="shared" si="2"/>
        <v>9.4530578981037543</v>
      </c>
      <c r="H30" s="95"/>
      <c r="J30">
        <v>2025</v>
      </c>
      <c r="K30" s="143">
        <v>1116587.84375</v>
      </c>
      <c r="L30" s="143">
        <v>1096266.828125</v>
      </c>
      <c r="M30" s="143">
        <v>1116587.84375</v>
      </c>
      <c r="N30" s="66">
        <v>116626.579522133</v>
      </c>
      <c r="O30" s="193">
        <f t="shared" si="3"/>
        <v>9.5740426266904084</v>
      </c>
      <c r="P30" s="8">
        <f t="shared" si="4"/>
        <v>9.3998026231829446</v>
      </c>
      <c r="Q30">
        <v>2025</v>
      </c>
      <c r="R30">
        <v>950754.14453125</v>
      </c>
      <c r="S30">
        <v>923075.7109375</v>
      </c>
      <c r="T30">
        <v>950754.14453125</v>
      </c>
      <c r="U30">
        <v>97470.0222434998</v>
      </c>
    </row>
    <row r="31" spans="2:22" x14ac:dyDescent="0.25">
      <c r="B31">
        <v>2026</v>
      </c>
      <c r="C31" s="69">
        <v>995086.30078125</v>
      </c>
      <c r="D31" s="69">
        <v>995086.30078125</v>
      </c>
      <c r="E31" s="69">
        <v>995086.30078125</v>
      </c>
      <c r="F31" s="66">
        <v>99840.498642921404</v>
      </c>
      <c r="G31" s="95">
        <f t="shared" si="2"/>
        <v>9.9667601254693921</v>
      </c>
      <c r="H31" s="95"/>
      <c r="J31">
        <v>2026</v>
      </c>
      <c r="K31" s="143">
        <v>1167254.4609375</v>
      </c>
      <c r="L31" s="143">
        <v>1145734.359375</v>
      </c>
      <c r="M31" s="143">
        <v>1167254.4609375</v>
      </c>
      <c r="N31" s="66">
        <v>116849.979909897</v>
      </c>
      <c r="O31" s="193">
        <f t="shared" si="3"/>
        <v>9.989342418694207</v>
      </c>
      <c r="P31" s="8">
        <f t="shared" si="4"/>
        <v>9.8051737814458821</v>
      </c>
      <c r="Q31">
        <v>2026</v>
      </c>
      <c r="R31">
        <v>1003179.59375</v>
      </c>
      <c r="S31">
        <v>974705.66015625</v>
      </c>
      <c r="T31">
        <v>1003179.59375</v>
      </c>
      <c r="U31">
        <v>96946.823042869597</v>
      </c>
    </row>
    <row r="32" spans="2:22" x14ac:dyDescent="0.25">
      <c r="B32">
        <v>2027</v>
      </c>
      <c r="C32" s="69">
        <v>1032674.12109375</v>
      </c>
      <c r="D32" s="69">
        <v>1032674.12109375</v>
      </c>
      <c r="E32" s="69">
        <v>1032674.12109375</v>
      </c>
      <c r="F32" s="66">
        <v>100841.218014717</v>
      </c>
      <c r="G32" s="95">
        <f t="shared" si="2"/>
        <v>10.240595476970926</v>
      </c>
      <c r="H32" s="95"/>
      <c r="J32">
        <v>2027</v>
      </c>
      <c r="K32" s="143">
        <v>1233985.0859375</v>
      </c>
      <c r="L32" s="143">
        <v>1211252.4296875</v>
      </c>
      <c r="M32" s="143">
        <v>1233985.0859375</v>
      </c>
      <c r="N32" s="66">
        <v>117773.573679924</v>
      </c>
      <c r="O32" s="193">
        <f t="shared" si="3"/>
        <v>10.477605861660701</v>
      </c>
      <c r="P32" s="8">
        <f t="shared" si="4"/>
        <v>10.284585852674804</v>
      </c>
      <c r="Q32">
        <v>2027</v>
      </c>
      <c r="R32">
        <v>1027295.47265625</v>
      </c>
      <c r="S32">
        <v>998092.79296875</v>
      </c>
      <c r="T32">
        <v>1027295.47265625</v>
      </c>
      <c r="U32">
        <v>97238.492646694198</v>
      </c>
    </row>
    <row r="33" spans="2:21" x14ac:dyDescent="0.25">
      <c r="B33">
        <v>2028</v>
      </c>
      <c r="C33" s="69">
        <v>1096882.56640625</v>
      </c>
      <c r="D33" s="69">
        <v>1096882.56640625</v>
      </c>
      <c r="E33" s="69">
        <v>1096882.56640625</v>
      </c>
      <c r="F33" s="66">
        <v>102191.353578568</v>
      </c>
      <c r="G33" s="95">
        <f t="shared" si="2"/>
        <v>10.733614224641142</v>
      </c>
      <c r="H33" s="95"/>
      <c r="J33">
        <v>2028</v>
      </c>
      <c r="K33" s="143">
        <v>1320008.046875</v>
      </c>
      <c r="L33" s="143">
        <v>1296047.0078125</v>
      </c>
      <c r="M33" s="143">
        <v>1320008.046875</v>
      </c>
      <c r="N33" s="66">
        <v>119872.74988555899</v>
      </c>
      <c r="O33" s="193">
        <f t="shared" si="3"/>
        <v>11.01174410477106</v>
      </c>
      <c r="P33" s="8">
        <f t="shared" si="4"/>
        <v>10.811856815246331</v>
      </c>
      <c r="Q33">
        <v>2028</v>
      </c>
      <c r="R33">
        <v>1087356.921875</v>
      </c>
      <c r="S33">
        <v>1057469.69140625</v>
      </c>
      <c r="T33">
        <v>1087356.921875</v>
      </c>
      <c r="U33">
        <v>97853.833527565002</v>
      </c>
    </row>
    <row r="34" spans="2:21" x14ac:dyDescent="0.25">
      <c r="B34">
        <v>2029</v>
      </c>
      <c r="C34" s="69">
        <v>1119032.13671875</v>
      </c>
      <c r="D34" s="69">
        <v>1119032.13671875</v>
      </c>
      <c r="E34" s="69">
        <v>1119032.13671875</v>
      </c>
      <c r="F34" s="66">
        <v>102074.18251037601</v>
      </c>
      <c r="G34" s="95">
        <f t="shared" si="2"/>
        <v>10.962930186631654</v>
      </c>
      <c r="H34" s="95"/>
      <c r="J34">
        <v>2029</v>
      </c>
      <c r="K34" s="143">
        <v>1377914.390625</v>
      </c>
      <c r="L34" s="143">
        <v>1352995.9375</v>
      </c>
      <c r="M34" s="143">
        <v>1377914.390625</v>
      </c>
      <c r="N34" s="66">
        <v>119558.879184723</v>
      </c>
      <c r="O34" s="193">
        <f t="shared" si="3"/>
        <v>11.524985848153277</v>
      </c>
      <c r="P34" s="8">
        <f t="shared" si="4"/>
        <v>11.316565919036176</v>
      </c>
      <c r="Q34">
        <v>2029</v>
      </c>
      <c r="R34">
        <v>1083085.0703125</v>
      </c>
      <c r="S34">
        <v>1052752.7109375</v>
      </c>
      <c r="T34">
        <v>1083085.0703125</v>
      </c>
      <c r="U34">
        <v>96975.837130069704</v>
      </c>
    </row>
    <row r="35" spans="2:21" x14ac:dyDescent="0.25">
      <c r="B35">
        <v>2030</v>
      </c>
      <c r="C35" s="69">
        <v>1187758.9375</v>
      </c>
      <c r="D35" s="69">
        <v>1187758.9375</v>
      </c>
      <c r="E35" s="69">
        <v>1187758.9375</v>
      </c>
      <c r="F35" s="66">
        <v>102335.44943618801</v>
      </c>
      <c r="G35" s="95">
        <f t="shared" si="2"/>
        <v>11.606524855696613</v>
      </c>
      <c r="H35" s="95"/>
      <c r="J35">
        <v>2030</v>
      </c>
      <c r="K35" s="143">
        <v>1428913.671875</v>
      </c>
      <c r="L35" s="143">
        <v>1403080</v>
      </c>
      <c r="M35" s="143">
        <v>1428913.671875</v>
      </c>
      <c r="N35" s="66">
        <v>119742.712218285</v>
      </c>
      <c r="O35" s="193">
        <f t="shared" si="3"/>
        <v>11.933199485828929</v>
      </c>
      <c r="P35" s="8">
        <f t="shared" si="4"/>
        <v>11.717456319531623</v>
      </c>
      <c r="Q35">
        <v>2030</v>
      </c>
      <c r="R35">
        <v>1152812.625</v>
      </c>
      <c r="S35">
        <v>1122065.47265625</v>
      </c>
      <c r="T35">
        <v>1152812.625</v>
      </c>
      <c r="U35">
        <v>96449.776351451903</v>
      </c>
    </row>
    <row r="36" spans="2:21" x14ac:dyDescent="0.25">
      <c r="B36">
        <v>2031</v>
      </c>
      <c r="C36" s="69">
        <v>1244409.6484375</v>
      </c>
      <c r="D36" s="69">
        <v>1244409.6484375</v>
      </c>
      <c r="E36" s="69">
        <v>1244409.6484375</v>
      </c>
      <c r="F36" s="66">
        <v>103765.84867382</v>
      </c>
      <c r="G36" s="95">
        <f t="shared" si="2"/>
        <v>11.992477913896376</v>
      </c>
      <c r="H36" s="95"/>
      <c r="J36">
        <v>2031</v>
      </c>
      <c r="K36" s="143">
        <v>1497198.7421875</v>
      </c>
      <c r="L36" s="143">
        <v>1470487.21875</v>
      </c>
      <c r="M36" s="143">
        <v>1497198.7421875</v>
      </c>
      <c r="N36" s="66">
        <v>121337.334817886</v>
      </c>
      <c r="O36" s="193">
        <f t="shared" si="3"/>
        <v>12.3391431370619</v>
      </c>
      <c r="P36" s="8">
        <f t="shared" si="4"/>
        <v>12.119000478764756</v>
      </c>
      <c r="Q36">
        <v>2031</v>
      </c>
      <c r="R36">
        <v>1197810.5234375</v>
      </c>
      <c r="S36">
        <v>1166555.85546875</v>
      </c>
      <c r="T36">
        <v>1197810.5234375</v>
      </c>
      <c r="U36">
        <v>97064.658234119401</v>
      </c>
    </row>
    <row r="37" spans="2:21" x14ac:dyDescent="0.25">
      <c r="B37">
        <v>2032</v>
      </c>
      <c r="C37" s="69">
        <v>1341964.6015625</v>
      </c>
      <c r="D37" s="69">
        <v>1341964.6015625</v>
      </c>
      <c r="E37" s="69">
        <v>1341964.6015625</v>
      </c>
      <c r="F37" s="66">
        <v>105377.93416213999</v>
      </c>
      <c r="G37" s="95">
        <f t="shared" si="2"/>
        <v>12.734778037095348</v>
      </c>
      <c r="H37" s="95"/>
      <c r="J37">
        <v>2032</v>
      </c>
      <c r="K37" s="143">
        <v>1581273.8046875</v>
      </c>
      <c r="L37" s="143">
        <v>1566911.6484375</v>
      </c>
      <c r="M37" s="143">
        <v>1581273.8046875</v>
      </c>
      <c r="N37" s="66">
        <v>123502.22955894499</v>
      </c>
      <c r="O37" s="193">
        <f t="shared" si="3"/>
        <v>12.803605330321519</v>
      </c>
      <c r="P37" s="8">
        <f t="shared" si="4"/>
        <v>12.687314666571638</v>
      </c>
      <c r="Q37">
        <v>2032</v>
      </c>
      <c r="R37">
        <v>1281396.78125</v>
      </c>
      <c r="S37">
        <v>1271132.8359375</v>
      </c>
      <c r="T37">
        <v>1281396.78125</v>
      </c>
      <c r="U37">
        <v>98040.690840244293</v>
      </c>
    </row>
    <row r="38" spans="2:21" x14ac:dyDescent="0.25">
      <c r="B38">
        <v>2033</v>
      </c>
      <c r="C38" s="69">
        <v>1382315.3984375</v>
      </c>
      <c r="D38" s="69">
        <v>1382315.3984375</v>
      </c>
      <c r="E38" s="69">
        <v>1382315.3984375</v>
      </c>
      <c r="F38" s="66">
        <v>105426.058689117</v>
      </c>
      <c r="G38" s="95">
        <f t="shared" si="2"/>
        <v>13.111705166876305</v>
      </c>
      <c r="H38" s="95"/>
      <c r="J38">
        <v>2033</v>
      </c>
      <c r="K38" s="143">
        <v>1658182.4140625</v>
      </c>
      <c r="L38" s="143">
        <v>1643345.7734375</v>
      </c>
      <c r="M38" s="143">
        <v>1658182.4140625</v>
      </c>
      <c r="N38" s="66">
        <v>123353.65679264101</v>
      </c>
      <c r="O38" s="193">
        <f t="shared" si="3"/>
        <v>13.44250715525949</v>
      </c>
      <c r="P38" s="8">
        <f t="shared" si="4"/>
        <v>13.322229888976734</v>
      </c>
      <c r="Q38">
        <v>2033</v>
      </c>
      <c r="R38">
        <v>1274059.29296875</v>
      </c>
      <c r="S38">
        <v>1263424.65234375</v>
      </c>
      <c r="T38">
        <v>1274059.29296875</v>
      </c>
      <c r="U38">
        <v>97665.221764087706</v>
      </c>
    </row>
    <row r="39" spans="2:21" x14ac:dyDescent="0.25">
      <c r="B39">
        <v>2034</v>
      </c>
      <c r="C39" s="69">
        <v>1463020.375</v>
      </c>
      <c r="D39" s="69">
        <v>1463020.375</v>
      </c>
      <c r="E39" s="69">
        <v>1463020.375</v>
      </c>
      <c r="F39" s="66">
        <v>105798.685401917</v>
      </c>
      <c r="G39" s="95">
        <f t="shared" si="2"/>
        <v>13.828341717500122</v>
      </c>
      <c r="H39" s="95"/>
      <c r="J39">
        <v>2034</v>
      </c>
      <c r="K39" s="143">
        <v>1731595.8671875</v>
      </c>
      <c r="L39" s="143">
        <v>1716428.328125</v>
      </c>
      <c r="M39" s="143">
        <v>1731595.8671875</v>
      </c>
      <c r="N39" s="66">
        <v>122362.15060997001</v>
      </c>
      <c r="O39" s="193">
        <f t="shared" si="3"/>
        <v>14.151401054619994</v>
      </c>
      <c r="P39" s="8">
        <f t="shared" si="4"/>
        <v>14.027444921233235</v>
      </c>
      <c r="Q39">
        <v>2034</v>
      </c>
      <c r="R39">
        <v>1362267.3671875</v>
      </c>
      <c r="S39">
        <v>1351303.3125</v>
      </c>
      <c r="T39">
        <v>1362267.3671875</v>
      </c>
      <c r="U39">
        <v>97589.162474155397</v>
      </c>
    </row>
    <row r="40" spans="2:21" x14ac:dyDescent="0.25">
      <c r="B40">
        <v>2035</v>
      </c>
      <c r="C40" s="69">
        <v>1547048.6796875</v>
      </c>
      <c r="D40" s="69">
        <v>1547048.6796875</v>
      </c>
      <c r="E40" s="69">
        <v>1547048.6796875</v>
      </c>
      <c r="F40" s="66">
        <v>107220.814844131</v>
      </c>
      <c r="G40" s="95">
        <f t="shared" si="2"/>
        <v>14.428622669362055</v>
      </c>
      <c r="H40" s="95"/>
      <c r="J40">
        <v>2035</v>
      </c>
      <c r="K40" s="143">
        <v>1828956.7734375</v>
      </c>
      <c r="L40" s="143">
        <v>1813653.7890625</v>
      </c>
      <c r="M40" s="143">
        <v>1828956.7734375</v>
      </c>
      <c r="N40" s="66">
        <v>124080.736984253</v>
      </c>
      <c r="O40" s="193">
        <f t="shared" si="3"/>
        <v>14.740054080027036</v>
      </c>
      <c r="P40" s="8">
        <f t="shared" si="4"/>
        <v>14.616723217018524</v>
      </c>
      <c r="Q40">
        <v>2035</v>
      </c>
      <c r="R40">
        <v>1433225.5546875</v>
      </c>
      <c r="S40">
        <v>1422029.234375</v>
      </c>
      <c r="T40">
        <v>1433225.5546875</v>
      </c>
      <c r="U40">
        <v>98545.353786945299</v>
      </c>
    </row>
    <row r="41" spans="2:21" x14ac:dyDescent="0.25">
      <c r="B41">
        <v>2036</v>
      </c>
      <c r="C41" s="69">
        <v>1648154.8359375</v>
      </c>
      <c r="D41" s="69">
        <v>1648154.8359375</v>
      </c>
      <c r="E41" s="69">
        <v>1648154.8359375</v>
      </c>
      <c r="F41" s="66">
        <v>108905.819559097</v>
      </c>
      <c r="G41" s="95">
        <f t="shared" si="2"/>
        <v>15.133762755838223</v>
      </c>
      <c r="H41" s="95"/>
      <c r="J41">
        <v>2036</v>
      </c>
      <c r="K41" s="143">
        <v>1974921.5078125</v>
      </c>
      <c r="L41" s="143">
        <v>1959590.0390625</v>
      </c>
      <c r="M41" s="143">
        <v>1974921.5078125</v>
      </c>
      <c r="N41" s="66">
        <v>126697.31034183499</v>
      </c>
      <c r="O41" s="193">
        <f t="shared" si="3"/>
        <v>15.587714549614935</v>
      </c>
      <c r="P41" s="8">
        <f t="shared" si="4"/>
        <v>15.466705913293966</v>
      </c>
      <c r="Q41">
        <v>2036</v>
      </c>
      <c r="R41">
        <v>1517946.1484375</v>
      </c>
      <c r="S41">
        <v>1506578.5703125</v>
      </c>
      <c r="T41">
        <v>1517946.1484375</v>
      </c>
      <c r="U41">
        <v>99753.959294796005</v>
      </c>
    </row>
    <row r="42" spans="2:21" x14ac:dyDescent="0.25">
      <c r="B42">
        <v>2037</v>
      </c>
      <c r="C42" s="69">
        <v>1719495.359375</v>
      </c>
      <c r="D42" s="69">
        <v>1719495.359375</v>
      </c>
      <c r="E42" s="69">
        <v>1719495.359375</v>
      </c>
      <c r="F42" s="66">
        <v>108921.551883698</v>
      </c>
      <c r="G42" s="95">
        <f t="shared" si="2"/>
        <v>15.786548480423848</v>
      </c>
      <c r="H42" s="95"/>
      <c r="J42">
        <v>2037</v>
      </c>
      <c r="K42" s="143">
        <v>2052798.7421875</v>
      </c>
      <c r="L42" s="143">
        <v>2037401.7890625</v>
      </c>
      <c r="M42" s="143">
        <v>2052798.7421875</v>
      </c>
      <c r="N42" s="66">
        <v>126705.316478729</v>
      </c>
      <c r="O42" s="193">
        <f t="shared" si="3"/>
        <v>16.201362336142534</v>
      </c>
      <c r="P42" s="8">
        <f t="shared" si="4"/>
        <v>16.079844521792694</v>
      </c>
      <c r="Q42">
        <v>2037</v>
      </c>
      <c r="R42">
        <v>1586212.8984375</v>
      </c>
      <c r="S42">
        <v>1574674.7265625</v>
      </c>
      <c r="T42">
        <v>1586212.8984375</v>
      </c>
      <c r="U42">
        <v>99282.9863376617</v>
      </c>
    </row>
    <row r="43" spans="2:21" x14ac:dyDescent="0.25">
      <c r="B43">
        <v>2038</v>
      </c>
      <c r="C43" s="69">
        <v>1763971.515625</v>
      </c>
      <c r="D43" s="69">
        <v>1763971.515625</v>
      </c>
      <c r="E43" s="69">
        <v>1763971.515625</v>
      </c>
      <c r="F43" s="66">
        <v>109244.624848366</v>
      </c>
      <c r="G43" s="95">
        <f t="shared" si="2"/>
        <v>16.146986802082321</v>
      </c>
      <c r="H43" s="95"/>
      <c r="J43">
        <v>2038</v>
      </c>
      <c r="K43" s="143">
        <v>2150558.609375</v>
      </c>
      <c r="L43" s="143">
        <v>2135160.328125</v>
      </c>
      <c r="M43" s="143">
        <v>2150558.609375</v>
      </c>
      <c r="N43" s="66">
        <v>127432.830777168</v>
      </c>
      <c r="O43" s="193">
        <f t="shared" si="3"/>
        <v>16.876016927972955</v>
      </c>
      <c r="P43" s="8">
        <f t="shared" si="4"/>
        <v>16.755182436923111</v>
      </c>
      <c r="Q43">
        <v>2038</v>
      </c>
      <c r="R43">
        <v>1615132.53125</v>
      </c>
      <c r="S43">
        <v>1603517.46875</v>
      </c>
      <c r="T43">
        <v>1615132.53125</v>
      </c>
      <c r="U43">
        <v>99109.981493949905</v>
      </c>
    </row>
    <row r="44" spans="2:21" x14ac:dyDescent="0.25">
      <c r="B44">
        <v>2039</v>
      </c>
      <c r="C44" s="69">
        <v>1866576.1171875</v>
      </c>
      <c r="D44" s="69">
        <v>1866576.1171875</v>
      </c>
      <c r="E44" s="69">
        <v>1866576.1171875</v>
      </c>
      <c r="F44" s="66">
        <v>110795.403493404</v>
      </c>
      <c r="G44" s="95">
        <f t="shared" si="2"/>
        <v>16.84705374351223</v>
      </c>
      <c r="H44" s="95"/>
      <c r="J44">
        <v>2039</v>
      </c>
      <c r="K44" s="143">
        <v>2303459.109375</v>
      </c>
      <c r="L44" s="143">
        <v>2288115.234375</v>
      </c>
      <c r="M44" s="143">
        <v>2303459.109375</v>
      </c>
      <c r="N44" s="66">
        <v>128959.522138596</v>
      </c>
      <c r="O44" s="193">
        <f t="shared" si="3"/>
        <v>17.861876898856799</v>
      </c>
      <c r="P44" s="8">
        <f t="shared" si="4"/>
        <v>17.742894796988359</v>
      </c>
      <c r="Q44">
        <v>2039</v>
      </c>
      <c r="R44">
        <v>1704859.9375</v>
      </c>
      <c r="S44">
        <v>1693228.828125</v>
      </c>
      <c r="T44">
        <v>1704859.9375</v>
      </c>
      <c r="U44">
        <v>100159.702450275</v>
      </c>
    </row>
    <row r="45" spans="2:21" x14ac:dyDescent="0.25">
      <c r="B45">
        <v>2040</v>
      </c>
      <c r="C45" s="69">
        <v>1984350.84375</v>
      </c>
      <c r="D45" s="69">
        <v>1984350.84375</v>
      </c>
      <c r="E45" s="69">
        <v>1984350.84375</v>
      </c>
      <c r="F45" s="66">
        <v>112631.760371208</v>
      </c>
      <c r="G45" s="95">
        <f t="shared" si="2"/>
        <v>17.61803986024939</v>
      </c>
      <c r="H45" s="95"/>
      <c r="J45">
        <v>2040</v>
      </c>
      <c r="K45" s="143">
        <v>2482938.5078125</v>
      </c>
      <c r="L45" s="143">
        <v>2468242.984375</v>
      </c>
      <c r="M45" s="143">
        <v>2482938.5078125</v>
      </c>
      <c r="N45" s="66">
        <v>131433.43822574601</v>
      </c>
      <c r="O45" s="193">
        <f t="shared" si="3"/>
        <v>18.891223887393721</v>
      </c>
      <c r="P45" s="8">
        <f t="shared" si="4"/>
        <v>18.779414262416402</v>
      </c>
      <c r="Q45">
        <v>2040</v>
      </c>
      <c r="R45">
        <v>1806423.40625</v>
      </c>
      <c r="S45">
        <v>1794741.6640625</v>
      </c>
      <c r="T45">
        <v>1806423.40625</v>
      </c>
      <c r="U45">
        <v>101495.771717072</v>
      </c>
    </row>
    <row r="46" spans="2:21" x14ac:dyDescent="0.25">
      <c r="B46">
        <v>2041</v>
      </c>
      <c r="C46" s="69">
        <v>2098614.3125</v>
      </c>
      <c r="D46" s="69">
        <v>2098614.3125</v>
      </c>
      <c r="E46" s="69">
        <v>2098614.3125</v>
      </c>
      <c r="F46" s="66">
        <v>112943.98334074</v>
      </c>
      <c r="G46" s="95">
        <f t="shared" si="2"/>
        <v>18.581019107221529</v>
      </c>
      <c r="H46" s="95"/>
      <c r="J46">
        <v>2041</v>
      </c>
      <c r="K46" s="143">
        <v>2584798.3125</v>
      </c>
      <c r="L46" s="143">
        <v>2574817.5</v>
      </c>
      <c r="M46" s="143">
        <v>2584798.3125</v>
      </c>
      <c r="N46" s="66">
        <v>131773.18614005999</v>
      </c>
      <c r="O46" s="193">
        <f t="shared" si="3"/>
        <v>19.615510470792227</v>
      </c>
      <c r="P46" s="8">
        <f t="shared" si="4"/>
        <v>19.539768107779228</v>
      </c>
      <c r="Q46">
        <v>2041</v>
      </c>
      <c r="R46">
        <v>1889595.3203125</v>
      </c>
      <c r="S46">
        <v>1877796.1015625</v>
      </c>
      <c r="T46">
        <v>1889595.3203125</v>
      </c>
      <c r="U46">
        <v>101308.760390282</v>
      </c>
    </row>
    <row r="47" spans="2:21" ht="15.75" thickBot="1" x14ac:dyDescent="0.3">
      <c r="D47" s="140">
        <f>NPV(0.068,D27:D46)/1000000</f>
        <v>13.153191113936787</v>
      </c>
      <c r="E47" s="140">
        <f>NPV(0.068,E27:E46)/1000000</f>
        <v>13.153191113936787</v>
      </c>
      <c r="F47" t="s">
        <v>97</v>
      </c>
      <c r="G47" s="93">
        <f>NPV(0.068,G27:G46)</f>
        <v>126.72494311648445</v>
      </c>
      <c r="H47" s="93"/>
      <c r="M47" s="140">
        <f>NPV(0.068,M27:M46)/1000000</f>
        <v>15.757361582390306</v>
      </c>
      <c r="N47" s="92" t="s">
        <v>97</v>
      </c>
      <c r="T47" s="140">
        <f>NPV(0.068,T27:T46)/1000000</f>
        <v>12.671156390406319</v>
      </c>
      <c r="U47" t="s">
        <v>126</v>
      </c>
    </row>
    <row r="48" spans="2:21" ht="15.75" thickBot="1" x14ac:dyDescent="0.3">
      <c r="C48" s="92"/>
      <c r="D48" s="145" t="s">
        <v>114</v>
      </c>
      <c r="E48" s="146">
        <f>(E47-E23)</f>
        <v>0.49305566746610374</v>
      </c>
      <c r="F48" t="s">
        <v>97</v>
      </c>
      <c r="M48" s="92">
        <f>(M47-$E$23)</f>
        <v>3.0972261359196231</v>
      </c>
      <c r="N48" s="92" t="s">
        <v>112</v>
      </c>
      <c r="T48" s="92">
        <f>(T47-E23)</f>
        <v>1.1020943935635685E-2</v>
      </c>
      <c r="U48" t="s">
        <v>127</v>
      </c>
    </row>
    <row r="49" spans="2:22" ht="15.75" thickBot="1" x14ac:dyDescent="0.3"/>
    <row r="50" spans="2:22" ht="15.75" thickBot="1" x14ac:dyDescent="0.3">
      <c r="B50" s="135" t="s">
        <v>118</v>
      </c>
      <c r="C50" s="136"/>
      <c r="D50" s="142" t="s">
        <v>119</v>
      </c>
      <c r="E50" s="137"/>
      <c r="F50" s="137"/>
      <c r="G50" s="163" t="s">
        <v>109</v>
      </c>
      <c r="J50" s="135" t="s">
        <v>166</v>
      </c>
      <c r="K50" s="138"/>
      <c r="L50" s="144" t="s">
        <v>113</v>
      </c>
      <c r="M50" s="138"/>
      <c r="N50" s="138"/>
      <c r="O50" s="163" t="s">
        <v>111</v>
      </c>
      <c r="Q50" s="135" t="s">
        <v>167</v>
      </c>
      <c r="R50" s="136"/>
      <c r="S50" s="243" t="s">
        <v>163</v>
      </c>
      <c r="T50" s="137"/>
      <c r="U50" s="137"/>
      <c r="V50" s="163" t="s">
        <v>164</v>
      </c>
    </row>
    <row r="51" spans="2:22" x14ac:dyDescent="0.25">
      <c r="B51" t="s">
        <v>74</v>
      </c>
      <c r="C51" t="s">
        <v>78</v>
      </c>
      <c r="D51" s="141"/>
      <c r="E51" t="s">
        <v>80</v>
      </c>
      <c r="F51" t="s">
        <v>98</v>
      </c>
      <c r="G51" s="8"/>
      <c r="J51" t="s">
        <v>74</v>
      </c>
      <c r="K51" t="s">
        <v>78</v>
      </c>
      <c r="L51" t="s">
        <v>79</v>
      </c>
      <c r="M51" t="s">
        <v>80</v>
      </c>
      <c r="N51" t="s">
        <v>98</v>
      </c>
      <c r="Q51" t="s">
        <v>74</v>
      </c>
      <c r="R51" t="s">
        <v>78</v>
      </c>
      <c r="S51" t="s">
        <v>79</v>
      </c>
      <c r="T51" t="s">
        <v>80</v>
      </c>
      <c r="U51" t="s">
        <v>98</v>
      </c>
      <c r="V51" t="s">
        <v>99</v>
      </c>
    </row>
    <row r="52" spans="2:22" x14ac:dyDescent="0.25">
      <c r="B52">
        <v>2022</v>
      </c>
      <c r="C52" s="143">
        <v>342217.775390625</v>
      </c>
      <c r="D52" s="143">
        <v>340127.244140625</v>
      </c>
      <c r="E52" s="143">
        <v>342217.775390625</v>
      </c>
      <c r="F52" s="66">
        <v>95601.914877891497</v>
      </c>
      <c r="G52" s="8"/>
      <c r="H52" s="131"/>
      <c r="J52">
        <v>2022</v>
      </c>
      <c r="K52" s="69">
        <v>1060029.61328125</v>
      </c>
      <c r="L52" s="69">
        <v>1044363.84765625</v>
      </c>
      <c r="M52" s="69">
        <v>1060029.61328125</v>
      </c>
      <c r="N52" s="66">
        <v>109445.700367928</v>
      </c>
      <c r="O52" s="95">
        <f>M52/N52</f>
        <v>9.6854386213227741</v>
      </c>
      <c r="P52">
        <f>L52/N52</f>
        <v>9.5423012886332685</v>
      </c>
      <c r="Q52">
        <v>2022</v>
      </c>
      <c r="R52" s="69">
        <v>861790.42578125</v>
      </c>
      <c r="S52" s="69">
        <v>846152.0546875</v>
      </c>
      <c r="T52" s="69">
        <v>861790.42578125</v>
      </c>
      <c r="U52" s="66">
        <v>88851.706302642793</v>
      </c>
    </row>
    <row r="53" spans="2:22" x14ac:dyDescent="0.25">
      <c r="B53">
        <v>2023</v>
      </c>
      <c r="C53" s="143">
        <v>315632.55078125</v>
      </c>
      <c r="D53" s="143">
        <v>313510.98828125</v>
      </c>
      <c r="E53" s="143">
        <v>315632.55078125</v>
      </c>
      <c r="F53" s="66">
        <v>96951.491495132403</v>
      </c>
      <c r="H53" s="131"/>
      <c r="J53">
        <v>2023</v>
      </c>
      <c r="K53" s="69">
        <v>1025462.22265625</v>
      </c>
      <c r="L53" s="69">
        <v>1007848.51953125</v>
      </c>
      <c r="M53" s="69">
        <v>1025462.22265625</v>
      </c>
      <c r="N53" s="66">
        <v>111781.37309455901</v>
      </c>
      <c r="O53" s="95">
        <f t="shared" ref="O53:O71" si="5">M53/N53</f>
        <v>9.1738202373733824</v>
      </c>
      <c r="P53">
        <f t="shared" ref="P53:P71" si="6">L53/N53</f>
        <v>9.0162474447212464</v>
      </c>
      <c r="Q53">
        <v>2023</v>
      </c>
      <c r="R53" s="69">
        <v>826998.9765625</v>
      </c>
      <c r="S53" s="69">
        <v>809411.73046875</v>
      </c>
      <c r="T53" s="69">
        <v>826998.9765625</v>
      </c>
      <c r="U53" s="66">
        <v>89298.121644496903</v>
      </c>
    </row>
    <row r="54" spans="2:22" x14ac:dyDescent="0.25">
      <c r="B54">
        <v>2024</v>
      </c>
      <c r="C54" s="143">
        <v>319207.873046875</v>
      </c>
      <c r="D54" s="143">
        <v>317065.66015625</v>
      </c>
      <c r="E54" s="143">
        <v>319207.873046875</v>
      </c>
      <c r="F54" s="66">
        <v>98631.812488555894</v>
      </c>
      <c r="H54" s="131"/>
      <c r="J54">
        <v>2024</v>
      </c>
      <c r="K54" s="69">
        <v>1064351.64453125</v>
      </c>
      <c r="L54" s="69">
        <v>1045371.42578125</v>
      </c>
      <c r="M54" s="69">
        <v>1064351.64453125</v>
      </c>
      <c r="N54" s="66">
        <v>115646.125735283</v>
      </c>
      <c r="O54" s="95">
        <f t="shared" si="5"/>
        <v>9.2035218453195622</v>
      </c>
      <c r="P54">
        <f t="shared" si="6"/>
        <v>9.0393985888825412</v>
      </c>
      <c r="Q54">
        <v>2024</v>
      </c>
      <c r="R54" s="69">
        <v>854628.25390625</v>
      </c>
      <c r="S54" s="69">
        <v>835673.4609375</v>
      </c>
      <c r="T54" s="69">
        <v>854628.25390625</v>
      </c>
      <c r="U54" s="66">
        <v>90074.258517742201</v>
      </c>
    </row>
    <row r="55" spans="2:22" x14ac:dyDescent="0.25">
      <c r="B55">
        <v>2025</v>
      </c>
      <c r="C55" s="143">
        <v>314083.380859375</v>
      </c>
      <c r="D55" s="143">
        <v>311929.29394531302</v>
      </c>
      <c r="E55" s="143">
        <v>314083.380859375</v>
      </c>
      <c r="F55" s="66">
        <v>98516.880315780596</v>
      </c>
      <c r="H55" s="131"/>
      <c r="J55">
        <v>2025</v>
      </c>
      <c r="K55" s="69">
        <v>1116588.828125</v>
      </c>
      <c r="L55" s="69">
        <v>1096267.8203125</v>
      </c>
      <c r="M55" s="69">
        <v>1116588.828125</v>
      </c>
      <c r="N55" s="66">
        <v>116626.579522133</v>
      </c>
      <c r="O55" s="95">
        <f t="shared" si="5"/>
        <v>9.5740510670905632</v>
      </c>
      <c r="P55">
        <f t="shared" si="6"/>
        <v>9.3998111305704022</v>
      </c>
      <c r="Q55">
        <v>2025</v>
      </c>
      <c r="R55" s="69">
        <v>879010.7109375</v>
      </c>
      <c r="S55" s="69">
        <v>858713.65234375</v>
      </c>
      <c r="T55" s="69">
        <v>879010.7109375</v>
      </c>
      <c r="U55" s="66">
        <v>89466.426282405897</v>
      </c>
    </row>
    <row r="56" spans="2:22" x14ac:dyDescent="0.25">
      <c r="B56">
        <v>2026</v>
      </c>
      <c r="C56" s="143">
        <v>315828.5546875</v>
      </c>
      <c r="D56" s="143">
        <v>313650.6796875</v>
      </c>
      <c r="E56" s="143">
        <v>315828.5546875</v>
      </c>
      <c r="F56" s="66">
        <v>98341.133734703093</v>
      </c>
      <c r="H56" s="131"/>
      <c r="J56">
        <v>2026</v>
      </c>
      <c r="K56" s="69">
        <v>1167254.44921875</v>
      </c>
      <c r="L56" s="69">
        <v>1145734.3515625</v>
      </c>
      <c r="M56" s="69">
        <v>1167254.44921875</v>
      </c>
      <c r="N56" s="66">
        <v>116849.979909897</v>
      </c>
      <c r="O56" s="95">
        <f t="shared" si="5"/>
        <v>9.9893423184053578</v>
      </c>
      <c r="P56">
        <f t="shared" si="6"/>
        <v>9.8051737145866493</v>
      </c>
      <c r="Q56">
        <v>2026</v>
      </c>
      <c r="R56" s="69">
        <v>927062.57421875</v>
      </c>
      <c r="S56" s="69">
        <v>905565.5078125</v>
      </c>
      <c r="T56" s="69">
        <v>927062.57421875</v>
      </c>
      <c r="U56" s="66">
        <v>88822.102437972993</v>
      </c>
    </row>
    <row r="57" spans="2:22" x14ac:dyDescent="0.25">
      <c r="B57">
        <v>2027</v>
      </c>
      <c r="C57" s="143">
        <v>341014.814453125</v>
      </c>
      <c r="D57" s="143">
        <v>338811.9765625</v>
      </c>
      <c r="E57" s="143">
        <v>341014.814453125</v>
      </c>
      <c r="F57" s="66">
        <v>98995.041500091596</v>
      </c>
      <c r="H57" s="131"/>
      <c r="J57">
        <v>2027</v>
      </c>
      <c r="K57" s="69">
        <v>1233984.7890625</v>
      </c>
      <c r="L57" s="69">
        <v>1211252.16015625</v>
      </c>
      <c r="M57" s="69">
        <v>1233984.7890625</v>
      </c>
      <c r="N57" s="66">
        <v>117773.573679924</v>
      </c>
      <c r="O57" s="95">
        <f t="shared" si="5"/>
        <v>10.47760334093393</v>
      </c>
      <c r="P57">
        <f t="shared" si="6"/>
        <v>10.284583564120236</v>
      </c>
      <c r="Q57">
        <v>2027</v>
      </c>
      <c r="R57" s="69">
        <v>941038.64453125</v>
      </c>
      <c r="S57" s="69">
        <v>918328.12109375</v>
      </c>
      <c r="T57" s="69">
        <v>941038.64453125</v>
      </c>
      <c r="U57" s="66">
        <v>88449.947732448607</v>
      </c>
    </row>
    <row r="58" spans="2:22" x14ac:dyDescent="0.25">
      <c r="B58">
        <v>2028</v>
      </c>
      <c r="C58" s="143">
        <v>379036.583984375</v>
      </c>
      <c r="D58" s="143">
        <v>376821.70703125</v>
      </c>
      <c r="E58" s="143">
        <v>379036.583984375</v>
      </c>
      <c r="F58" s="66">
        <v>99986.172975540205</v>
      </c>
      <c r="H58" s="131"/>
      <c r="J58">
        <v>2028</v>
      </c>
      <c r="K58" s="69">
        <v>1320008.015625</v>
      </c>
      <c r="L58" s="69">
        <v>1296046.9765625</v>
      </c>
      <c r="M58" s="69">
        <v>1320008.015625</v>
      </c>
      <c r="N58" s="66">
        <v>119872.74988555899</v>
      </c>
      <c r="O58" s="95">
        <f t="shared" si="5"/>
        <v>11.01174384407795</v>
      </c>
      <c r="P58">
        <f t="shared" si="6"/>
        <v>10.811856554553222</v>
      </c>
      <c r="Q58">
        <v>2028</v>
      </c>
      <c r="R58" s="69">
        <v>980583.796875</v>
      </c>
      <c r="S58" s="69">
        <v>956643.98046875</v>
      </c>
      <c r="T58" s="69">
        <v>980583.796875</v>
      </c>
      <c r="U58" s="66">
        <v>88424.827956199602</v>
      </c>
    </row>
    <row r="59" spans="2:22" x14ac:dyDescent="0.25">
      <c r="B59">
        <v>2029</v>
      </c>
      <c r="C59" s="143">
        <v>384046.357421875</v>
      </c>
      <c r="D59" s="143">
        <v>381830.33984375</v>
      </c>
      <c r="E59" s="143">
        <v>384046.357421875</v>
      </c>
      <c r="F59" s="66">
        <v>99494.781924247698</v>
      </c>
      <c r="H59" s="131"/>
      <c r="J59">
        <v>2029</v>
      </c>
      <c r="K59" s="69">
        <v>1377914.59375</v>
      </c>
      <c r="L59" s="69">
        <v>1352996.140625</v>
      </c>
      <c r="M59" s="69">
        <v>1377914.59375</v>
      </c>
      <c r="N59" s="66">
        <v>119558.879184723</v>
      </c>
      <c r="O59" s="95">
        <f t="shared" si="5"/>
        <v>11.524987547106976</v>
      </c>
      <c r="P59">
        <f t="shared" si="6"/>
        <v>11.316567617989875</v>
      </c>
      <c r="Q59">
        <v>2029</v>
      </c>
      <c r="R59" s="69">
        <v>997006.8828125</v>
      </c>
      <c r="S59" s="69">
        <v>972108.6953125</v>
      </c>
      <c r="T59" s="69">
        <v>997006.8828125</v>
      </c>
      <c r="U59" s="66">
        <v>87362.571488857298</v>
      </c>
    </row>
    <row r="60" spans="2:22" x14ac:dyDescent="0.25">
      <c r="B60">
        <v>2030</v>
      </c>
      <c r="C60" s="143">
        <v>392893.48046875</v>
      </c>
      <c r="D60" s="143">
        <v>390662.525390625</v>
      </c>
      <c r="E60" s="143">
        <v>392893.48046875</v>
      </c>
      <c r="F60" s="66">
        <v>99362.865625381499</v>
      </c>
      <c r="H60" s="131"/>
      <c r="J60">
        <v>2030</v>
      </c>
      <c r="K60" s="69">
        <v>1428913.640625</v>
      </c>
      <c r="L60" s="69">
        <v>1403079.9296875</v>
      </c>
      <c r="M60" s="69">
        <v>1428913.640625</v>
      </c>
      <c r="N60" s="66">
        <v>119742.712218285</v>
      </c>
      <c r="O60" s="95">
        <f t="shared" si="5"/>
        <v>11.933199224852713</v>
      </c>
      <c r="P60">
        <f t="shared" si="6"/>
        <v>11.717455732335136</v>
      </c>
      <c r="Q60">
        <v>2030</v>
      </c>
      <c r="R60" s="69">
        <v>1043987.13671875</v>
      </c>
      <c r="S60" s="69">
        <v>1018172.78515625</v>
      </c>
      <c r="T60" s="69">
        <v>1043987.13671875</v>
      </c>
      <c r="U60" s="66">
        <v>86686.234818458601</v>
      </c>
    </row>
    <row r="61" spans="2:22" x14ac:dyDescent="0.25">
      <c r="B61">
        <v>2031</v>
      </c>
      <c r="C61" s="143">
        <v>413902.341796875</v>
      </c>
      <c r="D61" s="143">
        <v>411659.1796875</v>
      </c>
      <c r="E61" s="143">
        <v>413902.341796875</v>
      </c>
      <c r="F61" s="66">
        <v>100379.77906703899</v>
      </c>
      <c r="H61" s="131"/>
      <c r="J61">
        <v>2031</v>
      </c>
      <c r="K61" s="69">
        <v>1497199.46875</v>
      </c>
      <c r="L61" s="69">
        <v>1470487.9453125</v>
      </c>
      <c r="M61" s="69">
        <v>1497199.46875</v>
      </c>
      <c r="N61" s="66">
        <v>121337.334817886</v>
      </c>
      <c r="O61" s="95">
        <f t="shared" si="5"/>
        <v>12.339149125016894</v>
      </c>
      <c r="P61">
        <f t="shared" si="6"/>
        <v>12.11900646671975</v>
      </c>
      <c r="Q61">
        <v>2031</v>
      </c>
      <c r="R61" s="69">
        <v>1076966.6796875</v>
      </c>
      <c r="S61" s="69">
        <v>1050273.45703125</v>
      </c>
      <c r="T61" s="69">
        <v>1076966.6796875</v>
      </c>
      <c r="U61" s="66">
        <v>86580.2416758537</v>
      </c>
    </row>
    <row r="62" spans="2:22" x14ac:dyDescent="0.25">
      <c r="B62">
        <v>2032</v>
      </c>
      <c r="C62" s="143">
        <v>439653.30078125</v>
      </c>
      <c r="D62" s="143">
        <v>439420.83203125</v>
      </c>
      <c r="E62" s="143">
        <v>439653.30078125</v>
      </c>
      <c r="F62" s="66">
        <v>101664.527812004</v>
      </c>
      <c r="H62" s="131"/>
      <c r="J62">
        <v>2032</v>
      </c>
      <c r="K62" s="69">
        <v>1581274.46875</v>
      </c>
      <c r="L62" s="69">
        <v>1566912.328125</v>
      </c>
      <c r="M62" s="69">
        <v>1581274.46875</v>
      </c>
      <c r="N62" s="66">
        <v>123502.22955894499</v>
      </c>
      <c r="O62" s="95">
        <f t="shared" si="5"/>
        <v>12.80361070724874</v>
      </c>
      <c r="P62">
        <f t="shared" si="6"/>
        <v>12.687320170014793</v>
      </c>
      <c r="Q62">
        <v>2032</v>
      </c>
      <c r="R62" s="69">
        <v>1118807.03515625</v>
      </c>
      <c r="S62" s="69">
        <v>1104446.32421875</v>
      </c>
      <c r="T62" s="69">
        <v>1118807.03515625</v>
      </c>
      <c r="U62" s="66">
        <v>86827.444373607606</v>
      </c>
    </row>
    <row r="63" spans="2:22" x14ac:dyDescent="0.25">
      <c r="B63">
        <v>2033</v>
      </c>
      <c r="C63" s="143">
        <v>480421.130859375</v>
      </c>
      <c r="D63" s="143">
        <v>480177.544921875</v>
      </c>
      <c r="E63" s="143">
        <v>480421.130859375</v>
      </c>
      <c r="F63" s="66">
        <v>101487.717556477</v>
      </c>
      <c r="H63" s="131"/>
      <c r="J63">
        <v>2033</v>
      </c>
      <c r="K63" s="69">
        <v>1658182.6953125</v>
      </c>
      <c r="L63" s="69">
        <v>1643346.0546875</v>
      </c>
      <c r="M63" s="69">
        <v>1658182.6953125</v>
      </c>
      <c r="N63" s="66">
        <v>123353.65679264101</v>
      </c>
      <c r="O63" s="95">
        <f t="shared" si="5"/>
        <v>13.44250943528918</v>
      </c>
      <c r="P63">
        <f t="shared" si="6"/>
        <v>13.322232169006426</v>
      </c>
      <c r="Q63">
        <v>2033</v>
      </c>
      <c r="R63" s="69">
        <v>1171065.66015625</v>
      </c>
      <c r="S63" s="69">
        <v>1156230.38671875</v>
      </c>
      <c r="T63" s="69">
        <v>1171065.66015625</v>
      </c>
      <c r="U63" s="66">
        <v>86181.976086139694</v>
      </c>
    </row>
    <row r="64" spans="2:22" x14ac:dyDescent="0.25">
      <c r="B64">
        <v>2034</v>
      </c>
      <c r="C64" s="143">
        <v>500151.43359375</v>
      </c>
      <c r="D64" s="143">
        <v>499902.6015625</v>
      </c>
      <c r="E64" s="143">
        <v>500151.43359375</v>
      </c>
      <c r="F64" s="66">
        <v>101615.60275125501</v>
      </c>
      <c r="H64" s="131"/>
      <c r="J64">
        <v>2034</v>
      </c>
      <c r="K64" s="69">
        <v>1731229.5234375</v>
      </c>
      <c r="L64" s="69">
        <v>1716061.9921875</v>
      </c>
      <c r="M64" s="69">
        <v>1731229.5234375</v>
      </c>
      <c r="N64" s="66">
        <v>122362.15060997001</v>
      </c>
      <c r="O64" s="95">
        <f t="shared" si="5"/>
        <v>14.148407124322317</v>
      </c>
      <c r="P64">
        <f t="shared" si="6"/>
        <v>14.024451054782917</v>
      </c>
      <c r="Q64">
        <v>2034</v>
      </c>
      <c r="R64" s="69">
        <v>1214107.73046875</v>
      </c>
      <c r="S64" s="69">
        <v>1198941.50390625</v>
      </c>
      <c r="T64" s="69">
        <v>1214107.73046875</v>
      </c>
      <c r="U64" s="66">
        <v>85875.344411373095</v>
      </c>
    </row>
    <row r="65" spans="2:21" x14ac:dyDescent="0.25">
      <c r="B65">
        <v>2035</v>
      </c>
      <c r="C65" s="143">
        <v>530709.509765625</v>
      </c>
      <c r="D65" s="143">
        <v>530455.251953125</v>
      </c>
      <c r="E65" s="143">
        <v>530709.509765625</v>
      </c>
      <c r="F65" s="66">
        <v>102779.846933365</v>
      </c>
      <c r="H65" s="131"/>
      <c r="J65">
        <v>2035</v>
      </c>
      <c r="K65" s="69">
        <v>1828714.9609375</v>
      </c>
      <c r="L65" s="69">
        <v>1813411.9765625</v>
      </c>
      <c r="M65" s="69">
        <v>1828714.9609375</v>
      </c>
      <c r="N65" s="66">
        <v>124080.736984253</v>
      </c>
      <c r="O65" s="95">
        <f t="shared" si="5"/>
        <v>14.738105248114225</v>
      </c>
      <c r="P65">
        <f t="shared" si="6"/>
        <v>14.614774385105713</v>
      </c>
      <c r="Q65">
        <v>2035</v>
      </c>
      <c r="R65" s="69">
        <v>1266346.484375</v>
      </c>
      <c r="S65" s="69">
        <v>1251044.73828125</v>
      </c>
      <c r="T65" s="69">
        <v>1266346.484375</v>
      </c>
      <c r="U65" s="66">
        <v>86012.727868080096</v>
      </c>
    </row>
    <row r="66" spans="2:21" x14ac:dyDescent="0.25">
      <c r="B66">
        <v>2036</v>
      </c>
      <c r="C66" s="143">
        <v>571566.169921875</v>
      </c>
      <c r="D66" s="143">
        <v>571337.7109375</v>
      </c>
      <c r="E66" s="143">
        <v>571566.169921875</v>
      </c>
      <c r="F66" s="66">
        <v>104199.40804862999</v>
      </c>
      <c r="H66" s="131"/>
      <c r="J66">
        <v>2036</v>
      </c>
      <c r="K66" s="69">
        <v>1974643.21875</v>
      </c>
      <c r="L66" s="69">
        <v>1959311.7421875</v>
      </c>
      <c r="M66" s="69">
        <v>1974643.21875</v>
      </c>
      <c r="N66" s="66">
        <v>126697.31034183499</v>
      </c>
      <c r="O66" s="95">
        <f t="shared" si="5"/>
        <v>15.585518062082963</v>
      </c>
      <c r="P66">
        <f t="shared" si="6"/>
        <v>15.464509364099282</v>
      </c>
      <c r="Q66">
        <v>2036</v>
      </c>
      <c r="R66" s="69">
        <v>1330907.265625</v>
      </c>
      <c r="S66" s="69">
        <v>1315576.9453125</v>
      </c>
      <c r="T66" s="69">
        <v>1330907.265625</v>
      </c>
      <c r="U66" s="66">
        <v>86426.600112914995</v>
      </c>
    </row>
    <row r="67" spans="2:21" x14ac:dyDescent="0.25">
      <c r="B67">
        <v>2037</v>
      </c>
      <c r="C67" s="143">
        <v>587560.05078125</v>
      </c>
      <c r="D67" s="143">
        <v>587335.20703125</v>
      </c>
      <c r="E67" s="143">
        <v>587560.05078125</v>
      </c>
      <c r="F67" s="66">
        <v>103942.00125169801</v>
      </c>
      <c r="H67" s="131"/>
      <c r="J67">
        <v>2037</v>
      </c>
      <c r="K67" s="69">
        <v>2052597.453125</v>
      </c>
      <c r="L67" s="69">
        <v>2037200.5</v>
      </c>
      <c r="M67" s="69">
        <v>2052597.453125</v>
      </c>
      <c r="N67" s="66">
        <v>126705.316478729</v>
      </c>
      <c r="O67" s="95">
        <f t="shared" si="5"/>
        <v>16.199773696706604</v>
      </c>
      <c r="P67">
        <f t="shared" si="6"/>
        <v>16.078255882356764</v>
      </c>
      <c r="Q67">
        <v>2037</v>
      </c>
      <c r="R67" s="69">
        <v>1383676.9296875</v>
      </c>
      <c r="S67" s="69">
        <v>1368281.0234375</v>
      </c>
      <c r="T67" s="69">
        <v>1383676.9296875</v>
      </c>
      <c r="U67" s="66">
        <v>85690.2197408676</v>
      </c>
    </row>
    <row r="68" spans="2:21" x14ac:dyDescent="0.25">
      <c r="B68">
        <v>2038</v>
      </c>
      <c r="C68" s="143">
        <v>605259.552734375</v>
      </c>
      <c r="D68" s="143">
        <v>605041.099609375</v>
      </c>
      <c r="E68" s="143">
        <v>605259.552734375</v>
      </c>
      <c r="F68" s="66">
        <v>103984.346640587</v>
      </c>
      <c r="H68" s="131"/>
      <c r="J68">
        <v>2038</v>
      </c>
      <c r="K68" s="69">
        <v>2150224.34375</v>
      </c>
      <c r="L68" s="69">
        <v>2134826.0625</v>
      </c>
      <c r="M68" s="69">
        <v>2150224.34375</v>
      </c>
      <c r="N68" s="66">
        <v>127432.830777168</v>
      </c>
      <c r="O68" s="95">
        <f t="shared" si="5"/>
        <v>16.873393854915868</v>
      </c>
      <c r="P68">
        <f t="shared" si="6"/>
        <v>16.752559363866023</v>
      </c>
      <c r="Q68">
        <v>2038</v>
      </c>
      <c r="R68" s="69">
        <v>1410527.50390625</v>
      </c>
      <c r="S68" s="69">
        <v>1395130.171875</v>
      </c>
      <c r="T68" s="69">
        <v>1410527.50390625</v>
      </c>
      <c r="U68" s="66">
        <v>85291.881402969404</v>
      </c>
    </row>
    <row r="69" spans="2:21" x14ac:dyDescent="0.25">
      <c r="B69">
        <v>2039</v>
      </c>
      <c r="C69" s="143">
        <v>635372.15625</v>
      </c>
      <c r="D69" s="143">
        <v>635160.61328125</v>
      </c>
      <c r="E69" s="143">
        <v>635372.15625</v>
      </c>
      <c r="F69" s="66">
        <v>105249.79297351799</v>
      </c>
      <c r="H69" s="131"/>
      <c r="J69">
        <v>2039</v>
      </c>
      <c r="K69" s="69">
        <v>2303256.4375</v>
      </c>
      <c r="L69" s="69">
        <v>2287912.5625</v>
      </c>
      <c r="M69" s="69">
        <v>2303256.4375</v>
      </c>
      <c r="N69" s="66">
        <v>128959.522138596</v>
      </c>
      <c r="O69" s="95">
        <f t="shared" si="5"/>
        <v>17.860305305913222</v>
      </c>
      <c r="P69">
        <f t="shared" si="6"/>
        <v>17.741323204044782</v>
      </c>
      <c r="Q69">
        <v>2039</v>
      </c>
      <c r="R69" s="69">
        <v>1470803.0625</v>
      </c>
      <c r="S69" s="69">
        <v>1455459.765625</v>
      </c>
      <c r="T69" s="69">
        <v>1470803.0625</v>
      </c>
      <c r="U69" s="66">
        <v>85502.609402179703</v>
      </c>
    </row>
    <row r="70" spans="2:21" x14ac:dyDescent="0.25">
      <c r="B70">
        <v>2040</v>
      </c>
      <c r="C70" s="143">
        <v>693628.595703125</v>
      </c>
      <c r="D70" s="143">
        <v>693418.431640625</v>
      </c>
      <c r="E70" s="143">
        <v>693628.595703125</v>
      </c>
      <c r="F70" s="66">
        <v>106801.951729298</v>
      </c>
      <c r="H70" s="131"/>
      <c r="J70">
        <v>2040</v>
      </c>
      <c r="K70" s="69">
        <v>2481943.90625</v>
      </c>
      <c r="L70" s="69">
        <v>2467248.4296875</v>
      </c>
      <c r="M70" s="69">
        <v>2481943.90625</v>
      </c>
      <c r="N70" s="66">
        <v>131433.43822574601</v>
      </c>
      <c r="O70" s="95">
        <f t="shared" si="5"/>
        <v>18.883656547027933</v>
      </c>
      <c r="P70">
        <f t="shared" si="6"/>
        <v>18.771847278695017</v>
      </c>
      <c r="Q70">
        <v>2040</v>
      </c>
      <c r="R70" s="69">
        <v>1567147.8359375</v>
      </c>
      <c r="S70" s="69">
        <v>1552452.3671875</v>
      </c>
      <c r="T70" s="69">
        <v>1567147.8359375</v>
      </c>
      <c r="U70" s="66">
        <v>86026.049153804794</v>
      </c>
    </row>
    <row r="71" spans="2:21" x14ac:dyDescent="0.25">
      <c r="B71">
        <v>2041</v>
      </c>
      <c r="C71" s="143">
        <v>733754.08203125</v>
      </c>
      <c r="D71" s="143">
        <v>733539.927734375</v>
      </c>
      <c r="E71" s="143">
        <v>733754.08203125</v>
      </c>
      <c r="F71" s="66">
        <v>106832.44573163999</v>
      </c>
      <c r="H71" s="132"/>
      <c r="J71">
        <v>2041</v>
      </c>
      <c r="K71" s="69">
        <v>2583796.671875</v>
      </c>
      <c r="L71" s="69">
        <v>2573815.890625</v>
      </c>
      <c r="M71" s="69">
        <v>2583796.671875</v>
      </c>
      <c r="N71" s="66">
        <v>131773.18614005999</v>
      </c>
      <c r="O71" s="95">
        <f t="shared" si="5"/>
        <v>19.607909223115517</v>
      </c>
      <c r="P71">
        <f t="shared" si="6"/>
        <v>19.532167097252433</v>
      </c>
      <c r="Q71">
        <v>2041</v>
      </c>
      <c r="R71" s="69">
        <v>1582684.5546875</v>
      </c>
      <c r="S71" s="69">
        <v>1572703.8125</v>
      </c>
      <c r="T71" s="69">
        <v>1582684.5546875</v>
      </c>
      <c r="U71" s="66">
        <v>85619.722782134995</v>
      </c>
    </row>
    <row r="72" spans="2:21" x14ac:dyDescent="0.25">
      <c r="E72" s="140">
        <f>NPV(0.068,E52:E71)/1000000</f>
        <v>4.5167015628607663</v>
      </c>
      <c r="F72" s="92" t="s">
        <v>97</v>
      </c>
      <c r="M72" s="140">
        <f>NPV(0.068,M52:M71)/1000000</f>
        <v>15.756163931279156</v>
      </c>
      <c r="N72" s="92" t="s">
        <v>97</v>
      </c>
      <c r="T72" s="140">
        <f>NPV(0.068,T52:T71)/1000000</f>
        <v>11.411922868860538</v>
      </c>
      <c r="U72" s="92" t="s">
        <v>97</v>
      </c>
    </row>
    <row r="73" spans="2:21" x14ac:dyDescent="0.25">
      <c r="E73" s="92">
        <f>(E72-$E$23)</f>
        <v>-8.1434338836099158</v>
      </c>
      <c r="F73" s="92" t="s">
        <v>112</v>
      </c>
      <c r="H73" s="93"/>
      <c r="M73" s="92">
        <f>(M72-$E$23)</f>
        <v>3.0960284848084729</v>
      </c>
      <c r="N73" s="92" t="s">
        <v>112</v>
      </c>
      <c r="T73" s="92">
        <f>(T72-$E$23)</f>
        <v>-1.2482125776101451</v>
      </c>
      <c r="U73" s="92" t="s">
        <v>112</v>
      </c>
    </row>
    <row r="75" spans="2:21" ht="15.75" thickBot="1" x14ac:dyDescent="0.3">
      <c r="E75" s="93"/>
    </row>
    <row r="76" spans="2:21" ht="15.75" thickBot="1" x14ac:dyDescent="0.3">
      <c r="E76" s="97"/>
      <c r="J76" s="135" t="s">
        <v>165</v>
      </c>
      <c r="K76" s="136"/>
      <c r="L76" s="142" t="s">
        <v>147</v>
      </c>
      <c r="M76" s="137"/>
      <c r="N76" s="137"/>
      <c r="O76" s="163" t="s">
        <v>121</v>
      </c>
    </row>
    <row r="77" spans="2:21" x14ac:dyDescent="0.25">
      <c r="J77" t="s">
        <v>74</v>
      </c>
      <c r="K77" t="s">
        <v>78</v>
      </c>
      <c r="L77" s="141"/>
      <c r="M77" t="s">
        <v>80</v>
      </c>
      <c r="N77" t="s">
        <v>98</v>
      </c>
      <c r="O77" s="8"/>
    </row>
    <row r="78" spans="2:21" x14ac:dyDescent="0.25">
      <c r="J78">
        <v>2022</v>
      </c>
      <c r="K78" s="132">
        <v>814754.0078125</v>
      </c>
      <c r="L78" s="132">
        <v>799115.623046875</v>
      </c>
      <c r="M78" s="132">
        <v>814754.0078125</v>
      </c>
      <c r="N78" s="66">
        <v>81198.380507946</v>
      </c>
      <c r="O78" s="193">
        <f>M78/N78</f>
        <v>10.034116477640449</v>
      </c>
      <c r="P78">
        <f>L78/N78</f>
        <v>9.8415216910474506</v>
      </c>
    </row>
    <row r="79" spans="2:21" x14ac:dyDescent="0.25">
      <c r="J79">
        <v>2023</v>
      </c>
      <c r="K79" s="132">
        <v>766988.8125</v>
      </c>
      <c r="L79" s="132">
        <v>749401.564453125</v>
      </c>
      <c r="M79" s="132">
        <v>766988.8125</v>
      </c>
      <c r="N79" s="66">
        <v>80904.946288108797</v>
      </c>
      <c r="O79" s="193">
        <f t="shared" ref="O79:O97" si="7">M79/N79</f>
        <v>9.4801226338955011</v>
      </c>
      <c r="P79">
        <f t="shared" ref="P79:P97" si="8">L79/N79</f>
        <v>9.2627410169020798</v>
      </c>
    </row>
    <row r="80" spans="2:21" x14ac:dyDescent="0.25">
      <c r="J80">
        <v>2024</v>
      </c>
      <c r="K80" s="132">
        <v>780860.1328125</v>
      </c>
      <c r="L80" s="132">
        <v>761905.34375</v>
      </c>
      <c r="M80" s="132">
        <v>780860.1328125</v>
      </c>
      <c r="N80" s="66">
        <v>80075.557259082794</v>
      </c>
      <c r="O80" s="193">
        <f t="shared" si="7"/>
        <v>9.7515416631575018</v>
      </c>
      <c r="P80">
        <f t="shared" si="8"/>
        <v>9.5148303655867323</v>
      </c>
    </row>
    <row r="81" spans="5:16" x14ac:dyDescent="0.25">
      <c r="J81">
        <v>2025</v>
      </c>
      <c r="K81" s="132">
        <v>789186.15625</v>
      </c>
      <c r="L81" s="132">
        <v>768889.091796875</v>
      </c>
      <c r="M81" s="132">
        <v>789186.15625</v>
      </c>
      <c r="N81" s="66">
        <v>78128.697536468506</v>
      </c>
      <c r="O81" s="193">
        <f t="shared" si="7"/>
        <v>10.101104730200165</v>
      </c>
      <c r="P81">
        <f t="shared" si="8"/>
        <v>9.8413146006686851</v>
      </c>
    </row>
    <row r="82" spans="5:16" x14ac:dyDescent="0.25">
      <c r="J82">
        <v>2026</v>
      </c>
      <c r="K82" s="132">
        <v>804121.78125</v>
      </c>
      <c r="L82" s="132">
        <v>782624.720703125</v>
      </c>
      <c r="M82" s="132">
        <v>804121.78125</v>
      </c>
      <c r="N82" s="66">
        <v>76835.896189212799</v>
      </c>
      <c r="O82" s="193">
        <f t="shared" si="7"/>
        <v>10.465444162580001</v>
      </c>
      <c r="P82">
        <f t="shared" si="8"/>
        <v>10.185665288211993</v>
      </c>
    </row>
    <row r="83" spans="5:16" x14ac:dyDescent="0.25">
      <c r="J83">
        <v>2027</v>
      </c>
      <c r="K83" s="132">
        <v>822904.41015625</v>
      </c>
      <c r="L83" s="132">
        <v>800193.890625</v>
      </c>
      <c r="M83" s="132">
        <v>822904.41015625</v>
      </c>
      <c r="N83" s="66">
        <v>76659.062446594195</v>
      </c>
      <c r="O83" s="193">
        <f t="shared" si="7"/>
        <v>10.734600501141532</v>
      </c>
      <c r="P83">
        <f t="shared" si="8"/>
        <v>10.438346949292113</v>
      </c>
    </row>
    <row r="84" spans="5:16" x14ac:dyDescent="0.25">
      <c r="J84">
        <v>2028</v>
      </c>
      <c r="K84" s="132">
        <v>849418.9765625</v>
      </c>
      <c r="L84" s="132">
        <v>825479.14453125</v>
      </c>
      <c r="M84" s="132">
        <v>849418.9765625</v>
      </c>
      <c r="N84" s="66">
        <v>76824.780555725098</v>
      </c>
      <c r="O84" s="193">
        <f t="shared" si="7"/>
        <v>11.056575370838466</v>
      </c>
      <c r="P84">
        <f t="shared" si="8"/>
        <v>10.744959355041516</v>
      </c>
    </row>
    <row r="85" spans="5:16" x14ac:dyDescent="0.25">
      <c r="J85">
        <v>2029</v>
      </c>
      <c r="K85" s="132">
        <v>858630.28125</v>
      </c>
      <c r="L85" s="132">
        <v>833732.05859375</v>
      </c>
      <c r="M85" s="132">
        <v>858630.28125</v>
      </c>
      <c r="N85" s="66">
        <v>75116.457429885893</v>
      </c>
      <c r="O85" s="193">
        <f t="shared" si="7"/>
        <v>11.430654621212005</v>
      </c>
      <c r="P85">
        <f t="shared" si="8"/>
        <v>11.099193001373367</v>
      </c>
    </row>
    <row r="86" spans="5:16" x14ac:dyDescent="0.25">
      <c r="J86">
        <v>2030</v>
      </c>
      <c r="K86" s="132">
        <v>875998.41796875</v>
      </c>
      <c r="L86" s="132">
        <v>850184.0703125</v>
      </c>
      <c r="M86" s="132">
        <v>875998.41796875</v>
      </c>
      <c r="N86" s="66">
        <v>74051.222054481506</v>
      </c>
      <c r="O86" s="193">
        <f t="shared" si="7"/>
        <v>11.829628109638136</v>
      </c>
      <c r="P86">
        <f t="shared" si="8"/>
        <v>11.481026872007545</v>
      </c>
    </row>
    <row r="87" spans="5:16" x14ac:dyDescent="0.25">
      <c r="J87">
        <v>2031</v>
      </c>
      <c r="K87" s="132">
        <v>911032.4140625</v>
      </c>
      <c r="L87" s="132">
        <v>884339.18359375</v>
      </c>
      <c r="M87" s="132">
        <v>911032.4140625</v>
      </c>
      <c r="N87" s="66">
        <v>74124.113533020005</v>
      </c>
      <c r="O87" s="193">
        <f t="shared" si="7"/>
        <v>12.290634864141252</v>
      </c>
      <c r="P87">
        <f t="shared" si="8"/>
        <v>11.930519522500653</v>
      </c>
    </row>
    <row r="88" spans="5:16" x14ac:dyDescent="0.25">
      <c r="J88">
        <v>2032</v>
      </c>
      <c r="K88" s="132">
        <v>951986.34765625</v>
      </c>
      <c r="L88" s="132">
        <v>937625.60546875</v>
      </c>
      <c r="M88" s="132">
        <v>951986.34765625</v>
      </c>
      <c r="N88" s="66">
        <v>74847.590804099993</v>
      </c>
      <c r="O88" s="193">
        <f t="shared" si="7"/>
        <v>12.718997865247283</v>
      </c>
      <c r="P88">
        <f t="shared" si="8"/>
        <v>12.527131406578137</v>
      </c>
    </row>
    <row r="89" spans="5:16" x14ac:dyDescent="0.25">
      <c r="J89">
        <v>2033</v>
      </c>
      <c r="K89" s="132">
        <v>988396.18359375</v>
      </c>
      <c r="L89" s="132">
        <v>973560.9140625</v>
      </c>
      <c r="M89" s="132">
        <v>988396.18359375</v>
      </c>
      <c r="N89" s="66">
        <v>73654.8318274021</v>
      </c>
      <c r="O89" s="193">
        <f t="shared" si="7"/>
        <v>13.419298626733584</v>
      </c>
      <c r="P89">
        <f t="shared" si="8"/>
        <v>13.217882519152019</v>
      </c>
    </row>
    <row r="90" spans="5:16" x14ac:dyDescent="0.25">
      <c r="J90">
        <v>2034</v>
      </c>
      <c r="K90" s="132">
        <v>1025375.4140625</v>
      </c>
      <c r="L90" s="132">
        <v>1010209.171875</v>
      </c>
      <c r="M90" s="132">
        <v>1025375.4140625</v>
      </c>
      <c r="N90" s="66">
        <v>73156.635690212293</v>
      </c>
      <c r="O90" s="193">
        <f t="shared" si="7"/>
        <v>14.016164144077583</v>
      </c>
      <c r="P90">
        <f t="shared" si="8"/>
        <v>13.808852229793791</v>
      </c>
    </row>
    <row r="91" spans="5:16" x14ac:dyDescent="0.25">
      <c r="J91">
        <v>2035</v>
      </c>
      <c r="K91" s="132">
        <v>1071259.84375</v>
      </c>
      <c r="L91" s="132">
        <v>1055958.08203125</v>
      </c>
      <c r="M91" s="132">
        <v>1071259.84375</v>
      </c>
      <c r="N91" s="66">
        <v>73523.278854370103</v>
      </c>
      <c r="O91" s="193">
        <f t="shared" si="7"/>
        <v>14.570349152570827</v>
      </c>
      <c r="P91">
        <f t="shared" si="8"/>
        <v>14.362227834300205</v>
      </c>
    </row>
    <row r="92" spans="5:16" x14ac:dyDescent="0.25">
      <c r="J92">
        <v>2036</v>
      </c>
      <c r="K92" s="132">
        <v>1129574.24609375</v>
      </c>
      <c r="L92" s="132">
        <v>1114243.91796875</v>
      </c>
      <c r="M92" s="132">
        <v>1129574.24609375</v>
      </c>
      <c r="N92" s="66">
        <v>74518.750006198898</v>
      </c>
      <c r="O92" s="193">
        <f t="shared" si="7"/>
        <v>15.158255418935308</v>
      </c>
      <c r="P92">
        <f t="shared" si="8"/>
        <v>14.952530978794744</v>
      </c>
    </row>
    <row r="93" spans="5:16" x14ac:dyDescent="0.25">
      <c r="J93">
        <v>2037</v>
      </c>
      <c r="K93" s="132">
        <v>1164285.8046875</v>
      </c>
      <c r="L93" s="132">
        <v>1148889.890625</v>
      </c>
      <c r="M93" s="132">
        <v>1164285.8046875</v>
      </c>
      <c r="N93" s="66">
        <v>73222.597615242004</v>
      </c>
      <c r="O93" s="193">
        <f t="shared" si="7"/>
        <v>15.900635085433549</v>
      </c>
      <c r="P93">
        <f t="shared" si="8"/>
        <v>15.69037330063045</v>
      </c>
    </row>
    <row r="94" spans="5:16" x14ac:dyDescent="0.25">
      <c r="J94">
        <v>2038</v>
      </c>
      <c r="K94" s="132">
        <v>1176225.62109375</v>
      </c>
      <c r="L94" s="132">
        <v>1160828.29296875</v>
      </c>
      <c r="M94" s="132">
        <v>1176225.62109375</v>
      </c>
      <c r="N94" s="66">
        <v>72568.523597478896</v>
      </c>
      <c r="O94" s="193">
        <f t="shared" si="7"/>
        <v>16.208482173593694</v>
      </c>
      <c r="P94">
        <f t="shared" si="8"/>
        <v>15.996305773114535</v>
      </c>
    </row>
    <row r="95" spans="5:16" x14ac:dyDescent="0.25">
      <c r="E95" s="93"/>
      <c r="J95">
        <v>2039</v>
      </c>
      <c r="K95" s="132">
        <v>1229806.75</v>
      </c>
      <c r="L95" s="132">
        <v>1214463.46875</v>
      </c>
      <c r="M95" s="132">
        <v>1229806.75</v>
      </c>
      <c r="N95" s="66">
        <v>72879.938067913099</v>
      </c>
      <c r="O95" s="193">
        <f t="shared" si="7"/>
        <v>16.874420898299967</v>
      </c>
      <c r="P95">
        <f t="shared" si="8"/>
        <v>16.663892711027049</v>
      </c>
    </row>
    <row r="96" spans="5:16" x14ac:dyDescent="0.25">
      <c r="J96">
        <v>2040</v>
      </c>
      <c r="K96" s="132">
        <v>1302263.9609375</v>
      </c>
      <c r="L96" s="132">
        <v>1287568.46875</v>
      </c>
      <c r="M96" s="132">
        <v>1302263.9609375</v>
      </c>
      <c r="N96" s="66">
        <v>73637.016950368896</v>
      </c>
      <c r="O96" s="193">
        <f t="shared" si="7"/>
        <v>17.684909232746644</v>
      </c>
      <c r="P96">
        <f t="shared" si="8"/>
        <v>17.485342590912079</v>
      </c>
    </row>
    <row r="97" spans="10:16" x14ac:dyDescent="0.25">
      <c r="J97">
        <v>2041</v>
      </c>
      <c r="K97" s="132">
        <v>1301309.83203125</v>
      </c>
      <c r="L97" s="132">
        <v>1291329.06640625</v>
      </c>
      <c r="M97" s="132">
        <v>1301309.83203125</v>
      </c>
      <c r="N97" s="66">
        <v>72845.068531274796</v>
      </c>
      <c r="O97" s="193">
        <f t="shared" si="7"/>
        <v>17.864075884183631</v>
      </c>
      <c r="P97">
        <f t="shared" si="8"/>
        <v>17.727062276725565</v>
      </c>
    </row>
    <row r="98" spans="10:16" x14ac:dyDescent="0.25">
      <c r="M98" s="140">
        <f>NPV(0.068,M78:M97)/1000000</f>
        <v>9.8991252036227806</v>
      </c>
      <c r="N98" s="92" t="s">
        <v>97</v>
      </c>
    </row>
    <row r="99" spans="10:16" x14ac:dyDescent="0.25">
      <c r="M99" s="92">
        <f>(M98-$E$23)</f>
        <v>-2.7610102428479024</v>
      </c>
      <c r="N99" s="92" t="s">
        <v>112</v>
      </c>
    </row>
    <row r="100" spans="10:16" ht="15.75" thickBot="1" x14ac:dyDescent="0.3"/>
    <row r="101" spans="10:16" ht="15.75" thickBot="1" x14ac:dyDescent="0.3">
      <c r="J101" s="135" t="s">
        <v>120</v>
      </c>
      <c r="K101" s="136"/>
      <c r="L101" s="142" t="s">
        <v>148</v>
      </c>
      <c r="M101" s="137"/>
      <c r="N101" s="137"/>
      <c r="O101" s="163" t="s">
        <v>121</v>
      </c>
    </row>
    <row r="102" spans="10:16" x14ac:dyDescent="0.25">
      <c r="J102" t="s">
        <v>74</v>
      </c>
      <c r="K102" t="s">
        <v>78</v>
      </c>
      <c r="L102" s="141"/>
      <c r="M102" t="s">
        <v>80</v>
      </c>
      <c r="N102" t="s">
        <v>98</v>
      </c>
      <c r="O102" s="8"/>
    </row>
    <row r="103" spans="10:16" x14ac:dyDescent="0.25">
      <c r="J103">
        <v>2022</v>
      </c>
      <c r="K103">
        <v>800365.51953125</v>
      </c>
      <c r="L103">
        <v>800365.51953125</v>
      </c>
      <c r="M103">
        <v>800365.51953125</v>
      </c>
      <c r="N103">
        <v>81442.072754383102</v>
      </c>
      <c r="O103" s="8"/>
    </row>
    <row r="104" spans="10:16" x14ac:dyDescent="0.25">
      <c r="J104">
        <v>2023</v>
      </c>
      <c r="K104">
        <v>756657.951171875</v>
      </c>
      <c r="L104">
        <v>756657.951171875</v>
      </c>
      <c r="M104">
        <v>756657.951171875</v>
      </c>
      <c r="N104">
        <v>81699.077367305799</v>
      </c>
    </row>
    <row r="105" spans="10:16" x14ac:dyDescent="0.25">
      <c r="J105">
        <v>2024</v>
      </c>
      <c r="K105">
        <v>771972.1328125</v>
      </c>
      <c r="L105">
        <v>771972.1328125</v>
      </c>
      <c r="M105">
        <v>771972.1328125</v>
      </c>
      <c r="N105">
        <v>81462.120073318496</v>
      </c>
    </row>
    <row r="106" spans="10:16" x14ac:dyDescent="0.25">
      <c r="J106">
        <v>2025</v>
      </c>
      <c r="K106">
        <v>784257.37109375</v>
      </c>
      <c r="L106">
        <v>784257.37109375</v>
      </c>
      <c r="M106">
        <v>784257.37109375</v>
      </c>
      <c r="N106">
        <v>80130.396124362902</v>
      </c>
    </row>
    <row r="107" spans="10:16" x14ac:dyDescent="0.25">
      <c r="J107">
        <v>2026</v>
      </c>
      <c r="K107">
        <v>803606.013671875</v>
      </c>
      <c r="L107">
        <v>803606.013671875</v>
      </c>
      <c r="M107">
        <v>803606.013671875</v>
      </c>
      <c r="N107">
        <v>79474.641417026505</v>
      </c>
    </row>
    <row r="108" spans="10:16" x14ac:dyDescent="0.25">
      <c r="J108">
        <v>2027</v>
      </c>
      <c r="K108">
        <v>840722.09375</v>
      </c>
      <c r="L108">
        <v>840722.09375</v>
      </c>
      <c r="M108">
        <v>840722.09375</v>
      </c>
      <c r="N108">
        <v>79964.2866001129</v>
      </c>
    </row>
    <row r="109" spans="10:16" x14ac:dyDescent="0.25">
      <c r="J109">
        <v>2028</v>
      </c>
      <c r="K109">
        <v>857181.666015625</v>
      </c>
      <c r="L109">
        <v>857181.666015625</v>
      </c>
      <c r="M109">
        <v>857181.666015625</v>
      </c>
      <c r="N109">
        <v>80829.150505065903</v>
      </c>
    </row>
    <row r="110" spans="10:16" x14ac:dyDescent="0.25">
      <c r="J110">
        <v>2029</v>
      </c>
      <c r="K110">
        <v>869760.82421875</v>
      </c>
      <c r="L110">
        <v>869760.82421875</v>
      </c>
      <c r="M110">
        <v>869760.82421875</v>
      </c>
      <c r="N110">
        <v>79853.158894538894</v>
      </c>
    </row>
    <row r="111" spans="10:16" x14ac:dyDescent="0.25">
      <c r="J111">
        <v>2030</v>
      </c>
      <c r="K111">
        <v>917068.99609375</v>
      </c>
      <c r="L111">
        <v>917068.99609375</v>
      </c>
      <c r="M111">
        <v>917068.99609375</v>
      </c>
      <c r="N111">
        <v>79553.670204162598</v>
      </c>
    </row>
    <row r="112" spans="10:16" x14ac:dyDescent="0.25">
      <c r="J112">
        <v>2031</v>
      </c>
      <c r="K112">
        <v>936691.59375</v>
      </c>
      <c r="L112">
        <v>936691.59375</v>
      </c>
      <c r="M112">
        <v>936691.59375</v>
      </c>
      <c r="N112">
        <v>80426.605401516004</v>
      </c>
    </row>
    <row r="113" spans="10:15" x14ac:dyDescent="0.25">
      <c r="J113">
        <v>2032</v>
      </c>
      <c r="K113">
        <v>1030917.421875</v>
      </c>
      <c r="L113">
        <v>1030917.421875</v>
      </c>
      <c r="M113">
        <v>1030917.421875</v>
      </c>
      <c r="N113">
        <v>81805.970406532302</v>
      </c>
    </row>
    <row r="114" spans="10:15" x14ac:dyDescent="0.25">
      <c r="J114">
        <v>2033</v>
      </c>
      <c r="K114">
        <v>1041875.19140625</v>
      </c>
      <c r="L114">
        <v>1041875.19140625</v>
      </c>
      <c r="M114">
        <v>1041875.19140625</v>
      </c>
      <c r="N114">
        <v>81094.779706478104</v>
      </c>
    </row>
    <row r="115" spans="10:15" x14ac:dyDescent="0.25">
      <c r="J115">
        <v>2034</v>
      </c>
      <c r="K115">
        <v>1106456.94921875</v>
      </c>
      <c r="L115">
        <v>1106456.94921875</v>
      </c>
      <c r="M115">
        <v>1106456.94921875</v>
      </c>
      <c r="N115">
        <v>81104.536715507493</v>
      </c>
    </row>
    <row r="116" spans="10:15" x14ac:dyDescent="0.25">
      <c r="J116">
        <v>2035</v>
      </c>
      <c r="K116">
        <v>1163506.40234375</v>
      </c>
      <c r="L116">
        <v>1163506.40234375</v>
      </c>
      <c r="M116">
        <v>1163506.40234375</v>
      </c>
      <c r="N116">
        <v>81996.332961082502</v>
      </c>
    </row>
    <row r="117" spans="10:15" x14ac:dyDescent="0.25">
      <c r="J117">
        <v>2036</v>
      </c>
      <c r="K117">
        <v>1234592.37109375</v>
      </c>
      <c r="L117">
        <v>1234592.37109375</v>
      </c>
      <c r="M117">
        <v>1234592.37109375</v>
      </c>
      <c r="N117">
        <v>83526.352603912397</v>
      </c>
    </row>
    <row r="118" spans="10:15" x14ac:dyDescent="0.25">
      <c r="J118">
        <v>2037</v>
      </c>
      <c r="K118">
        <v>1283069.11328125</v>
      </c>
      <c r="L118">
        <v>1283069.11328125</v>
      </c>
      <c r="M118">
        <v>1283069.11328125</v>
      </c>
      <c r="N118">
        <v>82773.811276435896</v>
      </c>
    </row>
    <row r="119" spans="10:15" x14ac:dyDescent="0.25">
      <c r="J119">
        <v>2038</v>
      </c>
      <c r="K119">
        <v>1305980.78125</v>
      </c>
      <c r="L119">
        <v>1305980.78125</v>
      </c>
      <c r="M119">
        <v>1305980.78125</v>
      </c>
      <c r="N119">
        <v>82671.789470672593</v>
      </c>
    </row>
    <row r="120" spans="10:15" x14ac:dyDescent="0.25">
      <c r="J120">
        <v>2039</v>
      </c>
      <c r="K120">
        <v>1374947.7734375</v>
      </c>
      <c r="L120">
        <v>1374947.7734375</v>
      </c>
      <c r="M120">
        <v>1374947.7734375</v>
      </c>
      <c r="N120">
        <v>83539.447160005599</v>
      </c>
    </row>
    <row r="121" spans="10:15" x14ac:dyDescent="0.25">
      <c r="J121">
        <v>2040</v>
      </c>
      <c r="K121">
        <v>1465331.00390625</v>
      </c>
      <c r="L121">
        <v>1465331.00390625</v>
      </c>
      <c r="M121">
        <v>1465331.00390625</v>
      </c>
      <c r="N121">
        <v>84847.4056923389</v>
      </c>
    </row>
    <row r="122" spans="10:15" x14ac:dyDescent="0.25">
      <c r="J122">
        <v>2041</v>
      </c>
      <c r="K122">
        <v>1505884.6953125</v>
      </c>
      <c r="L122">
        <v>1505884.6953125</v>
      </c>
      <c r="M122">
        <v>1505884.6953125</v>
      </c>
      <c r="N122">
        <v>84571.400421857805</v>
      </c>
    </row>
    <row r="123" spans="10:15" x14ac:dyDescent="0.25">
      <c r="M123" s="140">
        <f>NPV(0.068,M103:M122)/1000000</f>
        <v>10.327417329222259</v>
      </c>
      <c r="N123" s="92" t="s">
        <v>97</v>
      </c>
    </row>
    <row r="124" spans="10:15" x14ac:dyDescent="0.25">
      <c r="M124" s="92">
        <f>(M123-$E$23)</f>
        <v>-2.3327181172484242</v>
      </c>
      <c r="N124" s="92" t="s">
        <v>112</v>
      </c>
    </row>
    <row r="125" spans="10:15" ht="15.75" thickBot="1" x14ac:dyDescent="0.3"/>
    <row r="126" spans="10:15" ht="15.75" thickBot="1" x14ac:dyDescent="0.3">
      <c r="J126" s="135" t="s">
        <v>122</v>
      </c>
      <c r="K126" s="136"/>
      <c r="L126" s="142" t="s">
        <v>149</v>
      </c>
      <c r="M126" s="137"/>
      <c r="N126" s="137"/>
      <c r="O126" s="163" t="s">
        <v>121</v>
      </c>
    </row>
    <row r="127" spans="10:15" x14ac:dyDescent="0.25">
      <c r="J127" t="s">
        <v>74</v>
      </c>
      <c r="K127" t="s">
        <v>78</v>
      </c>
      <c r="L127" s="141"/>
      <c r="M127" t="s">
        <v>80</v>
      </c>
      <c r="N127" t="s">
        <v>98</v>
      </c>
      <c r="O127" s="8"/>
    </row>
    <row r="128" spans="10:15" x14ac:dyDescent="0.25">
      <c r="J128">
        <v>2022</v>
      </c>
      <c r="K128">
        <v>321313.48046875</v>
      </c>
      <c r="L128">
        <v>319974.83984375</v>
      </c>
      <c r="M128">
        <v>321313.48046875</v>
      </c>
      <c r="N128">
        <v>81304.974694252</v>
      </c>
      <c r="O128" s="8"/>
    </row>
    <row r="129" spans="10:14" x14ac:dyDescent="0.25">
      <c r="J129">
        <v>2023</v>
      </c>
      <c r="K129">
        <v>292982.677734375</v>
      </c>
      <c r="L129">
        <v>291620.53417968802</v>
      </c>
      <c r="M129">
        <v>292982.677734375</v>
      </c>
      <c r="N129">
        <v>81258.235942840605</v>
      </c>
    </row>
    <row r="130" spans="10:14" x14ac:dyDescent="0.25">
      <c r="J130">
        <v>2024</v>
      </c>
      <c r="K130">
        <v>290739.50292968802</v>
      </c>
      <c r="L130">
        <v>289363.57324218802</v>
      </c>
      <c r="M130">
        <v>290739.50292968802</v>
      </c>
      <c r="N130">
        <v>80707.662023544297</v>
      </c>
    </row>
    <row r="131" spans="10:14" x14ac:dyDescent="0.25">
      <c r="J131">
        <v>2025</v>
      </c>
      <c r="K131">
        <v>279886.810546875</v>
      </c>
      <c r="L131">
        <v>278504.962890625</v>
      </c>
      <c r="M131">
        <v>279886.810546875</v>
      </c>
      <c r="N131">
        <v>79064.902012348204</v>
      </c>
    </row>
    <row r="132" spans="10:14" x14ac:dyDescent="0.25">
      <c r="J132">
        <v>2026</v>
      </c>
      <c r="K132">
        <v>276325.509765625</v>
      </c>
      <c r="L132">
        <v>274927.08886718802</v>
      </c>
      <c r="M132">
        <v>276325.509765625</v>
      </c>
      <c r="N132">
        <v>78099.349003315001</v>
      </c>
    </row>
    <row r="133" spans="10:14" x14ac:dyDescent="0.25">
      <c r="J133">
        <v>2027</v>
      </c>
      <c r="K133">
        <v>285231.642578125</v>
      </c>
      <c r="L133">
        <v>283816.10839843802</v>
      </c>
      <c r="M133">
        <v>285231.642578125</v>
      </c>
      <c r="N133">
        <v>78270.8501639366</v>
      </c>
    </row>
    <row r="134" spans="10:14" x14ac:dyDescent="0.25">
      <c r="J134">
        <v>2028</v>
      </c>
      <c r="K134">
        <v>291015.33300781302</v>
      </c>
      <c r="L134">
        <v>289584.369140625</v>
      </c>
      <c r="M134">
        <v>291015.33300781302</v>
      </c>
      <c r="N134">
        <v>78805.602173805193</v>
      </c>
    </row>
    <row r="135" spans="10:14" x14ac:dyDescent="0.25">
      <c r="J135">
        <v>2029</v>
      </c>
      <c r="K135">
        <v>290658.96972656302</v>
      </c>
      <c r="L135">
        <v>289217.18847656302</v>
      </c>
      <c r="M135">
        <v>290658.96972656302</v>
      </c>
      <c r="N135">
        <v>77484.201458930998</v>
      </c>
    </row>
    <row r="136" spans="10:14" x14ac:dyDescent="0.25">
      <c r="J136">
        <v>2030</v>
      </c>
      <c r="K136">
        <v>292782.390625</v>
      </c>
      <c r="L136">
        <v>291327.73046875</v>
      </c>
      <c r="M136">
        <v>292782.390625</v>
      </c>
      <c r="N136">
        <v>76820.270594596906</v>
      </c>
    </row>
    <row r="137" spans="10:14" x14ac:dyDescent="0.25">
      <c r="J137">
        <v>2031</v>
      </c>
      <c r="K137">
        <v>308528.078125</v>
      </c>
      <c r="L137">
        <v>307062.39550781302</v>
      </c>
      <c r="M137">
        <v>308528.078125</v>
      </c>
      <c r="N137">
        <v>77308.641987800598</v>
      </c>
    </row>
    <row r="138" spans="10:14" x14ac:dyDescent="0.25">
      <c r="J138">
        <v>2032</v>
      </c>
      <c r="K138">
        <v>331383.24609375</v>
      </c>
      <c r="L138">
        <v>331194.83300781302</v>
      </c>
      <c r="M138">
        <v>331383.24609375</v>
      </c>
      <c r="N138">
        <v>78377.307888507799</v>
      </c>
    </row>
    <row r="139" spans="10:14" x14ac:dyDescent="0.25">
      <c r="J139">
        <v>2033</v>
      </c>
      <c r="K139">
        <v>356495.673828125</v>
      </c>
      <c r="L139">
        <v>356298.537109375</v>
      </c>
      <c r="M139">
        <v>356495.673828125</v>
      </c>
      <c r="N139">
        <v>77443.838764667496</v>
      </c>
    </row>
    <row r="140" spans="10:14" x14ac:dyDescent="0.25">
      <c r="J140">
        <v>2034</v>
      </c>
      <c r="K140">
        <v>373341.298828125</v>
      </c>
      <c r="L140">
        <v>373139.7265625</v>
      </c>
      <c r="M140">
        <v>373341.298828125</v>
      </c>
      <c r="N140">
        <v>77211.567208528504</v>
      </c>
    </row>
    <row r="141" spans="10:14" x14ac:dyDescent="0.25">
      <c r="J141">
        <v>2035</v>
      </c>
      <c r="K141">
        <v>393451.798828125</v>
      </c>
      <c r="L141">
        <v>393246.1484375</v>
      </c>
      <c r="M141">
        <v>393451.798828125</v>
      </c>
      <c r="N141">
        <v>77848.170514583602</v>
      </c>
    </row>
    <row r="142" spans="10:14" x14ac:dyDescent="0.25">
      <c r="J142">
        <v>2036</v>
      </c>
      <c r="K142">
        <v>419389.564453125</v>
      </c>
      <c r="L142">
        <v>419209.625</v>
      </c>
      <c r="M142">
        <v>419389.564453125</v>
      </c>
      <c r="N142">
        <v>79115.510861635194</v>
      </c>
    </row>
    <row r="143" spans="10:14" x14ac:dyDescent="0.25">
      <c r="J143">
        <v>2037</v>
      </c>
      <c r="K143">
        <v>431762.3359375</v>
      </c>
      <c r="L143">
        <v>431587.2109375</v>
      </c>
      <c r="M143">
        <v>431762.3359375</v>
      </c>
      <c r="N143">
        <v>78092.617383003206</v>
      </c>
    </row>
    <row r="144" spans="10:14" x14ac:dyDescent="0.25">
      <c r="J144">
        <v>2038</v>
      </c>
      <c r="K144">
        <v>424564.58203125</v>
      </c>
      <c r="L144">
        <v>424395.296875</v>
      </c>
      <c r="M144">
        <v>424564.58203125</v>
      </c>
      <c r="N144">
        <v>77712.658706903501</v>
      </c>
    </row>
    <row r="145" spans="10:14" x14ac:dyDescent="0.25">
      <c r="J145">
        <v>2039</v>
      </c>
      <c r="K145">
        <v>448299.505859375</v>
      </c>
      <c r="L145">
        <v>448138.1953125</v>
      </c>
      <c r="M145">
        <v>448299.505859375</v>
      </c>
      <c r="N145">
        <v>78297.787526130705</v>
      </c>
    </row>
    <row r="146" spans="10:14" x14ac:dyDescent="0.25">
      <c r="J146">
        <v>2040</v>
      </c>
      <c r="K146">
        <v>489350.544921875</v>
      </c>
      <c r="L146">
        <v>489190.244140625</v>
      </c>
      <c r="M146">
        <v>489350.544921875</v>
      </c>
      <c r="N146">
        <v>79324.368606567397</v>
      </c>
    </row>
    <row r="147" spans="10:14" x14ac:dyDescent="0.25">
      <c r="J147">
        <v>2041</v>
      </c>
      <c r="K147">
        <v>496452.951171875</v>
      </c>
      <c r="L147">
        <v>496290.181640625</v>
      </c>
      <c r="M147">
        <v>496452.951171875</v>
      </c>
      <c r="N147">
        <v>78769.466856241197</v>
      </c>
    </row>
    <row r="148" spans="10:14" x14ac:dyDescent="0.25">
      <c r="M148" s="140">
        <f>NPV(0.068,M128:M147)/1000000</f>
        <v>3.5739988458393306</v>
      </c>
      <c r="N148" s="92" t="s">
        <v>97</v>
      </c>
    </row>
    <row r="149" spans="10:14" x14ac:dyDescent="0.25">
      <c r="M149" s="92">
        <f>(M148-$E$23)</f>
        <v>-9.0861366006313524</v>
      </c>
      <c r="N149" s="92" t="s">
        <v>112</v>
      </c>
    </row>
  </sheetData>
  <pageMargins left="0.7" right="0.7" top="0.75" bottom="0.75" header="0.3" footer="0.3"/>
  <pageSetup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V49"/>
  <sheetViews>
    <sheetView workbookViewId="0">
      <selection activeCell="C39" sqref="C39"/>
    </sheetView>
  </sheetViews>
  <sheetFormatPr defaultRowHeight="12.75" outlineLevelCol="1" x14ac:dyDescent="0.2"/>
  <cols>
    <col min="1" max="1" width="32.85546875" style="195" customWidth="1"/>
    <col min="2" max="2" width="9.140625" style="195" customWidth="1"/>
    <col min="3" max="3" width="9.140625" style="195" customWidth="1" outlineLevel="1"/>
    <col min="4" max="5" width="9.140625" style="195" customWidth="1"/>
    <col min="6" max="6" width="9.140625" style="195" customWidth="1" outlineLevel="1"/>
    <col min="7" max="9" width="9.140625" style="195" customWidth="1"/>
    <col min="10" max="13" width="9.5703125" style="195" bestFit="1" customWidth="1"/>
    <col min="14" max="14" width="9.5703125" style="195" customWidth="1" outlineLevel="1"/>
    <col min="15" max="15" width="9.5703125" style="195" bestFit="1" customWidth="1"/>
    <col min="16" max="16" width="9.5703125" style="195" customWidth="1"/>
    <col min="17" max="17" width="9.5703125" style="195" customWidth="1" outlineLevel="1"/>
    <col min="18" max="18" width="9.5703125" style="195" bestFit="1" customWidth="1"/>
    <col min="19" max="24" width="10.5703125" style="195" bestFit="1" customWidth="1"/>
    <col min="25" max="25" width="9.140625" style="195" customWidth="1" outlineLevel="1"/>
    <col min="26" max="26" width="9.140625" style="195"/>
    <col min="27" max="27" width="9.140625" style="195" customWidth="1"/>
    <col min="28" max="28" width="9.140625" style="195" customWidth="1" outlineLevel="1"/>
    <col min="29" max="44" width="9.140625" style="195"/>
    <col min="45" max="56" width="9.140625" style="195" outlineLevel="1"/>
    <col min="57" max="256" width="9.140625" style="195"/>
    <col min="257" max="257" width="32.85546875" style="195" customWidth="1"/>
    <col min="258" max="264" width="8.28515625" style="195" customWidth="1"/>
    <col min="265" max="512" width="9.140625" style="195"/>
    <col min="513" max="513" width="32.85546875" style="195" customWidth="1"/>
    <col min="514" max="520" width="8.28515625" style="195" customWidth="1"/>
    <col min="521" max="768" width="9.140625" style="195"/>
    <col min="769" max="769" width="32.85546875" style="195" customWidth="1"/>
    <col min="770" max="776" width="8.28515625" style="195" customWidth="1"/>
    <col min="777" max="1024" width="9.140625" style="195"/>
    <col min="1025" max="1025" width="32.85546875" style="195" customWidth="1"/>
    <col min="1026" max="1032" width="8.28515625" style="195" customWidth="1"/>
    <col min="1033" max="1280" width="9.140625" style="195"/>
    <col min="1281" max="1281" width="32.85546875" style="195" customWidth="1"/>
    <col min="1282" max="1288" width="8.28515625" style="195" customWidth="1"/>
    <col min="1289" max="1536" width="9.140625" style="195"/>
    <col min="1537" max="1537" width="32.85546875" style="195" customWidth="1"/>
    <col min="1538" max="1544" width="8.28515625" style="195" customWidth="1"/>
    <col min="1545" max="1792" width="9.140625" style="195"/>
    <col min="1793" max="1793" width="32.85546875" style="195" customWidth="1"/>
    <col min="1794" max="1800" width="8.28515625" style="195" customWidth="1"/>
    <col min="1801" max="2048" width="9.140625" style="195"/>
    <col min="2049" max="2049" width="32.85546875" style="195" customWidth="1"/>
    <col min="2050" max="2056" width="8.28515625" style="195" customWidth="1"/>
    <col min="2057" max="2304" width="9.140625" style="195"/>
    <col min="2305" max="2305" width="32.85546875" style="195" customWidth="1"/>
    <col min="2306" max="2312" width="8.28515625" style="195" customWidth="1"/>
    <col min="2313" max="2560" width="9.140625" style="195"/>
    <col min="2561" max="2561" width="32.85546875" style="195" customWidth="1"/>
    <col min="2562" max="2568" width="8.28515625" style="195" customWidth="1"/>
    <col min="2569" max="2816" width="9.140625" style="195"/>
    <col min="2817" max="2817" width="32.85546875" style="195" customWidth="1"/>
    <col min="2818" max="2824" width="8.28515625" style="195" customWidth="1"/>
    <col min="2825" max="3072" width="9.140625" style="195"/>
    <col min="3073" max="3073" width="32.85546875" style="195" customWidth="1"/>
    <col min="3074" max="3080" width="8.28515625" style="195" customWidth="1"/>
    <col min="3081" max="3328" width="9.140625" style="195"/>
    <col min="3329" max="3329" width="32.85546875" style="195" customWidth="1"/>
    <col min="3330" max="3336" width="8.28515625" style="195" customWidth="1"/>
    <col min="3337" max="3584" width="9.140625" style="195"/>
    <col min="3585" max="3585" width="32.85546875" style="195" customWidth="1"/>
    <col min="3586" max="3592" width="8.28515625" style="195" customWidth="1"/>
    <col min="3593" max="3840" width="9.140625" style="195"/>
    <col min="3841" max="3841" width="32.85546875" style="195" customWidth="1"/>
    <col min="3842" max="3848" width="8.28515625" style="195" customWidth="1"/>
    <col min="3849" max="4096" width="9.140625" style="195"/>
    <col min="4097" max="4097" width="32.85546875" style="195" customWidth="1"/>
    <col min="4098" max="4104" width="8.28515625" style="195" customWidth="1"/>
    <col min="4105" max="4352" width="9.140625" style="195"/>
    <col min="4353" max="4353" width="32.85546875" style="195" customWidth="1"/>
    <col min="4354" max="4360" width="8.28515625" style="195" customWidth="1"/>
    <col min="4361" max="4608" width="9.140625" style="195"/>
    <col min="4609" max="4609" width="32.85546875" style="195" customWidth="1"/>
    <col min="4610" max="4616" width="8.28515625" style="195" customWidth="1"/>
    <col min="4617" max="4864" width="9.140625" style="195"/>
    <col min="4865" max="4865" width="32.85546875" style="195" customWidth="1"/>
    <col min="4866" max="4872" width="8.28515625" style="195" customWidth="1"/>
    <col min="4873" max="5120" width="9.140625" style="195"/>
    <col min="5121" max="5121" width="32.85546875" style="195" customWidth="1"/>
    <col min="5122" max="5128" width="8.28515625" style="195" customWidth="1"/>
    <col min="5129" max="5376" width="9.140625" style="195"/>
    <col min="5377" max="5377" width="32.85546875" style="195" customWidth="1"/>
    <col min="5378" max="5384" width="8.28515625" style="195" customWidth="1"/>
    <col min="5385" max="5632" width="9.140625" style="195"/>
    <col min="5633" max="5633" width="32.85546875" style="195" customWidth="1"/>
    <col min="5634" max="5640" width="8.28515625" style="195" customWidth="1"/>
    <col min="5641" max="5888" width="9.140625" style="195"/>
    <col min="5889" max="5889" width="32.85546875" style="195" customWidth="1"/>
    <col min="5890" max="5896" width="8.28515625" style="195" customWidth="1"/>
    <col min="5897" max="6144" width="9.140625" style="195"/>
    <col min="6145" max="6145" width="32.85546875" style="195" customWidth="1"/>
    <col min="6146" max="6152" width="8.28515625" style="195" customWidth="1"/>
    <col min="6153" max="6400" width="9.140625" style="195"/>
    <col min="6401" max="6401" width="32.85546875" style="195" customWidth="1"/>
    <col min="6402" max="6408" width="8.28515625" style="195" customWidth="1"/>
    <col min="6409" max="6656" width="9.140625" style="195"/>
    <col min="6657" max="6657" width="32.85546875" style="195" customWidth="1"/>
    <col min="6658" max="6664" width="8.28515625" style="195" customWidth="1"/>
    <col min="6665" max="6912" width="9.140625" style="195"/>
    <col min="6913" max="6913" width="32.85546875" style="195" customWidth="1"/>
    <col min="6914" max="6920" width="8.28515625" style="195" customWidth="1"/>
    <col min="6921" max="7168" width="9.140625" style="195"/>
    <col min="7169" max="7169" width="32.85546875" style="195" customWidth="1"/>
    <col min="7170" max="7176" width="8.28515625" style="195" customWidth="1"/>
    <col min="7177" max="7424" width="9.140625" style="195"/>
    <col min="7425" max="7425" width="32.85546875" style="195" customWidth="1"/>
    <col min="7426" max="7432" width="8.28515625" style="195" customWidth="1"/>
    <col min="7433" max="7680" width="9.140625" style="195"/>
    <col min="7681" max="7681" width="32.85546875" style="195" customWidth="1"/>
    <col min="7682" max="7688" width="8.28515625" style="195" customWidth="1"/>
    <col min="7689" max="7936" width="9.140625" style="195"/>
    <col min="7937" max="7937" width="32.85546875" style="195" customWidth="1"/>
    <col min="7938" max="7944" width="8.28515625" style="195" customWidth="1"/>
    <col min="7945" max="8192" width="9.140625" style="195"/>
    <col min="8193" max="8193" width="32.85546875" style="195" customWidth="1"/>
    <col min="8194" max="8200" width="8.28515625" style="195" customWidth="1"/>
    <col min="8201" max="8448" width="9.140625" style="195"/>
    <col min="8449" max="8449" width="32.85546875" style="195" customWidth="1"/>
    <col min="8450" max="8456" width="8.28515625" style="195" customWidth="1"/>
    <col min="8457" max="8704" width="9.140625" style="195"/>
    <col min="8705" max="8705" width="32.85546875" style="195" customWidth="1"/>
    <col min="8706" max="8712" width="8.28515625" style="195" customWidth="1"/>
    <col min="8713" max="8960" width="9.140625" style="195"/>
    <col min="8961" max="8961" width="32.85546875" style="195" customWidth="1"/>
    <col min="8962" max="8968" width="8.28515625" style="195" customWidth="1"/>
    <col min="8969" max="9216" width="9.140625" style="195"/>
    <col min="9217" max="9217" width="32.85546875" style="195" customWidth="1"/>
    <col min="9218" max="9224" width="8.28515625" style="195" customWidth="1"/>
    <col min="9225" max="9472" width="9.140625" style="195"/>
    <col min="9473" max="9473" width="32.85546875" style="195" customWidth="1"/>
    <col min="9474" max="9480" width="8.28515625" style="195" customWidth="1"/>
    <col min="9481" max="9728" width="9.140625" style="195"/>
    <col min="9729" max="9729" width="32.85546875" style="195" customWidth="1"/>
    <col min="9730" max="9736" width="8.28515625" style="195" customWidth="1"/>
    <col min="9737" max="9984" width="9.140625" style="195"/>
    <col min="9985" max="9985" width="32.85546875" style="195" customWidth="1"/>
    <col min="9986" max="9992" width="8.28515625" style="195" customWidth="1"/>
    <col min="9993" max="10240" width="9.140625" style="195"/>
    <col min="10241" max="10241" width="32.85546875" style="195" customWidth="1"/>
    <col min="10242" max="10248" width="8.28515625" style="195" customWidth="1"/>
    <col min="10249" max="10496" width="9.140625" style="195"/>
    <col min="10497" max="10497" width="32.85546875" style="195" customWidth="1"/>
    <col min="10498" max="10504" width="8.28515625" style="195" customWidth="1"/>
    <col min="10505" max="10752" width="9.140625" style="195"/>
    <col min="10753" max="10753" width="32.85546875" style="195" customWidth="1"/>
    <col min="10754" max="10760" width="8.28515625" style="195" customWidth="1"/>
    <col min="10761" max="11008" width="9.140625" style="195"/>
    <col min="11009" max="11009" width="32.85546875" style="195" customWidth="1"/>
    <col min="11010" max="11016" width="8.28515625" style="195" customWidth="1"/>
    <col min="11017" max="11264" width="9.140625" style="195"/>
    <col min="11265" max="11265" width="32.85546875" style="195" customWidth="1"/>
    <col min="11266" max="11272" width="8.28515625" style="195" customWidth="1"/>
    <col min="11273" max="11520" width="9.140625" style="195"/>
    <col min="11521" max="11521" width="32.85546875" style="195" customWidth="1"/>
    <col min="11522" max="11528" width="8.28515625" style="195" customWidth="1"/>
    <col min="11529" max="11776" width="9.140625" style="195"/>
    <col min="11777" max="11777" width="32.85546875" style="195" customWidth="1"/>
    <col min="11778" max="11784" width="8.28515625" style="195" customWidth="1"/>
    <col min="11785" max="12032" width="9.140625" style="195"/>
    <col min="12033" max="12033" width="32.85546875" style="195" customWidth="1"/>
    <col min="12034" max="12040" width="8.28515625" style="195" customWidth="1"/>
    <col min="12041" max="12288" width="9.140625" style="195"/>
    <col min="12289" max="12289" width="32.85546875" style="195" customWidth="1"/>
    <col min="12290" max="12296" width="8.28515625" style="195" customWidth="1"/>
    <col min="12297" max="12544" width="9.140625" style="195"/>
    <col min="12545" max="12545" width="32.85546875" style="195" customWidth="1"/>
    <col min="12546" max="12552" width="8.28515625" style="195" customWidth="1"/>
    <col min="12553" max="12800" width="9.140625" style="195"/>
    <col min="12801" max="12801" width="32.85546875" style="195" customWidth="1"/>
    <col min="12802" max="12808" width="8.28515625" style="195" customWidth="1"/>
    <col min="12809" max="13056" width="9.140625" style="195"/>
    <col min="13057" max="13057" width="32.85546875" style="195" customWidth="1"/>
    <col min="13058" max="13064" width="8.28515625" style="195" customWidth="1"/>
    <col min="13065" max="13312" width="9.140625" style="195"/>
    <col min="13313" max="13313" width="32.85546875" style="195" customWidth="1"/>
    <col min="13314" max="13320" width="8.28515625" style="195" customWidth="1"/>
    <col min="13321" max="13568" width="9.140625" style="195"/>
    <col min="13569" max="13569" width="32.85546875" style="195" customWidth="1"/>
    <col min="13570" max="13576" width="8.28515625" style="195" customWidth="1"/>
    <col min="13577" max="13824" width="9.140625" style="195"/>
    <col min="13825" max="13825" width="32.85546875" style="195" customWidth="1"/>
    <col min="13826" max="13832" width="8.28515625" style="195" customWidth="1"/>
    <col min="13833" max="14080" width="9.140625" style="195"/>
    <col min="14081" max="14081" width="32.85546875" style="195" customWidth="1"/>
    <col min="14082" max="14088" width="8.28515625" style="195" customWidth="1"/>
    <col min="14089" max="14336" width="9.140625" style="195"/>
    <col min="14337" max="14337" width="32.85546875" style="195" customWidth="1"/>
    <col min="14338" max="14344" width="8.28515625" style="195" customWidth="1"/>
    <col min="14345" max="14592" width="9.140625" style="195"/>
    <col min="14593" max="14593" width="32.85546875" style="195" customWidth="1"/>
    <col min="14594" max="14600" width="8.28515625" style="195" customWidth="1"/>
    <col min="14601" max="14848" width="9.140625" style="195"/>
    <col min="14849" max="14849" width="32.85546875" style="195" customWidth="1"/>
    <col min="14850" max="14856" width="8.28515625" style="195" customWidth="1"/>
    <col min="14857" max="15104" width="9.140625" style="195"/>
    <col min="15105" max="15105" width="32.85546875" style="195" customWidth="1"/>
    <col min="15106" max="15112" width="8.28515625" style="195" customWidth="1"/>
    <col min="15113" max="15360" width="9.140625" style="195"/>
    <col min="15361" max="15361" width="32.85546875" style="195" customWidth="1"/>
    <col min="15362" max="15368" width="8.28515625" style="195" customWidth="1"/>
    <col min="15369" max="15616" width="9.140625" style="195"/>
    <col min="15617" max="15617" width="32.85546875" style="195" customWidth="1"/>
    <col min="15618" max="15624" width="8.28515625" style="195" customWidth="1"/>
    <col min="15625" max="15872" width="9.140625" style="195"/>
    <col min="15873" max="15873" width="32.85546875" style="195" customWidth="1"/>
    <col min="15874" max="15880" width="8.28515625" style="195" customWidth="1"/>
    <col min="15881" max="16128" width="9.140625" style="195"/>
    <col min="16129" max="16129" width="32.85546875" style="195" customWidth="1"/>
    <col min="16130" max="16136" width="8.28515625" style="195" customWidth="1"/>
    <col min="16137" max="16384" width="9.140625" style="195"/>
  </cols>
  <sheetData>
    <row r="1" spans="1:74" x14ac:dyDescent="0.2">
      <c r="A1" s="194"/>
    </row>
    <row r="2" spans="1:74" x14ac:dyDescent="0.2">
      <c r="A2" s="194"/>
    </row>
    <row r="3" spans="1:74" x14ac:dyDescent="0.2">
      <c r="A3" s="196"/>
      <c r="S3" s="197" t="e">
        <f>E16/#REF!-1</f>
        <v>#REF!</v>
      </c>
      <c r="AD3" s="197" t="e">
        <f>H16/#REF!-1</f>
        <v>#REF!</v>
      </c>
      <c r="AO3" s="197" t="e">
        <f>K16/#REF!-1</f>
        <v>#REF!</v>
      </c>
      <c r="AZ3" s="197" t="e">
        <f>N16/#REF!-1</f>
        <v>#REF!</v>
      </c>
      <c r="BK3" s="197" t="e">
        <f>Q16/W16-1</f>
        <v>#DIV/0!</v>
      </c>
      <c r="BV3" s="197" t="e">
        <f>AB16/AH16-1</f>
        <v>#REF!</v>
      </c>
    </row>
    <row r="4" spans="1:74" x14ac:dyDescent="0.2">
      <c r="A4" s="194"/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</row>
    <row r="5" spans="1:74" x14ac:dyDescent="0.2">
      <c r="A5" s="194"/>
    </row>
    <row r="6" spans="1:74" ht="13.5" thickBot="1" x14ac:dyDescent="0.25">
      <c r="A6" s="194"/>
      <c r="B6" s="198" t="str">
        <f>B8</f>
        <v>2022-23</v>
      </c>
      <c r="E6" s="198" t="str">
        <f>E8</f>
        <v>2025-26</v>
      </c>
      <c r="H6" s="198" t="str">
        <f>H8</f>
        <v>2029-30</v>
      </c>
      <c r="K6" s="198" t="str">
        <f>K8</f>
        <v>2033-34</v>
      </c>
      <c r="N6" s="198" t="str">
        <f>N8</f>
        <v>2037-38</v>
      </c>
      <c r="Q6" s="198" t="str">
        <f>Q8</f>
        <v>2041-42</v>
      </c>
      <c r="AJ6" s="199" t="s">
        <v>59</v>
      </c>
    </row>
    <row r="7" spans="1:74" ht="15" x14ac:dyDescent="0.25">
      <c r="B7" s="200" t="s">
        <v>151</v>
      </c>
      <c r="C7" s="201" t="s">
        <v>153</v>
      </c>
      <c r="D7" s="201" t="s">
        <v>154</v>
      </c>
      <c r="E7" s="200" t="s">
        <v>151</v>
      </c>
      <c r="F7" s="201" t="s">
        <v>153</v>
      </c>
      <c r="G7" s="201" t="s">
        <v>154</v>
      </c>
      <c r="H7" s="200" t="s">
        <v>151</v>
      </c>
      <c r="I7" s="201" t="s">
        <v>153</v>
      </c>
      <c r="J7" s="201" t="s">
        <v>154</v>
      </c>
      <c r="K7" s="200" t="s">
        <v>151</v>
      </c>
      <c r="L7" s="201" t="s">
        <v>153</v>
      </c>
      <c r="M7" s="201" t="s">
        <v>154</v>
      </c>
      <c r="N7" s="200" t="s">
        <v>151</v>
      </c>
      <c r="O7" s="201" t="s">
        <v>153</v>
      </c>
      <c r="P7" s="201" t="s">
        <v>154</v>
      </c>
      <c r="Q7" s="200" t="s">
        <v>151</v>
      </c>
      <c r="R7" s="201" t="s">
        <v>153</v>
      </c>
      <c r="S7" s="201" t="s">
        <v>154</v>
      </c>
      <c r="T7" s="203"/>
      <c r="U7" s="203"/>
      <c r="V7" s="203"/>
      <c r="W7" s="203"/>
      <c r="X7" s="203"/>
      <c r="Y7" s="203"/>
      <c r="Z7" s="203"/>
      <c r="AA7" s="204"/>
      <c r="AB7" s="202" t="str">
        <f>X21</f>
        <v>2041-42</v>
      </c>
      <c r="AC7" s="205" t="str">
        <f>X31</f>
        <v>2041-42</v>
      </c>
      <c r="AD7" s="206" t="str">
        <f>X41</f>
        <v>2041-42</v>
      </c>
      <c r="AE7" s="205" t="e">
        <f>#REF!</f>
        <v>#REF!</v>
      </c>
      <c r="AF7" s="205" t="e">
        <f>#REF!</f>
        <v>#REF!</v>
      </c>
      <c r="AG7" s="205" t="e">
        <f>#REF!</f>
        <v>#REF!</v>
      </c>
      <c r="AH7" s="205" t="e">
        <f>#REF!</f>
        <v>#REF!</v>
      </c>
      <c r="AI7" s="205" t="e">
        <f>#REF!</f>
        <v>#REF!</v>
      </c>
      <c r="AJ7" s="205" t="e">
        <f>#REF!</f>
        <v>#REF!</v>
      </c>
      <c r="AK7" s="205" t="e">
        <f>#REF!</f>
        <v>#REF!</v>
      </c>
      <c r="AL7" s="207" t="e">
        <f>#REF!</f>
        <v>#REF!</v>
      </c>
    </row>
    <row r="8" spans="1:74" ht="13.5" thickBot="1" x14ac:dyDescent="0.25">
      <c r="B8" s="202" t="s">
        <v>47</v>
      </c>
      <c r="C8" s="203" t="s">
        <v>47</v>
      </c>
      <c r="D8" s="203" t="s">
        <v>47</v>
      </c>
      <c r="E8" s="202" t="s">
        <v>50</v>
      </c>
      <c r="F8" s="203" t="s">
        <v>50</v>
      </c>
      <c r="G8" s="203" t="s">
        <v>50</v>
      </c>
      <c r="H8" s="202" t="s">
        <v>54</v>
      </c>
      <c r="I8" s="203" t="s">
        <v>54</v>
      </c>
      <c r="J8" s="203" t="s">
        <v>54</v>
      </c>
      <c r="K8" s="202" t="s">
        <v>58</v>
      </c>
      <c r="L8" s="203" t="s">
        <v>58</v>
      </c>
      <c r="M8" s="203" t="s">
        <v>58</v>
      </c>
      <c r="N8" s="202" t="s">
        <v>62</v>
      </c>
      <c r="O8" s="203" t="s">
        <v>62</v>
      </c>
      <c r="P8" s="203" t="s">
        <v>62</v>
      </c>
      <c r="Q8" s="202" t="s">
        <v>81</v>
      </c>
      <c r="R8" s="203" t="s">
        <v>81</v>
      </c>
      <c r="S8" s="203" t="s">
        <v>81</v>
      </c>
      <c r="T8" s="203"/>
      <c r="U8" s="203"/>
      <c r="V8" s="203"/>
      <c r="W8" s="203"/>
      <c r="X8" s="203"/>
      <c r="Y8" s="203"/>
      <c r="Z8" s="203"/>
      <c r="AA8" s="204"/>
      <c r="AB8" s="202"/>
      <c r="AC8" s="205"/>
      <c r="AD8" s="206"/>
      <c r="AE8" s="205"/>
      <c r="AF8" s="205"/>
      <c r="AG8" s="205"/>
      <c r="AH8" s="205"/>
      <c r="AI8" s="205"/>
      <c r="AJ8" s="205"/>
      <c r="AK8" s="205"/>
      <c r="AL8" s="207"/>
    </row>
    <row r="9" spans="1:74" ht="12.75" customHeight="1" thickBot="1" x14ac:dyDescent="0.25">
      <c r="A9" s="223" t="s">
        <v>19</v>
      </c>
      <c r="B9" s="208" t="str">
        <f t="shared" ref="B9:B16" si="0">$E22</f>
        <v>-</v>
      </c>
      <c r="C9" s="209" t="str">
        <f t="shared" ref="C9:C16" si="1">$E32</f>
        <v>-</v>
      </c>
      <c r="D9" s="209" t="str">
        <f t="shared" ref="D9:D16" si="2">$E42</f>
        <v>-</v>
      </c>
      <c r="E9" s="202" t="str">
        <f t="shared" ref="E9:E16" si="3">$H22</f>
        <v>-</v>
      </c>
      <c r="F9" s="203" t="str">
        <f t="shared" ref="F9:F16" si="4">$H32</f>
        <v>-</v>
      </c>
      <c r="G9" s="203" t="str">
        <f t="shared" ref="G9:G16" si="5">$H42</f>
        <v>-</v>
      </c>
      <c r="H9" s="202" t="str">
        <f t="shared" ref="H9:H16" si="6">$L22</f>
        <v>-</v>
      </c>
      <c r="I9" s="203" t="str">
        <f t="shared" ref="I9:I16" si="7">$L32</f>
        <v>-</v>
      </c>
      <c r="J9" s="203" t="str">
        <f t="shared" ref="J9:J16" si="8">$L42</f>
        <v>-</v>
      </c>
      <c r="K9" s="202" t="str">
        <f t="shared" ref="K9:K16" si="9">$P22</f>
        <v>-</v>
      </c>
      <c r="L9" s="203" t="str">
        <f t="shared" ref="L9:L16" si="10">$P32</f>
        <v>-</v>
      </c>
      <c r="M9" s="203" t="str">
        <f t="shared" ref="M9:M16" si="11">$P42</f>
        <v>-</v>
      </c>
      <c r="N9" s="202" t="str">
        <f t="shared" ref="N9:N16" si="12">$T22</f>
        <v>-</v>
      </c>
      <c r="O9" s="203" t="str">
        <f t="shared" ref="O9:O16" si="13">$T32</f>
        <v>-</v>
      </c>
      <c r="P9" s="203">
        <f t="shared" ref="P9:P16" si="14">$T42</f>
        <v>21</v>
      </c>
      <c r="Q9" s="202" t="str">
        <f t="shared" ref="Q9:Q16" si="15">$X22</f>
        <v>-</v>
      </c>
      <c r="R9" s="203" t="str">
        <f t="shared" ref="R9:R16" si="16">$X32</f>
        <v>-</v>
      </c>
      <c r="S9" s="203">
        <f t="shared" ref="S9:S16" si="17">$X42</f>
        <v>30</v>
      </c>
      <c r="T9" s="203"/>
      <c r="U9" s="203"/>
      <c r="V9" s="203"/>
      <c r="W9" s="203"/>
      <c r="X9" s="203"/>
      <c r="Y9" s="203"/>
      <c r="Z9" s="203"/>
      <c r="AA9" s="204"/>
      <c r="AB9" s="202" t="str">
        <f>$X22</f>
        <v>-</v>
      </c>
      <c r="AC9" s="203" t="str">
        <f>$X32</f>
        <v>-</v>
      </c>
      <c r="AD9" s="203">
        <f>$X42</f>
        <v>30</v>
      </c>
      <c r="AE9" s="203" t="e">
        <f>#REF!</f>
        <v>#REF!</v>
      </c>
      <c r="AF9" s="210"/>
      <c r="AG9" s="203" t="e">
        <f>#REF!</f>
        <v>#REF!</v>
      </c>
      <c r="AH9" s="203" t="e">
        <f>#REF!</f>
        <v>#REF!</v>
      </c>
      <c r="AI9" s="203" t="e">
        <f>#REF!</f>
        <v>#REF!</v>
      </c>
      <c r="AJ9" s="203" t="e">
        <f>#REF!</f>
        <v>#REF!</v>
      </c>
      <c r="AK9" s="203" t="e">
        <f>#REF!</f>
        <v>#REF!</v>
      </c>
      <c r="AL9" s="204" t="e">
        <f>#REF!</f>
        <v>#REF!</v>
      </c>
    </row>
    <row r="10" spans="1:74" ht="12.75" customHeight="1" thickBot="1" x14ac:dyDescent="0.25">
      <c r="A10" s="223" t="s">
        <v>21</v>
      </c>
      <c r="B10" s="208" t="str">
        <f t="shared" si="0"/>
        <v>-</v>
      </c>
      <c r="C10" s="209" t="str">
        <f t="shared" si="1"/>
        <v>-</v>
      </c>
      <c r="D10" s="209" t="str">
        <f t="shared" si="2"/>
        <v>-</v>
      </c>
      <c r="E10" s="202" t="str">
        <f t="shared" si="3"/>
        <v>-</v>
      </c>
      <c r="F10" s="203" t="str">
        <f t="shared" si="4"/>
        <v>-</v>
      </c>
      <c r="G10" s="203" t="str">
        <f t="shared" si="5"/>
        <v>-</v>
      </c>
      <c r="H10" s="202" t="str">
        <f t="shared" si="6"/>
        <v>-</v>
      </c>
      <c r="I10" s="203" t="str">
        <f t="shared" si="7"/>
        <v>-</v>
      </c>
      <c r="J10" s="203" t="str">
        <f t="shared" si="8"/>
        <v>-</v>
      </c>
      <c r="K10" s="202" t="str">
        <f t="shared" si="9"/>
        <v>-</v>
      </c>
      <c r="L10" s="203" t="str">
        <f t="shared" si="10"/>
        <v>-</v>
      </c>
      <c r="M10" s="203" t="str">
        <f t="shared" si="11"/>
        <v>-</v>
      </c>
      <c r="N10" s="202" t="str">
        <f t="shared" si="12"/>
        <v>-</v>
      </c>
      <c r="O10" s="203" t="str">
        <f t="shared" si="13"/>
        <v>-</v>
      </c>
      <c r="P10" s="203" t="str">
        <f t="shared" si="14"/>
        <v>-</v>
      </c>
      <c r="Q10" s="202" t="str">
        <f t="shared" si="15"/>
        <v>-</v>
      </c>
      <c r="R10" s="203" t="str">
        <f t="shared" si="16"/>
        <v>-</v>
      </c>
      <c r="S10" s="203" t="str">
        <f t="shared" si="17"/>
        <v>-</v>
      </c>
      <c r="T10" s="203"/>
      <c r="U10" s="203"/>
      <c r="V10" s="203"/>
      <c r="W10" s="203"/>
      <c r="X10" s="203"/>
      <c r="Y10" s="203"/>
      <c r="Z10" s="203"/>
      <c r="AA10" s="204"/>
      <c r="AB10" s="211"/>
      <c r="AC10" s="210"/>
      <c r="AD10" s="210"/>
      <c r="AE10" s="210"/>
      <c r="AF10" s="203" t="e">
        <f>#REF!</f>
        <v>#REF!</v>
      </c>
      <c r="AG10" s="210"/>
      <c r="AH10" s="210"/>
      <c r="AI10" s="210"/>
      <c r="AJ10" s="210"/>
      <c r="AK10" s="210"/>
      <c r="AL10" s="212"/>
    </row>
    <row r="11" spans="1:74" ht="12.75" customHeight="1" thickBot="1" x14ac:dyDescent="0.25">
      <c r="A11" s="223" t="s">
        <v>85</v>
      </c>
      <c r="B11" s="208" t="str">
        <f t="shared" si="0"/>
        <v>-</v>
      </c>
      <c r="C11" s="209" t="str">
        <f t="shared" si="1"/>
        <v>-</v>
      </c>
      <c r="D11" s="209" t="str">
        <f t="shared" si="2"/>
        <v>-</v>
      </c>
      <c r="E11" s="202" t="str">
        <f t="shared" si="3"/>
        <v>-</v>
      </c>
      <c r="F11" s="203" t="str">
        <f t="shared" si="4"/>
        <v>-</v>
      </c>
      <c r="G11" s="203" t="str">
        <f t="shared" si="5"/>
        <v>-</v>
      </c>
      <c r="H11" s="202" t="str">
        <f t="shared" si="6"/>
        <v>-</v>
      </c>
      <c r="I11" s="203" t="str">
        <f t="shared" si="7"/>
        <v>-</v>
      </c>
      <c r="J11" s="203" t="str">
        <f t="shared" si="8"/>
        <v>-</v>
      </c>
      <c r="K11" s="202" t="str">
        <f t="shared" si="9"/>
        <v>-</v>
      </c>
      <c r="L11" s="203" t="str">
        <f t="shared" si="10"/>
        <v>-</v>
      </c>
      <c r="M11" s="203" t="str">
        <f t="shared" si="11"/>
        <v>-</v>
      </c>
      <c r="N11" s="202" t="str">
        <f t="shared" si="12"/>
        <v>-</v>
      </c>
      <c r="O11" s="203" t="str">
        <f t="shared" si="13"/>
        <v>-</v>
      </c>
      <c r="P11" s="203" t="str">
        <f t="shared" si="14"/>
        <v>-</v>
      </c>
      <c r="Q11" s="202" t="str">
        <f t="shared" si="15"/>
        <v>-</v>
      </c>
      <c r="R11" s="203" t="str">
        <f t="shared" si="16"/>
        <v>-</v>
      </c>
      <c r="S11" s="203" t="str">
        <f t="shared" si="17"/>
        <v>-</v>
      </c>
      <c r="T11" s="203"/>
      <c r="U11" s="203"/>
      <c r="V11" s="203"/>
      <c r="W11" s="203"/>
      <c r="X11" s="203"/>
      <c r="Y11" s="203"/>
      <c r="Z11" s="203"/>
      <c r="AA11" s="204"/>
      <c r="AB11" s="202" t="str">
        <f t="shared" ref="AB11:AB16" si="18">$X24</f>
        <v>-</v>
      </c>
      <c r="AC11" s="203" t="str">
        <f t="shared" ref="AC11:AC16" si="19">$X34</f>
        <v>-</v>
      </c>
      <c r="AD11" s="203" t="str">
        <f t="shared" ref="AD11:AD16" si="20">$X44</f>
        <v>-</v>
      </c>
      <c r="AE11" s="203" t="e">
        <f>#REF!</f>
        <v>#REF!</v>
      </c>
      <c r="AF11" s="203" t="e">
        <f>#REF!</f>
        <v>#REF!</v>
      </c>
      <c r="AG11" s="203" t="e">
        <f>#REF!</f>
        <v>#REF!</v>
      </c>
      <c r="AH11" s="203" t="e">
        <f>#REF!</f>
        <v>#REF!</v>
      </c>
      <c r="AI11" s="203" t="e">
        <f>#REF!</f>
        <v>#REF!</v>
      </c>
      <c r="AJ11" s="203" t="e">
        <f>#REF!</f>
        <v>#REF!</v>
      </c>
      <c r="AK11" s="203" t="e">
        <f>#REF!</f>
        <v>#REF!</v>
      </c>
      <c r="AL11" s="204" t="e">
        <f>#REF!</f>
        <v>#REF!</v>
      </c>
    </row>
    <row r="12" spans="1:74" ht="12.75" customHeight="1" thickBot="1" x14ac:dyDescent="0.25">
      <c r="A12" s="223" t="s">
        <v>22</v>
      </c>
      <c r="B12" s="208" t="str">
        <f t="shared" si="0"/>
        <v>-</v>
      </c>
      <c r="C12" s="209" t="str">
        <f t="shared" si="1"/>
        <v>-</v>
      </c>
      <c r="D12" s="209" t="str">
        <f t="shared" si="2"/>
        <v>-</v>
      </c>
      <c r="E12" s="202" t="str">
        <f t="shared" si="3"/>
        <v>-</v>
      </c>
      <c r="F12" s="203" t="str">
        <f t="shared" si="4"/>
        <v>-</v>
      </c>
      <c r="G12" s="203" t="str">
        <f t="shared" si="5"/>
        <v>-</v>
      </c>
      <c r="H12" s="202" t="str">
        <f t="shared" si="6"/>
        <v>-</v>
      </c>
      <c r="I12" s="203" t="str">
        <f t="shared" si="7"/>
        <v>-</v>
      </c>
      <c r="J12" s="203" t="str">
        <f t="shared" si="8"/>
        <v>-</v>
      </c>
      <c r="K12" s="202" t="str">
        <f t="shared" si="9"/>
        <v>-</v>
      </c>
      <c r="L12" s="203" t="str">
        <f t="shared" si="10"/>
        <v>-</v>
      </c>
      <c r="M12" s="203" t="str">
        <f t="shared" si="11"/>
        <v>-</v>
      </c>
      <c r="N12" s="202" t="str">
        <f t="shared" si="12"/>
        <v>-</v>
      </c>
      <c r="O12" s="203" t="str">
        <f t="shared" si="13"/>
        <v>-</v>
      </c>
      <c r="P12" s="203" t="str">
        <f t="shared" si="14"/>
        <v>-</v>
      </c>
      <c r="Q12" s="202" t="str">
        <f t="shared" si="15"/>
        <v>-</v>
      </c>
      <c r="R12" s="203" t="str">
        <f t="shared" si="16"/>
        <v>-</v>
      </c>
      <c r="S12" s="203" t="str">
        <f t="shared" si="17"/>
        <v>-</v>
      </c>
      <c r="T12" s="203"/>
      <c r="U12" s="203"/>
      <c r="V12" s="203"/>
      <c r="W12" s="203"/>
      <c r="X12" s="203"/>
      <c r="Y12" s="203"/>
      <c r="Z12" s="203"/>
      <c r="AA12" s="204"/>
      <c r="AB12" s="202" t="str">
        <f t="shared" si="18"/>
        <v>-</v>
      </c>
      <c r="AC12" s="203" t="str">
        <f t="shared" si="19"/>
        <v>-</v>
      </c>
      <c r="AD12" s="203" t="str">
        <f t="shared" si="20"/>
        <v>-</v>
      </c>
      <c r="AE12" s="203" t="e">
        <f>#REF!</f>
        <v>#REF!</v>
      </c>
      <c r="AF12" s="203" t="e">
        <f>#REF!</f>
        <v>#REF!</v>
      </c>
      <c r="AG12" s="203" t="e">
        <f>#REF!</f>
        <v>#REF!</v>
      </c>
      <c r="AH12" s="203" t="e">
        <f>#REF!</f>
        <v>#REF!</v>
      </c>
      <c r="AI12" s="203" t="e">
        <f>#REF!</f>
        <v>#REF!</v>
      </c>
      <c r="AJ12" s="203" t="e">
        <f>#REF!</f>
        <v>#REF!</v>
      </c>
      <c r="AK12" s="203" t="e">
        <f>#REF!</f>
        <v>#REF!</v>
      </c>
      <c r="AL12" s="204" t="e">
        <f>#REF!</f>
        <v>#REF!</v>
      </c>
    </row>
    <row r="13" spans="1:74" ht="12.75" customHeight="1" thickBot="1" x14ac:dyDescent="0.25">
      <c r="A13" s="223" t="s">
        <v>23</v>
      </c>
      <c r="B13" s="208" t="str">
        <f>$E26</f>
        <v>-</v>
      </c>
      <c r="C13" s="209" t="str">
        <f>$E36</f>
        <v>-</v>
      </c>
      <c r="D13" s="209" t="str">
        <f>$E46</f>
        <v>-</v>
      </c>
      <c r="E13" s="202" t="str">
        <f t="shared" si="3"/>
        <v>-</v>
      </c>
      <c r="F13" s="203" t="str">
        <f t="shared" si="4"/>
        <v>-</v>
      </c>
      <c r="G13" s="203">
        <f t="shared" si="5"/>
        <v>15</v>
      </c>
      <c r="H13" s="202" t="str">
        <f t="shared" si="6"/>
        <v>-</v>
      </c>
      <c r="I13" s="203" t="str">
        <f t="shared" si="7"/>
        <v>-</v>
      </c>
      <c r="J13" s="203">
        <f t="shared" si="8"/>
        <v>15</v>
      </c>
      <c r="K13" s="202" t="str">
        <f t="shared" si="9"/>
        <v>-</v>
      </c>
      <c r="L13" s="203" t="str">
        <f t="shared" si="10"/>
        <v>-</v>
      </c>
      <c r="M13" s="203">
        <f t="shared" si="11"/>
        <v>15</v>
      </c>
      <c r="N13" s="202" t="str">
        <f t="shared" si="12"/>
        <v>-</v>
      </c>
      <c r="O13" s="203" t="str">
        <f t="shared" si="13"/>
        <v>-</v>
      </c>
      <c r="P13" s="203">
        <f t="shared" si="14"/>
        <v>15</v>
      </c>
      <c r="Q13" s="202" t="str">
        <f t="shared" si="15"/>
        <v>-</v>
      </c>
      <c r="R13" s="203" t="str">
        <f t="shared" si="16"/>
        <v>-</v>
      </c>
      <c r="S13" s="203">
        <f t="shared" si="17"/>
        <v>15</v>
      </c>
      <c r="T13" s="203"/>
      <c r="U13" s="203"/>
      <c r="V13" s="203"/>
      <c r="W13" s="203"/>
      <c r="X13" s="203"/>
      <c r="Y13" s="203"/>
      <c r="Z13" s="203"/>
      <c r="AA13" s="204"/>
      <c r="AB13" s="202" t="str">
        <f t="shared" si="18"/>
        <v>-</v>
      </c>
      <c r="AC13" s="203" t="str">
        <f t="shared" si="19"/>
        <v>-</v>
      </c>
      <c r="AD13" s="203">
        <f t="shared" si="20"/>
        <v>15</v>
      </c>
      <c r="AE13" s="203" t="e">
        <f>#REF!</f>
        <v>#REF!</v>
      </c>
      <c r="AF13" s="203" t="e">
        <f>#REF!</f>
        <v>#REF!</v>
      </c>
      <c r="AG13" s="203" t="e">
        <f>#REF!</f>
        <v>#REF!</v>
      </c>
      <c r="AH13" s="203" t="e">
        <f>#REF!</f>
        <v>#REF!</v>
      </c>
      <c r="AI13" s="203" t="e">
        <f>#REF!</f>
        <v>#REF!</v>
      </c>
      <c r="AJ13" s="203" t="e">
        <f>#REF!</f>
        <v>#REF!</v>
      </c>
      <c r="AK13" s="203" t="e">
        <f>#REF!</f>
        <v>#REF!</v>
      </c>
      <c r="AL13" s="204" t="e">
        <f>#REF!</f>
        <v>#REF!</v>
      </c>
    </row>
    <row r="14" spans="1:74" ht="12.75" customHeight="1" thickBot="1" x14ac:dyDescent="0.25">
      <c r="A14" s="223" t="s">
        <v>24</v>
      </c>
      <c r="B14" s="208" t="str">
        <f t="shared" si="0"/>
        <v>-</v>
      </c>
      <c r="C14" s="209" t="str">
        <f t="shared" si="1"/>
        <v>-</v>
      </c>
      <c r="D14" s="209" t="str">
        <f t="shared" si="2"/>
        <v>-</v>
      </c>
      <c r="E14" s="202" t="str">
        <f t="shared" si="3"/>
        <v>-</v>
      </c>
      <c r="F14" s="203" t="str">
        <f t="shared" si="4"/>
        <v>-</v>
      </c>
      <c r="G14" s="203" t="str">
        <f t="shared" si="5"/>
        <v>-</v>
      </c>
      <c r="H14" s="202" t="str">
        <f t="shared" si="6"/>
        <v>-</v>
      </c>
      <c r="I14" s="203" t="str">
        <f t="shared" si="7"/>
        <v>-</v>
      </c>
      <c r="J14" s="203" t="str">
        <f t="shared" si="8"/>
        <v>-</v>
      </c>
      <c r="K14" s="202" t="str">
        <f t="shared" si="9"/>
        <v>-</v>
      </c>
      <c r="L14" s="203" t="str">
        <f t="shared" si="10"/>
        <v>-</v>
      </c>
      <c r="M14" s="203" t="str">
        <f t="shared" si="11"/>
        <v>-</v>
      </c>
      <c r="N14" s="202" t="str">
        <f t="shared" si="12"/>
        <v>-</v>
      </c>
      <c r="O14" s="203" t="str">
        <f t="shared" si="13"/>
        <v>-</v>
      </c>
      <c r="P14" s="203" t="str">
        <f t="shared" si="14"/>
        <v>-</v>
      </c>
      <c r="Q14" s="202" t="str">
        <f t="shared" si="15"/>
        <v>-</v>
      </c>
      <c r="R14" s="203" t="str">
        <f t="shared" si="16"/>
        <v>-</v>
      </c>
      <c r="S14" s="203" t="str">
        <f t="shared" si="17"/>
        <v>-</v>
      </c>
      <c r="T14" s="203"/>
      <c r="U14" s="203"/>
      <c r="V14" s="203"/>
      <c r="W14" s="203"/>
      <c r="X14" s="203"/>
      <c r="Y14" s="203"/>
      <c r="Z14" s="203"/>
      <c r="AA14" s="204"/>
      <c r="AB14" s="202" t="str">
        <f t="shared" si="18"/>
        <v>-</v>
      </c>
      <c r="AC14" s="203" t="str">
        <f t="shared" si="19"/>
        <v>-</v>
      </c>
      <c r="AD14" s="203" t="str">
        <f t="shared" si="20"/>
        <v>-</v>
      </c>
      <c r="AE14" s="203" t="e">
        <f>#REF!</f>
        <v>#REF!</v>
      </c>
      <c r="AF14" s="203" t="e">
        <f>#REF!</f>
        <v>#REF!</v>
      </c>
      <c r="AG14" s="203" t="e">
        <f>#REF!</f>
        <v>#REF!</v>
      </c>
      <c r="AH14" s="203" t="e">
        <f>#REF!</f>
        <v>#REF!</v>
      </c>
      <c r="AI14" s="203" t="e">
        <f>#REF!</f>
        <v>#REF!</v>
      </c>
      <c r="AJ14" s="203" t="e">
        <f>#REF!</f>
        <v>#REF!</v>
      </c>
      <c r="AK14" s="203" t="e">
        <f>#REF!</f>
        <v>#REF!</v>
      </c>
      <c r="AL14" s="204" t="e">
        <f>#REF!</f>
        <v>#REF!</v>
      </c>
    </row>
    <row r="15" spans="1:74" ht="12.75" customHeight="1" thickBot="1" x14ac:dyDescent="0.25">
      <c r="A15" s="224" t="s">
        <v>14</v>
      </c>
      <c r="B15" s="208" t="str">
        <f t="shared" si="0"/>
        <v>-</v>
      </c>
      <c r="C15" s="209" t="str">
        <f t="shared" si="1"/>
        <v>-</v>
      </c>
      <c r="D15" s="209" t="str">
        <f t="shared" si="2"/>
        <v>-</v>
      </c>
      <c r="E15" s="202" t="str">
        <f t="shared" si="3"/>
        <v>-</v>
      </c>
      <c r="F15" s="203" t="str">
        <f t="shared" si="4"/>
        <v>-</v>
      </c>
      <c r="G15" s="203">
        <f t="shared" si="5"/>
        <v>0</v>
      </c>
      <c r="H15" s="202" t="str">
        <f t="shared" si="6"/>
        <v>-</v>
      </c>
      <c r="I15" s="203" t="str">
        <f t="shared" si="7"/>
        <v>-</v>
      </c>
      <c r="J15" s="203">
        <f t="shared" si="8"/>
        <v>0</v>
      </c>
      <c r="K15" s="202" t="str">
        <f t="shared" si="9"/>
        <v>-</v>
      </c>
      <c r="L15" s="203" t="str">
        <f t="shared" si="10"/>
        <v>-</v>
      </c>
      <c r="M15" s="203">
        <f t="shared" si="11"/>
        <v>0</v>
      </c>
      <c r="N15" s="202" t="str">
        <f t="shared" si="12"/>
        <v>-</v>
      </c>
      <c r="O15" s="203" t="str">
        <f t="shared" si="13"/>
        <v>-</v>
      </c>
      <c r="P15" s="203">
        <f t="shared" si="14"/>
        <v>30</v>
      </c>
      <c r="Q15" s="202" t="str">
        <f t="shared" si="15"/>
        <v>-</v>
      </c>
      <c r="R15" s="203" t="str">
        <f t="shared" si="16"/>
        <v>-</v>
      </c>
      <c r="S15" s="203">
        <f t="shared" si="17"/>
        <v>30</v>
      </c>
      <c r="T15" s="203"/>
      <c r="U15" s="203"/>
      <c r="V15" s="203"/>
      <c r="W15" s="203"/>
      <c r="X15" s="203"/>
      <c r="Y15" s="203"/>
      <c r="Z15" s="203"/>
      <c r="AA15" s="204"/>
      <c r="AB15" s="202" t="str">
        <f t="shared" si="18"/>
        <v>-</v>
      </c>
      <c r="AC15" s="203" t="str">
        <f t="shared" si="19"/>
        <v>-</v>
      </c>
      <c r="AD15" s="203">
        <f t="shared" si="20"/>
        <v>30</v>
      </c>
      <c r="AE15" s="203" t="e">
        <f>#REF!</f>
        <v>#REF!</v>
      </c>
      <c r="AF15" s="203" t="e">
        <f>#REF!</f>
        <v>#REF!</v>
      </c>
      <c r="AG15" s="203" t="e">
        <f>#REF!</f>
        <v>#REF!</v>
      </c>
      <c r="AH15" s="203" t="e">
        <f>#REF!</f>
        <v>#REF!</v>
      </c>
      <c r="AI15" s="203" t="e">
        <f>#REF!</f>
        <v>#REF!</v>
      </c>
      <c r="AJ15" s="203" t="e">
        <f>#REF!</f>
        <v>#REF!</v>
      </c>
      <c r="AK15" s="203" t="e">
        <f>#REF!</f>
        <v>#REF!</v>
      </c>
      <c r="AL15" s="204" t="e">
        <f>#REF!</f>
        <v>#REF!</v>
      </c>
    </row>
    <row r="16" spans="1:74" ht="12.75" customHeight="1" x14ac:dyDescent="0.2">
      <c r="A16" s="225" t="s">
        <v>83</v>
      </c>
      <c r="B16" s="208">
        <f t="shared" si="0"/>
        <v>4.6109774071628653</v>
      </c>
      <c r="C16" s="209">
        <f t="shared" si="1"/>
        <v>4.6109774071628653</v>
      </c>
      <c r="D16" s="209">
        <f t="shared" si="2"/>
        <v>4.6318667643361797</v>
      </c>
      <c r="E16" s="202">
        <f t="shared" si="3"/>
        <v>21.139329931715892</v>
      </c>
      <c r="F16" s="203">
        <f t="shared" si="4"/>
        <v>21.139329931715892</v>
      </c>
      <c r="G16" s="203">
        <f t="shared" si="5"/>
        <v>21.222035606716283</v>
      </c>
      <c r="H16" s="202">
        <f t="shared" si="6"/>
        <v>46.189227368028135</v>
      </c>
      <c r="I16" s="203">
        <f t="shared" si="7"/>
        <v>46.189227368028135</v>
      </c>
      <c r="J16" s="203">
        <f t="shared" si="8"/>
        <v>46.35392727602521</v>
      </c>
      <c r="K16" s="202">
        <f t="shared" si="9"/>
        <v>69.066897835315515</v>
      </c>
      <c r="L16" s="203">
        <f t="shared" si="10"/>
        <v>69.066897835315515</v>
      </c>
      <c r="M16" s="203">
        <f t="shared" si="11"/>
        <v>69.270096037161764</v>
      </c>
      <c r="N16" s="202">
        <f t="shared" si="12"/>
        <v>87.983643456225266</v>
      </c>
      <c r="O16" s="203">
        <f t="shared" si="13"/>
        <v>87.983643456225266</v>
      </c>
      <c r="P16" s="203">
        <f t="shared" si="14"/>
        <v>88.182181166437161</v>
      </c>
      <c r="Q16" s="202">
        <f t="shared" si="15"/>
        <v>106.76440392371885</v>
      </c>
      <c r="R16" s="203">
        <f t="shared" si="16"/>
        <v>106.76440392371885</v>
      </c>
      <c r="S16" s="203">
        <f t="shared" si="17"/>
        <v>106.95842847332402</v>
      </c>
      <c r="T16" s="203"/>
      <c r="U16" s="203"/>
      <c r="V16" s="203"/>
      <c r="W16" s="203"/>
      <c r="X16" s="203"/>
      <c r="Y16" s="203"/>
      <c r="Z16" s="203"/>
      <c r="AA16" s="204"/>
      <c r="AB16" s="202">
        <f t="shared" si="18"/>
        <v>106.76440392371885</v>
      </c>
      <c r="AC16" s="203">
        <f t="shared" si="19"/>
        <v>106.76440392371885</v>
      </c>
      <c r="AD16" s="203">
        <f t="shared" si="20"/>
        <v>106.95842847332402</v>
      </c>
      <c r="AE16" s="203" t="e">
        <f>#REF!</f>
        <v>#REF!</v>
      </c>
      <c r="AF16" s="203" t="e">
        <f>#REF!</f>
        <v>#REF!</v>
      </c>
      <c r="AG16" s="203" t="e">
        <f>#REF!</f>
        <v>#REF!</v>
      </c>
      <c r="AH16" s="203" t="e">
        <f>#REF!</f>
        <v>#REF!</v>
      </c>
      <c r="AI16" s="203" t="e">
        <f>#REF!</f>
        <v>#REF!</v>
      </c>
      <c r="AJ16" s="203" t="e">
        <f>#REF!</f>
        <v>#REF!</v>
      </c>
      <c r="AK16" s="203" t="e">
        <f>#REF!</f>
        <v>#REF!</v>
      </c>
      <c r="AL16" s="204" t="e">
        <f>#REF!</f>
        <v>#REF!</v>
      </c>
    </row>
    <row r="17" spans="1:38" ht="13.5" thickBot="1" x14ac:dyDescent="0.25">
      <c r="A17" s="213" t="s">
        <v>150</v>
      </c>
      <c r="B17" s="214">
        <f>SUM(B7:B16)</f>
        <v>4.6109774071628653</v>
      </c>
      <c r="C17" s="215">
        <f t="shared" ref="C17:S17" si="21">SUM(C7:C16)</f>
        <v>4.6109774071628653</v>
      </c>
      <c r="D17" s="215">
        <f t="shared" si="21"/>
        <v>4.6318667643361797</v>
      </c>
      <c r="E17" s="214">
        <f>SUM(E7:E16)</f>
        <v>21.139329931715892</v>
      </c>
      <c r="F17" s="215">
        <f t="shared" si="21"/>
        <v>21.139329931715892</v>
      </c>
      <c r="G17" s="215">
        <f t="shared" si="21"/>
        <v>36.222035606716283</v>
      </c>
      <c r="H17" s="214">
        <f>SUM(H7:H16)</f>
        <v>46.189227368028135</v>
      </c>
      <c r="I17" s="215">
        <f t="shared" si="21"/>
        <v>46.189227368028135</v>
      </c>
      <c r="J17" s="215">
        <f t="shared" si="21"/>
        <v>61.35392727602521</v>
      </c>
      <c r="K17" s="214">
        <f>SUM(K7:K16)</f>
        <v>69.066897835315515</v>
      </c>
      <c r="L17" s="215">
        <f t="shared" si="21"/>
        <v>69.066897835315515</v>
      </c>
      <c r="M17" s="215">
        <f t="shared" si="21"/>
        <v>84.270096037161764</v>
      </c>
      <c r="N17" s="214">
        <f t="shared" si="21"/>
        <v>87.983643456225266</v>
      </c>
      <c r="O17" s="215">
        <f t="shared" si="21"/>
        <v>87.983643456225266</v>
      </c>
      <c r="P17" s="215">
        <f t="shared" si="21"/>
        <v>154.18218116643715</v>
      </c>
      <c r="Q17" s="214">
        <f t="shared" si="21"/>
        <v>106.76440392371885</v>
      </c>
      <c r="R17" s="215">
        <f t="shared" si="21"/>
        <v>106.76440392371885</v>
      </c>
      <c r="S17" s="215">
        <f t="shared" si="21"/>
        <v>181.95842847332403</v>
      </c>
      <c r="T17" s="215"/>
      <c r="U17" s="215"/>
      <c r="V17" s="215"/>
      <c r="W17" s="215"/>
      <c r="X17" s="215"/>
      <c r="Y17" s="215"/>
      <c r="Z17" s="215"/>
      <c r="AA17" s="216"/>
      <c r="AB17" s="214">
        <f t="shared" ref="AB17:AL17" si="22">SUM(AB7:AB16)</f>
        <v>106.76440392371885</v>
      </c>
      <c r="AC17" s="215">
        <f t="shared" si="22"/>
        <v>106.76440392371885</v>
      </c>
      <c r="AD17" s="215">
        <f t="shared" si="22"/>
        <v>181.95842847332403</v>
      </c>
      <c r="AE17" s="215" t="e">
        <f t="shared" si="22"/>
        <v>#REF!</v>
      </c>
      <c r="AF17" s="215" t="e">
        <f t="shared" si="22"/>
        <v>#REF!</v>
      </c>
      <c r="AG17" s="215" t="e">
        <f t="shared" si="22"/>
        <v>#REF!</v>
      </c>
      <c r="AH17" s="215" t="e">
        <f t="shared" si="22"/>
        <v>#REF!</v>
      </c>
      <c r="AI17" s="215" t="e">
        <f t="shared" si="22"/>
        <v>#REF!</v>
      </c>
      <c r="AJ17" s="215" t="e">
        <f t="shared" si="22"/>
        <v>#REF!</v>
      </c>
      <c r="AK17" s="215" t="e">
        <f t="shared" si="22"/>
        <v>#REF!</v>
      </c>
      <c r="AL17" s="216" t="e">
        <f t="shared" si="22"/>
        <v>#REF!</v>
      </c>
    </row>
    <row r="20" spans="1:38" x14ac:dyDescent="0.2">
      <c r="A20" s="217" t="s">
        <v>151</v>
      </c>
    </row>
    <row r="21" spans="1:38" ht="13.5" thickBot="1" x14ac:dyDescent="0.25">
      <c r="A21" s="218" t="s">
        <v>6</v>
      </c>
      <c r="C21" s="195" t="s">
        <v>152</v>
      </c>
      <c r="D21" s="195" t="s">
        <v>40</v>
      </c>
      <c r="E21" s="195" t="str">
        <f t="array" ref="E21:X29">TRANSPOSE('L&amp;R Bal - Mid'!V14:AD33)</f>
        <v>2022-23</v>
      </c>
      <c r="F21" s="195" t="str">
        <v>2023-24</v>
      </c>
      <c r="G21" s="195" t="str">
        <v>2024-25</v>
      </c>
      <c r="H21" s="195" t="str">
        <v>2025-26</v>
      </c>
      <c r="I21" s="195" t="str">
        <v>2026-27</v>
      </c>
      <c r="J21" s="195" t="str">
        <v>2027-28</v>
      </c>
      <c r="K21" s="195" t="str">
        <v>2028-29</v>
      </c>
      <c r="L21" s="195" t="str">
        <v>2029-30</v>
      </c>
      <c r="M21" s="195" t="str">
        <v>2030-31</v>
      </c>
      <c r="N21" s="195" t="str">
        <v>2031-32</v>
      </c>
      <c r="O21" s="195" t="str">
        <v>2032-33</v>
      </c>
      <c r="P21" s="195" t="str">
        <v>2033-34</v>
      </c>
      <c r="Q21" s="195" t="str">
        <v>2034-35</v>
      </c>
      <c r="R21" s="195" t="str">
        <v>2035-36</v>
      </c>
      <c r="S21" s="195" t="str">
        <v>2036-37</v>
      </c>
      <c r="T21" s="195" t="str">
        <v>2037-38</v>
      </c>
      <c r="U21" s="195" t="str">
        <v>2038-39</v>
      </c>
      <c r="V21" s="195" t="str">
        <v>2039-40</v>
      </c>
      <c r="W21" s="195" t="str">
        <v>2040-41</v>
      </c>
      <c r="X21" s="195" t="str">
        <v>2041-42</v>
      </c>
    </row>
    <row r="22" spans="1:38" ht="13.5" thickBot="1" x14ac:dyDescent="0.25">
      <c r="A22" s="223" t="s">
        <v>19</v>
      </c>
      <c r="E22" s="195" t="str">
        <v>-</v>
      </c>
      <c r="F22" s="195" t="str">
        <v>-</v>
      </c>
      <c r="G22" s="195" t="str">
        <v>-</v>
      </c>
      <c r="H22" s="195" t="str">
        <v>-</v>
      </c>
      <c r="I22" s="195" t="str">
        <v>-</v>
      </c>
      <c r="J22" s="195" t="str">
        <v>-</v>
      </c>
      <c r="K22" s="195" t="str">
        <v>-</v>
      </c>
      <c r="L22" s="195" t="str">
        <v>-</v>
      </c>
      <c r="M22" s="195" t="str">
        <v>-</v>
      </c>
      <c r="N22" s="195" t="str">
        <v>-</v>
      </c>
      <c r="O22" s="195" t="str">
        <v>-</v>
      </c>
      <c r="P22" s="195" t="str">
        <v>-</v>
      </c>
      <c r="Q22" s="195" t="str">
        <v>-</v>
      </c>
      <c r="R22" s="195" t="str">
        <v>-</v>
      </c>
      <c r="S22" s="195" t="str">
        <v>-</v>
      </c>
      <c r="T22" s="195" t="str">
        <v>-</v>
      </c>
      <c r="U22" s="195" t="str">
        <v>-</v>
      </c>
      <c r="V22" s="195" t="str">
        <v>-</v>
      </c>
      <c r="W22" s="195" t="str">
        <v>-</v>
      </c>
      <c r="X22" s="195" t="str">
        <v>-</v>
      </c>
    </row>
    <row r="23" spans="1:38" ht="13.5" thickBot="1" x14ac:dyDescent="0.25">
      <c r="A23" s="223" t="s">
        <v>21</v>
      </c>
      <c r="B23" s="219"/>
      <c r="C23" s="219"/>
      <c r="D23" s="219"/>
      <c r="E23" s="195" t="str">
        <v>-</v>
      </c>
      <c r="F23" s="195" t="str">
        <v>-</v>
      </c>
      <c r="G23" s="195" t="str">
        <v>-</v>
      </c>
      <c r="H23" s="195" t="str">
        <v>-</v>
      </c>
      <c r="I23" s="195" t="str">
        <v>-</v>
      </c>
      <c r="J23" s="195" t="str">
        <v>-</v>
      </c>
      <c r="K23" s="195" t="str">
        <v>-</v>
      </c>
      <c r="L23" s="195" t="str">
        <v>-</v>
      </c>
      <c r="M23" s="195" t="str">
        <v>-</v>
      </c>
      <c r="N23" s="195" t="str">
        <v>-</v>
      </c>
      <c r="O23" s="195" t="str">
        <v>-</v>
      </c>
      <c r="P23" s="195" t="str">
        <v>-</v>
      </c>
      <c r="Q23" s="195" t="str">
        <v>-</v>
      </c>
      <c r="R23" s="195" t="str">
        <v>-</v>
      </c>
      <c r="S23" s="195" t="str">
        <v>-</v>
      </c>
      <c r="T23" s="195" t="str">
        <v>-</v>
      </c>
      <c r="U23" s="195" t="str">
        <v>-</v>
      </c>
      <c r="V23" s="195" t="str">
        <v>-</v>
      </c>
      <c r="W23" s="195" t="str">
        <v>-</v>
      </c>
      <c r="X23" s="195" t="str">
        <v>-</v>
      </c>
    </row>
    <row r="24" spans="1:38" ht="13.5" thickBot="1" x14ac:dyDescent="0.25">
      <c r="A24" s="223" t="s">
        <v>85</v>
      </c>
      <c r="B24" s="219"/>
      <c r="C24" s="219"/>
      <c r="D24" s="219"/>
      <c r="E24" s="195" t="str">
        <v>-</v>
      </c>
      <c r="F24" s="195" t="str">
        <v>-</v>
      </c>
      <c r="G24" s="195" t="str">
        <v>-</v>
      </c>
      <c r="H24" s="195" t="str">
        <v>-</v>
      </c>
      <c r="I24" s="195" t="str">
        <v>-</v>
      </c>
      <c r="J24" s="195" t="str">
        <v>-</v>
      </c>
      <c r="K24" s="195" t="str">
        <v>-</v>
      </c>
      <c r="L24" s="195" t="str">
        <v>-</v>
      </c>
      <c r="M24" s="195" t="str">
        <v>-</v>
      </c>
      <c r="N24" s="195" t="str">
        <v>-</v>
      </c>
      <c r="O24" s="195" t="str">
        <v>-</v>
      </c>
      <c r="P24" s="195" t="str">
        <v>-</v>
      </c>
      <c r="Q24" s="195" t="str">
        <v>-</v>
      </c>
      <c r="R24" s="195" t="str">
        <v>-</v>
      </c>
      <c r="S24" s="195" t="str">
        <v>-</v>
      </c>
      <c r="T24" s="195" t="str">
        <v>-</v>
      </c>
      <c r="U24" s="195" t="str">
        <v>-</v>
      </c>
      <c r="V24" s="195" t="str">
        <v>-</v>
      </c>
      <c r="W24" s="195" t="str">
        <v>-</v>
      </c>
      <c r="X24" s="195" t="str">
        <v>-</v>
      </c>
    </row>
    <row r="25" spans="1:38" ht="13.5" thickBot="1" x14ac:dyDescent="0.25">
      <c r="A25" s="223" t="s">
        <v>22</v>
      </c>
      <c r="B25" s="219"/>
      <c r="C25" s="219"/>
      <c r="D25" s="219"/>
      <c r="E25" s="195" t="str">
        <v>-</v>
      </c>
      <c r="F25" s="195" t="str">
        <v>-</v>
      </c>
      <c r="G25" s="195" t="str">
        <v>-</v>
      </c>
      <c r="H25" s="195" t="str">
        <v>-</v>
      </c>
      <c r="I25" s="195" t="str">
        <v>-</v>
      </c>
      <c r="J25" s="195" t="str">
        <v>-</v>
      </c>
      <c r="K25" s="195" t="str">
        <v>-</v>
      </c>
      <c r="L25" s="195" t="str">
        <v>-</v>
      </c>
      <c r="M25" s="195" t="str">
        <v>-</v>
      </c>
      <c r="N25" s="195" t="str">
        <v>-</v>
      </c>
      <c r="O25" s="195" t="str">
        <v>-</v>
      </c>
      <c r="P25" s="195" t="str">
        <v>-</v>
      </c>
      <c r="Q25" s="195" t="str">
        <v>-</v>
      </c>
      <c r="R25" s="195" t="str">
        <v>-</v>
      </c>
      <c r="S25" s="195" t="str">
        <v>-</v>
      </c>
      <c r="T25" s="195" t="str">
        <v>-</v>
      </c>
      <c r="U25" s="195" t="str">
        <v>-</v>
      </c>
      <c r="V25" s="195" t="str">
        <v>-</v>
      </c>
      <c r="W25" s="195" t="str">
        <v>-</v>
      </c>
      <c r="X25" s="195" t="str">
        <v>-</v>
      </c>
    </row>
    <row r="26" spans="1:38" ht="13.5" thickBot="1" x14ac:dyDescent="0.25">
      <c r="A26" s="223" t="s">
        <v>23</v>
      </c>
      <c r="B26" s="220"/>
      <c r="C26" s="219"/>
      <c r="D26" s="219"/>
      <c r="E26" s="195" t="str">
        <v>-</v>
      </c>
      <c r="F26" s="195" t="str">
        <v>-</v>
      </c>
      <c r="G26" s="195" t="str">
        <v>-</v>
      </c>
      <c r="H26" s="195" t="str">
        <v>-</v>
      </c>
      <c r="I26" s="195" t="str">
        <v>-</v>
      </c>
      <c r="J26" s="195" t="str">
        <v>-</v>
      </c>
      <c r="K26" s="195" t="str">
        <v>-</v>
      </c>
      <c r="L26" s="195" t="str">
        <v>-</v>
      </c>
      <c r="M26" s="195" t="str">
        <v>-</v>
      </c>
      <c r="N26" s="195" t="str">
        <v>-</v>
      </c>
      <c r="O26" s="195" t="str">
        <v>-</v>
      </c>
      <c r="P26" s="195" t="str">
        <v>-</v>
      </c>
      <c r="Q26" s="195" t="str">
        <v>-</v>
      </c>
      <c r="R26" s="195" t="str">
        <v>-</v>
      </c>
      <c r="S26" s="195" t="str">
        <v>-</v>
      </c>
      <c r="T26" s="195" t="str">
        <v>-</v>
      </c>
      <c r="U26" s="195" t="str">
        <v>-</v>
      </c>
      <c r="V26" s="195" t="str">
        <v>-</v>
      </c>
      <c r="W26" s="195" t="str">
        <v>-</v>
      </c>
      <c r="X26" s="195" t="str">
        <v>-</v>
      </c>
    </row>
    <row r="27" spans="1:38" ht="13.5" thickBot="1" x14ac:dyDescent="0.25">
      <c r="A27" s="223" t="s">
        <v>24</v>
      </c>
      <c r="B27" s="219"/>
      <c r="C27" s="219"/>
      <c r="D27" s="219"/>
      <c r="E27" s="195" t="str">
        <v>-</v>
      </c>
      <c r="F27" s="195" t="str">
        <v>-</v>
      </c>
      <c r="G27" s="195" t="str">
        <v>-</v>
      </c>
      <c r="H27" s="195" t="str">
        <v>-</v>
      </c>
      <c r="I27" s="195" t="str">
        <v>-</v>
      </c>
      <c r="J27" s="195" t="str">
        <v>-</v>
      </c>
      <c r="K27" s="195" t="str">
        <v>-</v>
      </c>
      <c r="L27" s="195" t="str">
        <v>-</v>
      </c>
      <c r="M27" s="195" t="str">
        <v>-</v>
      </c>
      <c r="N27" s="195" t="str">
        <v>-</v>
      </c>
      <c r="O27" s="195" t="str">
        <v>-</v>
      </c>
      <c r="P27" s="195" t="str">
        <v>-</v>
      </c>
      <c r="Q27" s="195" t="str">
        <v>-</v>
      </c>
      <c r="R27" s="195" t="str">
        <v>-</v>
      </c>
      <c r="S27" s="195" t="str">
        <v>-</v>
      </c>
      <c r="T27" s="195" t="str">
        <v>-</v>
      </c>
      <c r="U27" s="195" t="str">
        <v>-</v>
      </c>
      <c r="V27" s="195" t="str">
        <v>-</v>
      </c>
      <c r="W27" s="195" t="str">
        <v>-</v>
      </c>
      <c r="X27" s="195" t="str">
        <v>-</v>
      </c>
    </row>
    <row r="28" spans="1:38" ht="13.5" thickBot="1" x14ac:dyDescent="0.25">
      <c r="A28" s="224" t="s">
        <v>14</v>
      </c>
      <c r="B28" s="219"/>
      <c r="C28" s="219"/>
      <c r="D28" s="219"/>
      <c r="E28" s="195" t="str">
        <v>-</v>
      </c>
      <c r="F28" s="195" t="str">
        <v>-</v>
      </c>
      <c r="G28" s="195" t="str">
        <v>-</v>
      </c>
      <c r="H28" s="195" t="str">
        <v>-</v>
      </c>
      <c r="I28" s="195" t="str">
        <v>-</v>
      </c>
      <c r="J28" s="195" t="str">
        <v>-</v>
      </c>
      <c r="K28" s="195" t="str">
        <v>-</v>
      </c>
      <c r="L28" s="195" t="str">
        <v>-</v>
      </c>
      <c r="M28" s="195" t="str">
        <v>-</v>
      </c>
      <c r="N28" s="195" t="str">
        <v>-</v>
      </c>
      <c r="O28" s="195" t="str">
        <v>-</v>
      </c>
      <c r="P28" s="195" t="str">
        <v>-</v>
      </c>
      <c r="Q28" s="195" t="str">
        <v>-</v>
      </c>
      <c r="R28" s="195" t="str">
        <v>-</v>
      </c>
      <c r="S28" s="195" t="str">
        <v>-</v>
      </c>
      <c r="T28" s="195" t="str">
        <v>-</v>
      </c>
      <c r="U28" s="195" t="str">
        <v>-</v>
      </c>
      <c r="V28" s="195" t="str">
        <v>-</v>
      </c>
      <c r="W28" s="195" t="str">
        <v>-</v>
      </c>
      <c r="X28" s="195" t="str">
        <v>-</v>
      </c>
    </row>
    <row r="29" spans="1:38" x14ac:dyDescent="0.2">
      <c r="A29" s="225" t="s">
        <v>101</v>
      </c>
      <c r="B29" s="219"/>
      <c r="C29" s="219"/>
      <c r="D29" s="219"/>
      <c r="E29" s="221">
        <v>4.6109774071628653</v>
      </c>
      <c r="F29" s="221">
        <v>9.9162474076782825</v>
      </c>
      <c r="G29" s="221">
        <v>15.476028784735377</v>
      </c>
      <c r="H29" s="221">
        <v>21.139329931715892</v>
      </c>
      <c r="I29" s="221">
        <v>27.025804740285224</v>
      </c>
      <c r="J29" s="221">
        <v>33.165863658378711</v>
      </c>
      <c r="K29" s="221">
        <v>39.560679463789029</v>
      </c>
      <c r="L29" s="221">
        <v>46.189227368028135</v>
      </c>
      <c r="M29" s="221">
        <v>53.020257442777599</v>
      </c>
      <c r="N29" s="221">
        <v>60.096051823811081</v>
      </c>
      <c r="O29" s="221">
        <v>64.493510880728138</v>
      </c>
      <c r="P29" s="221">
        <v>69.066897835315515</v>
      </c>
      <c r="Q29" s="221">
        <v>73.759030680977787</v>
      </c>
      <c r="R29" s="221">
        <v>78.537094865663107</v>
      </c>
      <c r="S29" s="221">
        <v>83.23648514650499</v>
      </c>
      <c r="T29" s="221">
        <v>87.983643456225266</v>
      </c>
      <c r="U29" s="221">
        <v>92.732386239685624</v>
      </c>
      <c r="V29" s="221">
        <v>97.473753069677372</v>
      </c>
      <c r="W29" s="221">
        <v>102.18072579408177</v>
      </c>
      <c r="X29" s="221">
        <v>106.76440392371885</v>
      </c>
    </row>
    <row r="30" spans="1:38" x14ac:dyDescent="0.2">
      <c r="A30" s="217" t="s">
        <v>153</v>
      </c>
      <c r="G30" s="222"/>
      <c r="K30" s="222"/>
      <c r="S30" s="222"/>
    </row>
    <row r="31" spans="1:38" ht="13.5" thickBot="1" x14ac:dyDescent="0.25">
      <c r="A31" s="218" t="s">
        <v>6</v>
      </c>
      <c r="C31" s="195" t="s">
        <v>152</v>
      </c>
      <c r="D31" s="195" t="s">
        <v>40</v>
      </c>
      <c r="E31" s="195" t="str">
        <f t="array" ref="E31:X39">TRANSPOSE('L&amp;R Bal - LOW'!V14:AD33)</f>
        <v>2022-23</v>
      </c>
      <c r="F31" s="195" t="str">
        <v>2023-24</v>
      </c>
      <c r="G31" s="195" t="str">
        <v>2024-25</v>
      </c>
      <c r="H31" s="195" t="str">
        <v>2025-26</v>
      </c>
      <c r="I31" s="195" t="str">
        <v>2026-27</v>
      </c>
      <c r="J31" s="195" t="str">
        <v>2027-28</v>
      </c>
      <c r="K31" s="195" t="str">
        <v>2028-29</v>
      </c>
      <c r="L31" s="195" t="str">
        <v>2029-30</v>
      </c>
      <c r="M31" s="195" t="str">
        <v>2030-31</v>
      </c>
      <c r="N31" s="195" t="str">
        <v>2031-32</v>
      </c>
      <c r="O31" s="195" t="str">
        <v>2032-33</v>
      </c>
      <c r="P31" s="195" t="str">
        <v>2033-34</v>
      </c>
      <c r="Q31" s="195" t="str">
        <v>2034-35</v>
      </c>
      <c r="R31" s="195" t="str">
        <v>2035-36</v>
      </c>
      <c r="S31" s="195" t="str">
        <v>2036-37</v>
      </c>
      <c r="T31" s="195" t="str">
        <v>2037-38</v>
      </c>
      <c r="U31" s="195" t="str">
        <v>2038-39</v>
      </c>
      <c r="V31" s="195" t="str">
        <v>2039-40</v>
      </c>
      <c r="W31" s="195" t="str">
        <v>2040-41</v>
      </c>
      <c r="X31" s="195" t="str">
        <v>2041-42</v>
      </c>
    </row>
    <row r="32" spans="1:38" ht="13.5" thickBot="1" x14ac:dyDescent="0.25">
      <c r="A32" s="223" t="s">
        <v>19</v>
      </c>
      <c r="E32" s="195" t="str">
        <v>-</v>
      </c>
      <c r="F32" s="195" t="str">
        <v>-</v>
      </c>
      <c r="G32" s="195" t="str">
        <v>-</v>
      </c>
      <c r="H32" s="195" t="str">
        <v>-</v>
      </c>
      <c r="I32" s="195" t="str">
        <v>-</v>
      </c>
      <c r="J32" s="195" t="str">
        <v>-</v>
      </c>
      <c r="K32" s="195" t="str">
        <v>-</v>
      </c>
      <c r="L32" s="195" t="str">
        <v>-</v>
      </c>
      <c r="M32" s="195" t="str">
        <v>-</v>
      </c>
      <c r="N32" s="195" t="str">
        <v>-</v>
      </c>
      <c r="O32" s="195" t="str">
        <v>-</v>
      </c>
      <c r="P32" s="195" t="str">
        <v>-</v>
      </c>
      <c r="Q32" s="195" t="str">
        <v>-</v>
      </c>
      <c r="R32" s="195" t="str">
        <v>-</v>
      </c>
      <c r="S32" s="195" t="str">
        <v>-</v>
      </c>
      <c r="T32" s="195" t="str">
        <v>-</v>
      </c>
      <c r="U32" s="195" t="str">
        <v>-</v>
      </c>
      <c r="V32" s="195" t="str">
        <v>-</v>
      </c>
      <c r="W32" s="195" t="str">
        <v>-</v>
      </c>
      <c r="X32" s="195" t="str">
        <v>-</v>
      </c>
    </row>
    <row r="33" spans="1:24" ht="13.5" thickBot="1" x14ac:dyDescent="0.25">
      <c r="A33" s="223" t="s">
        <v>21</v>
      </c>
      <c r="E33" s="195" t="str">
        <v>-</v>
      </c>
      <c r="F33" s="195" t="str">
        <v>-</v>
      </c>
      <c r="G33" s="195" t="str">
        <v>-</v>
      </c>
      <c r="H33" s="195" t="str">
        <v>-</v>
      </c>
      <c r="I33" s="195" t="str">
        <v>-</v>
      </c>
      <c r="J33" s="195" t="str">
        <v>-</v>
      </c>
      <c r="K33" s="195" t="str">
        <v>-</v>
      </c>
      <c r="L33" s="195" t="str">
        <v>-</v>
      </c>
      <c r="M33" s="195" t="str">
        <v>-</v>
      </c>
      <c r="N33" s="195" t="str">
        <v>-</v>
      </c>
      <c r="O33" s="195" t="str">
        <v>-</v>
      </c>
      <c r="P33" s="195" t="str">
        <v>-</v>
      </c>
      <c r="Q33" s="195" t="str">
        <v>-</v>
      </c>
      <c r="R33" s="195" t="str">
        <v>-</v>
      </c>
      <c r="S33" s="195" t="str">
        <v>-</v>
      </c>
      <c r="T33" s="195" t="str">
        <v>-</v>
      </c>
      <c r="U33" s="195" t="str">
        <v>-</v>
      </c>
      <c r="V33" s="195" t="str">
        <v>-</v>
      </c>
      <c r="W33" s="195" t="str">
        <v>-</v>
      </c>
      <c r="X33" s="195" t="str">
        <v>-</v>
      </c>
    </row>
    <row r="34" spans="1:24" ht="13.5" thickBot="1" x14ac:dyDescent="0.25">
      <c r="A34" s="223" t="s">
        <v>85</v>
      </c>
      <c r="E34" s="195" t="str">
        <v>-</v>
      </c>
      <c r="F34" s="195" t="str">
        <v>-</v>
      </c>
      <c r="G34" s="195" t="str">
        <v>-</v>
      </c>
      <c r="H34" s="195" t="str">
        <v>-</v>
      </c>
      <c r="I34" s="195" t="str">
        <v>-</v>
      </c>
      <c r="J34" s="195" t="str">
        <v>-</v>
      </c>
      <c r="K34" s="195" t="str">
        <v>-</v>
      </c>
      <c r="L34" s="195" t="str">
        <v>-</v>
      </c>
      <c r="M34" s="195" t="str">
        <v>-</v>
      </c>
      <c r="N34" s="195" t="str">
        <v>-</v>
      </c>
      <c r="O34" s="195" t="str">
        <v>-</v>
      </c>
      <c r="P34" s="195" t="str">
        <v>-</v>
      </c>
      <c r="Q34" s="195" t="str">
        <v>-</v>
      </c>
      <c r="R34" s="195" t="str">
        <v>-</v>
      </c>
      <c r="S34" s="195" t="str">
        <v>-</v>
      </c>
      <c r="T34" s="195" t="str">
        <v>-</v>
      </c>
      <c r="U34" s="195" t="str">
        <v>-</v>
      </c>
      <c r="V34" s="195" t="str">
        <v>-</v>
      </c>
      <c r="W34" s="195" t="str">
        <v>-</v>
      </c>
      <c r="X34" s="195" t="str">
        <v>-</v>
      </c>
    </row>
    <row r="35" spans="1:24" ht="13.5" thickBot="1" x14ac:dyDescent="0.25">
      <c r="A35" s="223" t="s">
        <v>22</v>
      </c>
      <c r="E35" s="195" t="str">
        <v>-</v>
      </c>
      <c r="F35" s="195" t="str">
        <v>-</v>
      </c>
      <c r="G35" s="195" t="str">
        <v>-</v>
      </c>
      <c r="H35" s="195" t="str">
        <v>-</v>
      </c>
      <c r="I35" s="195" t="str">
        <v>-</v>
      </c>
      <c r="J35" s="195" t="str">
        <v>-</v>
      </c>
      <c r="K35" s="195" t="str">
        <v>-</v>
      </c>
      <c r="L35" s="195" t="str">
        <v>-</v>
      </c>
      <c r="M35" s="195" t="str">
        <v>-</v>
      </c>
      <c r="N35" s="195" t="str">
        <v>-</v>
      </c>
      <c r="O35" s="195" t="str">
        <v>-</v>
      </c>
      <c r="P35" s="195" t="str">
        <v>-</v>
      </c>
      <c r="Q35" s="195" t="str">
        <v>-</v>
      </c>
      <c r="R35" s="195" t="str">
        <v>-</v>
      </c>
      <c r="S35" s="195" t="str">
        <v>-</v>
      </c>
      <c r="T35" s="195" t="str">
        <v>-</v>
      </c>
      <c r="U35" s="195" t="str">
        <v>-</v>
      </c>
      <c r="V35" s="195" t="str">
        <v>-</v>
      </c>
      <c r="W35" s="195" t="str">
        <v>-</v>
      </c>
      <c r="X35" s="195" t="str">
        <v>-</v>
      </c>
    </row>
    <row r="36" spans="1:24" ht="13.5" thickBot="1" x14ac:dyDescent="0.25">
      <c r="A36" s="223" t="s">
        <v>23</v>
      </c>
      <c r="E36" s="195" t="str">
        <v>-</v>
      </c>
      <c r="F36" s="195" t="str">
        <v>-</v>
      </c>
      <c r="G36" s="195" t="str">
        <v>-</v>
      </c>
      <c r="H36" s="195" t="str">
        <v>-</v>
      </c>
      <c r="I36" s="195" t="str">
        <v>-</v>
      </c>
      <c r="J36" s="195" t="str">
        <v>-</v>
      </c>
      <c r="K36" s="195" t="str">
        <v>-</v>
      </c>
      <c r="L36" s="195" t="str">
        <v>-</v>
      </c>
      <c r="M36" s="195" t="str">
        <v>-</v>
      </c>
      <c r="N36" s="195" t="str">
        <v>-</v>
      </c>
      <c r="O36" s="195" t="str">
        <v>-</v>
      </c>
      <c r="P36" s="195" t="str">
        <v>-</v>
      </c>
      <c r="Q36" s="195" t="str">
        <v>-</v>
      </c>
      <c r="R36" s="195" t="str">
        <v>-</v>
      </c>
      <c r="S36" s="195" t="str">
        <v>-</v>
      </c>
      <c r="T36" s="195" t="str">
        <v>-</v>
      </c>
      <c r="U36" s="195" t="str">
        <v>-</v>
      </c>
      <c r="V36" s="195" t="str">
        <v>-</v>
      </c>
      <c r="W36" s="195" t="str">
        <v>-</v>
      </c>
      <c r="X36" s="195" t="str">
        <v>-</v>
      </c>
    </row>
    <row r="37" spans="1:24" ht="13.5" thickBot="1" x14ac:dyDescent="0.25">
      <c r="A37" s="223" t="s">
        <v>24</v>
      </c>
      <c r="E37" s="195" t="str">
        <v>-</v>
      </c>
      <c r="F37" s="195" t="str">
        <v>-</v>
      </c>
      <c r="G37" s="195" t="str">
        <v>-</v>
      </c>
      <c r="H37" s="195" t="str">
        <v>-</v>
      </c>
      <c r="I37" s="195" t="str">
        <v>-</v>
      </c>
      <c r="J37" s="195" t="str">
        <v>-</v>
      </c>
      <c r="K37" s="195" t="str">
        <v>-</v>
      </c>
      <c r="L37" s="195" t="str">
        <v>-</v>
      </c>
      <c r="M37" s="195" t="str">
        <v>-</v>
      </c>
      <c r="N37" s="195" t="str">
        <v>-</v>
      </c>
      <c r="O37" s="195" t="str">
        <v>-</v>
      </c>
      <c r="P37" s="195" t="str">
        <v>-</v>
      </c>
      <c r="Q37" s="195" t="str">
        <v>-</v>
      </c>
      <c r="R37" s="195" t="str">
        <v>-</v>
      </c>
      <c r="S37" s="195" t="str">
        <v>-</v>
      </c>
      <c r="T37" s="195" t="str">
        <v>-</v>
      </c>
      <c r="U37" s="195" t="str">
        <v>-</v>
      </c>
      <c r="V37" s="195" t="str">
        <v>-</v>
      </c>
      <c r="W37" s="195" t="str">
        <v>-</v>
      </c>
      <c r="X37" s="195" t="str">
        <v>-</v>
      </c>
    </row>
    <row r="38" spans="1:24" ht="13.5" thickBot="1" x14ac:dyDescent="0.25">
      <c r="A38" s="224" t="s">
        <v>14</v>
      </c>
      <c r="E38" s="195" t="str">
        <v>-</v>
      </c>
      <c r="F38" s="195" t="str">
        <v>-</v>
      </c>
      <c r="G38" s="195" t="str">
        <v>-</v>
      </c>
      <c r="H38" s="195" t="str">
        <v>-</v>
      </c>
      <c r="I38" s="195" t="str">
        <v>-</v>
      </c>
      <c r="J38" s="195" t="str">
        <v>-</v>
      </c>
      <c r="K38" s="195" t="str">
        <v>-</v>
      </c>
      <c r="L38" s="195" t="str">
        <v>-</v>
      </c>
      <c r="M38" s="195" t="str">
        <v>-</v>
      </c>
      <c r="N38" s="195" t="str">
        <v>-</v>
      </c>
      <c r="O38" s="195" t="str">
        <v>-</v>
      </c>
      <c r="P38" s="195" t="str">
        <v>-</v>
      </c>
      <c r="Q38" s="195" t="str">
        <v>-</v>
      </c>
      <c r="R38" s="195" t="str">
        <v>-</v>
      </c>
      <c r="S38" s="195" t="str">
        <v>-</v>
      </c>
      <c r="T38" s="195" t="str">
        <v>-</v>
      </c>
      <c r="U38" s="195" t="str">
        <v>-</v>
      </c>
      <c r="V38" s="195" t="str">
        <v>-</v>
      </c>
      <c r="W38" s="195" t="str">
        <v>-</v>
      </c>
      <c r="X38" s="195" t="str">
        <v>-</v>
      </c>
    </row>
    <row r="39" spans="1:24" x14ac:dyDescent="0.2">
      <c r="A39" s="225" t="s">
        <v>101</v>
      </c>
      <c r="E39" s="221">
        <v>4.6109774071628653</v>
      </c>
      <c r="F39" s="221">
        <v>9.9162474076782825</v>
      </c>
      <c r="G39" s="221">
        <v>15.476028784735377</v>
      </c>
      <c r="H39" s="221">
        <v>21.139329931715892</v>
      </c>
      <c r="I39" s="221">
        <v>27.025804740285224</v>
      </c>
      <c r="J39" s="221">
        <v>33.165863658378711</v>
      </c>
      <c r="K39" s="221">
        <v>39.560679463789029</v>
      </c>
      <c r="L39" s="221">
        <v>46.189227368028135</v>
      </c>
      <c r="M39" s="221">
        <v>53.020257442777599</v>
      </c>
      <c r="N39" s="221">
        <v>60.096051823811081</v>
      </c>
      <c r="O39" s="221">
        <v>64.493510880728138</v>
      </c>
      <c r="P39" s="221">
        <v>69.066897835315515</v>
      </c>
      <c r="Q39" s="221">
        <v>73.759030680977787</v>
      </c>
      <c r="R39" s="221">
        <v>78.537094865663107</v>
      </c>
      <c r="S39" s="221">
        <v>83.23648514650499</v>
      </c>
      <c r="T39" s="221">
        <v>87.983643456225266</v>
      </c>
      <c r="U39" s="221">
        <v>92.732386239685624</v>
      </c>
      <c r="V39" s="221">
        <v>97.473753069677372</v>
      </c>
      <c r="W39" s="221">
        <v>102.18072579408177</v>
      </c>
      <c r="X39" s="221">
        <v>106.76440392371885</v>
      </c>
    </row>
    <row r="40" spans="1:24" x14ac:dyDescent="0.2">
      <c r="A40" s="217" t="s">
        <v>154</v>
      </c>
      <c r="G40" s="222"/>
      <c r="K40" s="222"/>
      <c r="S40" s="222"/>
    </row>
    <row r="41" spans="1:24" ht="13.5" thickBot="1" x14ac:dyDescent="0.25">
      <c r="A41" s="218" t="s">
        <v>6</v>
      </c>
      <c r="C41" s="195" t="s">
        <v>152</v>
      </c>
      <c r="D41" s="195" t="s">
        <v>40</v>
      </c>
      <c r="E41" s="195" t="str">
        <f t="array" ref="E41:X49">TRANSPOSE('L&amp;R Bal - HIGH'!V14:AD33)</f>
        <v>2022-23</v>
      </c>
      <c r="F41" s="195" t="str">
        <v>2023-24</v>
      </c>
      <c r="G41" s="195" t="str">
        <v>2024-25</v>
      </c>
      <c r="H41" s="195" t="str">
        <v>2025-26</v>
      </c>
      <c r="I41" s="195" t="str">
        <v>2026-27</v>
      </c>
      <c r="J41" s="195" t="str">
        <v>2027-28</v>
      </c>
      <c r="K41" s="195" t="str">
        <v>2028-29</v>
      </c>
      <c r="L41" s="195" t="str">
        <v>2029-30</v>
      </c>
      <c r="M41" s="195" t="str">
        <v>2030-31</v>
      </c>
      <c r="N41" s="195" t="str">
        <v>2031-32</v>
      </c>
      <c r="O41" s="195" t="str">
        <v>2032-33</v>
      </c>
      <c r="P41" s="195" t="str">
        <v>2033-34</v>
      </c>
      <c r="Q41" s="195" t="str">
        <v>2034-35</v>
      </c>
      <c r="R41" s="195" t="str">
        <v>2035-36</v>
      </c>
      <c r="S41" s="195" t="str">
        <v>2036-37</v>
      </c>
      <c r="T41" s="195" t="str">
        <v>2037-38</v>
      </c>
      <c r="U41" s="195" t="str">
        <v>2038-39</v>
      </c>
      <c r="V41" s="195" t="str">
        <v>2039-40</v>
      </c>
      <c r="W41" s="195" t="str">
        <v>2040-41</v>
      </c>
      <c r="X41" s="195" t="str">
        <v>2041-42</v>
      </c>
    </row>
    <row r="42" spans="1:24" ht="13.5" thickBot="1" x14ac:dyDescent="0.25">
      <c r="A42" s="223" t="s">
        <v>19</v>
      </c>
      <c r="E42" s="195" t="str">
        <v>-</v>
      </c>
      <c r="F42" s="195" t="str">
        <v>-</v>
      </c>
      <c r="G42" s="195" t="str">
        <v>-</v>
      </c>
      <c r="H42" s="195" t="str">
        <v>-</v>
      </c>
      <c r="I42" s="195" t="str">
        <v>-</v>
      </c>
      <c r="J42" s="195" t="str">
        <v>-</v>
      </c>
      <c r="K42" s="195" t="str">
        <v>-</v>
      </c>
      <c r="L42" s="195" t="str">
        <v>-</v>
      </c>
      <c r="M42" s="195" t="str">
        <v>-</v>
      </c>
      <c r="N42" s="195" t="str">
        <v>-</v>
      </c>
      <c r="O42" s="195" t="str">
        <v>-</v>
      </c>
      <c r="P42" s="195" t="str">
        <v>-</v>
      </c>
      <c r="Q42" s="195">
        <v>21</v>
      </c>
      <c r="R42" s="195">
        <v>21</v>
      </c>
      <c r="S42" s="195">
        <v>21</v>
      </c>
      <c r="T42" s="195">
        <v>21</v>
      </c>
      <c r="U42" s="195">
        <v>21</v>
      </c>
      <c r="V42" s="195">
        <v>30</v>
      </c>
      <c r="W42" s="195">
        <v>30</v>
      </c>
      <c r="X42" s="195">
        <v>30</v>
      </c>
    </row>
    <row r="43" spans="1:24" ht="13.5" thickBot="1" x14ac:dyDescent="0.25">
      <c r="A43" s="223" t="s">
        <v>21</v>
      </c>
      <c r="E43" s="195" t="str">
        <v>-</v>
      </c>
      <c r="F43" s="195" t="str">
        <v>-</v>
      </c>
      <c r="G43" s="195" t="str">
        <v>-</v>
      </c>
      <c r="H43" s="195" t="str">
        <v>-</v>
      </c>
      <c r="I43" s="195" t="str">
        <v>-</v>
      </c>
      <c r="J43" s="195" t="str">
        <v>-</v>
      </c>
      <c r="K43" s="195" t="str">
        <v>-</v>
      </c>
      <c r="L43" s="195" t="str">
        <v>-</v>
      </c>
      <c r="M43" s="195" t="str">
        <v>-</v>
      </c>
      <c r="N43" s="195" t="str">
        <v>-</v>
      </c>
      <c r="O43" s="195" t="str">
        <v>-</v>
      </c>
      <c r="P43" s="195" t="str">
        <v>-</v>
      </c>
      <c r="Q43" s="195" t="str">
        <v>-</v>
      </c>
      <c r="R43" s="195" t="str">
        <v>-</v>
      </c>
      <c r="S43" s="195" t="str">
        <v>-</v>
      </c>
      <c r="T43" s="195" t="str">
        <v>-</v>
      </c>
      <c r="U43" s="195" t="str">
        <v>-</v>
      </c>
      <c r="V43" s="195" t="str">
        <v>-</v>
      </c>
      <c r="W43" s="195" t="str">
        <v>-</v>
      </c>
      <c r="X43" s="195" t="str">
        <v>-</v>
      </c>
    </row>
    <row r="44" spans="1:24" ht="13.5" thickBot="1" x14ac:dyDescent="0.25">
      <c r="A44" s="223" t="s">
        <v>85</v>
      </c>
      <c r="E44" s="195" t="str">
        <v>-</v>
      </c>
      <c r="F44" s="195" t="str">
        <v>-</v>
      </c>
      <c r="G44" s="195" t="str">
        <v>-</v>
      </c>
      <c r="H44" s="195" t="str">
        <v>-</v>
      </c>
      <c r="I44" s="195" t="str">
        <v>-</v>
      </c>
      <c r="J44" s="195" t="str">
        <v>-</v>
      </c>
      <c r="K44" s="195" t="str">
        <v>-</v>
      </c>
      <c r="L44" s="195" t="str">
        <v>-</v>
      </c>
      <c r="M44" s="195" t="str">
        <v>-</v>
      </c>
      <c r="N44" s="195" t="str">
        <v>-</v>
      </c>
      <c r="O44" s="195" t="str">
        <v>-</v>
      </c>
      <c r="P44" s="195" t="str">
        <v>-</v>
      </c>
      <c r="Q44" s="195" t="str">
        <v>-</v>
      </c>
      <c r="R44" s="195" t="str">
        <v>-</v>
      </c>
      <c r="S44" s="195" t="str">
        <v>-</v>
      </c>
      <c r="T44" s="195" t="str">
        <v>-</v>
      </c>
      <c r="U44" s="195" t="str">
        <v>-</v>
      </c>
      <c r="V44" s="195" t="str">
        <v>-</v>
      </c>
      <c r="W44" s="195" t="str">
        <v>-</v>
      </c>
      <c r="X44" s="195" t="str">
        <v>-</v>
      </c>
    </row>
    <row r="45" spans="1:24" ht="13.5" thickBot="1" x14ac:dyDescent="0.25">
      <c r="A45" s="223" t="s">
        <v>22</v>
      </c>
      <c r="E45" s="195" t="str">
        <v>-</v>
      </c>
      <c r="F45" s="195" t="str">
        <v>-</v>
      </c>
      <c r="G45" s="195" t="str">
        <v>-</v>
      </c>
      <c r="H45" s="195" t="str">
        <v>-</v>
      </c>
      <c r="I45" s="195" t="str">
        <v>-</v>
      </c>
      <c r="J45" s="195" t="str">
        <v>-</v>
      </c>
      <c r="K45" s="195" t="str">
        <v>-</v>
      </c>
      <c r="L45" s="195" t="str">
        <v>-</v>
      </c>
      <c r="M45" s="195" t="str">
        <v>-</v>
      </c>
      <c r="N45" s="195" t="str">
        <v>-</v>
      </c>
      <c r="O45" s="195" t="str">
        <v>-</v>
      </c>
      <c r="P45" s="195" t="str">
        <v>-</v>
      </c>
      <c r="Q45" s="195" t="str">
        <v>-</v>
      </c>
      <c r="R45" s="195" t="str">
        <v>-</v>
      </c>
      <c r="S45" s="195" t="str">
        <v>-</v>
      </c>
      <c r="T45" s="195" t="str">
        <v>-</v>
      </c>
      <c r="U45" s="195" t="str">
        <v>-</v>
      </c>
      <c r="V45" s="195" t="str">
        <v>-</v>
      </c>
      <c r="W45" s="195" t="str">
        <v>-</v>
      </c>
      <c r="X45" s="195" t="str">
        <v>-</v>
      </c>
    </row>
    <row r="46" spans="1:24" ht="13.5" thickBot="1" x14ac:dyDescent="0.25">
      <c r="A46" s="223" t="s">
        <v>23</v>
      </c>
      <c r="E46" s="195" t="str">
        <v>-</v>
      </c>
      <c r="F46" s="195">
        <v>15</v>
      </c>
      <c r="G46" s="195">
        <v>15</v>
      </c>
      <c r="H46" s="195">
        <v>15</v>
      </c>
      <c r="I46" s="195">
        <v>15</v>
      </c>
      <c r="J46" s="195">
        <v>15</v>
      </c>
      <c r="K46" s="195">
        <v>15</v>
      </c>
      <c r="L46" s="195">
        <v>15</v>
      </c>
      <c r="M46" s="195">
        <v>15</v>
      </c>
      <c r="N46" s="195">
        <v>15</v>
      </c>
      <c r="O46" s="195">
        <v>15</v>
      </c>
      <c r="P46" s="195">
        <v>15</v>
      </c>
      <c r="Q46" s="195">
        <v>15</v>
      </c>
      <c r="R46" s="195">
        <v>15</v>
      </c>
      <c r="S46" s="195">
        <v>15</v>
      </c>
      <c r="T46" s="195">
        <v>15</v>
      </c>
      <c r="U46" s="195">
        <v>15</v>
      </c>
      <c r="V46" s="195">
        <v>15</v>
      </c>
      <c r="W46" s="195">
        <v>15</v>
      </c>
      <c r="X46" s="195">
        <v>15</v>
      </c>
    </row>
    <row r="47" spans="1:24" ht="13.5" thickBot="1" x14ac:dyDescent="0.25">
      <c r="A47" s="223" t="s">
        <v>24</v>
      </c>
      <c r="E47" s="195" t="str">
        <v>-</v>
      </c>
      <c r="F47" s="195" t="str">
        <v>-</v>
      </c>
      <c r="G47" s="195" t="str">
        <v>-</v>
      </c>
      <c r="H47" s="195" t="str">
        <v>-</v>
      </c>
      <c r="I47" s="195" t="str">
        <v>-</v>
      </c>
      <c r="J47" s="195" t="str">
        <v>-</v>
      </c>
      <c r="K47" s="195" t="str">
        <v>-</v>
      </c>
      <c r="L47" s="195" t="str">
        <v>-</v>
      </c>
      <c r="M47" s="195" t="str">
        <v>-</v>
      </c>
      <c r="N47" s="195" t="str">
        <v>-</v>
      </c>
      <c r="O47" s="195" t="str">
        <v>-</v>
      </c>
      <c r="P47" s="195" t="str">
        <v>-</v>
      </c>
      <c r="Q47" s="195" t="str">
        <v>-</v>
      </c>
      <c r="R47" s="195" t="str">
        <v>-</v>
      </c>
      <c r="S47" s="195" t="str">
        <v>-</v>
      </c>
      <c r="T47" s="195" t="str">
        <v>-</v>
      </c>
      <c r="U47" s="195" t="str">
        <v>-</v>
      </c>
      <c r="V47" s="195" t="str">
        <v>-</v>
      </c>
      <c r="W47" s="195" t="str">
        <v>-</v>
      </c>
      <c r="X47" s="195" t="str">
        <v>-</v>
      </c>
    </row>
    <row r="48" spans="1:24" ht="13.5" thickBot="1" x14ac:dyDescent="0.25">
      <c r="A48" s="224" t="s">
        <v>14</v>
      </c>
      <c r="E48" s="195" t="str">
        <v>-</v>
      </c>
      <c r="F48" s="195" t="str">
        <v>-</v>
      </c>
      <c r="G48" s="195">
        <v>0</v>
      </c>
      <c r="H48" s="195">
        <v>0</v>
      </c>
      <c r="I48" s="195">
        <v>0</v>
      </c>
      <c r="J48" s="195">
        <v>0</v>
      </c>
      <c r="K48" s="195">
        <v>0</v>
      </c>
      <c r="L48" s="195">
        <v>0</v>
      </c>
      <c r="M48" s="195">
        <v>0</v>
      </c>
      <c r="N48" s="195">
        <v>0</v>
      </c>
      <c r="O48" s="195">
        <v>0</v>
      </c>
      <c r="P48" s="195">
        <v>0</v>
      </c>
      <c r="Q48" s="195">
        <v>0</v>
      </c>
      <c r="R48" s="195">
        <v>0</v>
      </c>
      <c r="S48" s="195">
        <v>0</v>
      </c>
      <c r="T48" s="195">
        <v>30</v>
      </c>
      <c r="U48" s="195">
        <v>30</v>
      </c>
      <c r="V48" s="195">
        <v>30</v>
      </c>
      <c r="W48" s="195">
        <v>30</v>
      </c>
      <c r="X48" s="195">
        <v>30</v>
      </c>
    </row>
    <row r="49" spans="1:24" x14ac:dyDescent="0.2">
      <c r="A49" s="225" t="s">
        <v>101</v>
      </c>
      <c r="E49" s="221">
        <v>4.6318667643361797</v>
      </c>
      <c r="F49" s="221">
        <v>9.9577571668474913</v>
      </c>
      <c r="G49" s="221">
        <v>15.538125107818678</v>
      </c>
      <c r="H49" s="221">
        <v>21.222035606716283</v>
      </c>
      <c r="I49" s="221">
        <v>27.129068832316101</v>
      </c>
      <c r="J49" s="221">
        <v>33.289625157163734</v>
      </c>
      <c r="K49" s="221">
        <v>39.704912943457749</v>
      </c>
      <c r="L49" s="221">
        <v>46.35392727602521</v>
      </c>
      <c r="M49" s="221">
        <v>53.205362409376228</v>
      </c>
      <c r="N49" s="221">
        <v>60.301475870693764</v>
      </c>
      <c r="O49" s="221">
        <v>64.697841299247429</v>
      </c>
      <c r="P49" s="221">
        <v>69.270096037161764</v>
      </c>
      <c r="Q49" s="221">
        <v>73.961063497843298</v>
      </c>
      <c r="R49" s="221">
        <v>78.737891361682856</v>
      </c>
      <c r="S49" s="221">
        <v>83.436153129403692</v>
      </c>
      <c r="T49" s="221">
        <v>88.182181166437161</v>
      </c>
      <c r="U49" s="221">
        <v>92.929797918278652</v>
      </c>
      <c r="V49" s="221">
        <v>97.670053136093202</v>
      </c>
      <c r="W49" s="221">
        <v>102.37590959050084</v>
      </c>
      <c r="X49" s="221">
        <v>106.95842847332402</v>
      </c>
    </row>
  </sheetData>
  <conditionalFormatting sqref="B9:D16">
    <cfRule type="cellIs" dxfId="0" priority="1" operator="equal">
      <formula>0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Q99"/>
  <sheetViews>
    <sheetView zoomScale="90" zoomScaleNormal="90" workbookViewId="0">
      <selection activeCell="G37" sqref="G37"/>
    </sheetView>
  </sheetViews>
  <sheetFormatPr defaultRowHeight="15" x14ac:dyDescent="0.25"/>
  <cols>
    <col min="1" max="1" width="12.42578125" bestFit="1" customWidth="1"/>
    <col min="2" max="2" width="22" bestFit="1" customWidth="1"/>
    <col min="3" max="3" width="14.85546875" bestFit="1" customWidth="1"/>
    <col min="4" max="4" width="17.28515625" bestFit="1" customWidth="1"/>
    <col min="5" max="5" width="22.42578125" bestFit="1" customWidth="1"/>
    <col min="7" max="7" width="18.28515625" bestFit="1" customWidth="1"/>
    <col min="8" max="8" width="22" bestFit="1" customWidth="1"/>
    <col min="9" max="9" width="12.5703125" bestFit="1" customWidth="1"/>
    <col min="10" max="10" width="17.28515625" bestFit="1" customWidth="1"/>
    <col min="11" max="11" width="22.42578125" bestFit="1" customWidth="1"/>
    <col min="13" max="13" width="23.85546875" bestFit="1" customWidth="1"/>
    <col min="14" max="14" width="22.85546875" bestFit="1" customWidth="1"/>
    <col min="15" max="15" width="12.5703125" bestFit="1" customWidth="1"/>
    <col min="16" max="16" width="17.28515625" bestFit="1" customWidth="1"/>
    <col min="17" max="17" width="22.42578125" bestFit="1" customWidth="1"/>
    <col min="21" max="21" width="17.5703125" bestFit="1" customWidth="1"/>
    <col min="22" max="22" width="14.42578125" bestFit="1" customWidth="1"/>
    <col min="23" max="23" width="13.140625" bestFit="1" customWidth="1"/>
    <col min="26" max="26" width="18.5703125" bestFit="1" customWidth="1"/>
    <col min="27" max="27" width="15.140625" bestFit="1" customWidth="1"/>
  </cols>
  <sheetData>
    <row r="2" spans="1:43" ht="31.5" x14ac:dyDescent="0.5">
      <c r="B2" s="255" t="s">
        <v>187</v>
      </c>
      <c r="T2" s="275" t="s">
        <v>190</v>
      </c>
    </row>
    <row r="3" spans="1:43" ht="26.25" x14ac:dyDescent="0.4">
      <c r="A3" s="269"/>
      <c r="B3" s="270" t="s">
        <v>177</v>
      </c>
      <c r="C3" s="269"/>
      <c r="D3" s="269"/>
      <c r="E3" s="269"/>
      <c r="F3" s="269"/>
      <c r="G3" s="270" t="s">
        <v>199</v>
      </c>
      <c r="H3" s="269"/>
      <c r="I3" s="269"/>
      <c r="J3" s="269"/>
      <c r="K3" s="269"/>
      <c r="L3" s="269"/>
      <c r="M3" s="270" t="s">
        <v>200</v>
      </c>
      <c r="N3" s="269"/>
      <c r="O3" s="269"/>
      <c r="P3" s="269"/>
      <c r="Q3" s="269"/>
      <c r="T3" s="274" t="s">
        <v>192</v>
      </c>
      <c r="U3" s="249"/>
      <c r="V3" s="249"/>
      <c r="W3" s="249"/>
      <c r="X3" s="249"/>
      <c r="Y3" s="274" t="s">
        <v>193</v>
      </c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</row>
    <row r="4" spans="1:43" x14ac:dyDescent="0.25">
      <c r="A4" s="269" t="s">
        <v>74</v>
      </c>
      <c r="B4" s="269" t="s">
        <v>188</v>
      </c>
      <c r="C4" s="269" t="s">
        <v>189</v>
      </c>
      <c r="D4" s="269"/>
      <c r="E4" s="269"/>
      <c r="F4" s="269" t="s">
        <v>74</v>
      </c>
      <c r="G4" s="269" t="s">
        <v>188</v>
      </c>
      <c r="H4" s="269" t="s">
        <v>189</v>
      </c>
      <c r="I4" s="269"/>
      <c r="J4" s="269"/>
      <c r="K4" s="269"/>
      <c r="L4" s="269" t="s">
        <v>74</v>
      </c>
      <c r="M4" s="269" t="s">
        <v>188</v>
      </c>
      <c r="N4" s="269" t="s">
        <v>189</v>
      </c>
      <c r="O4" s="269"/>
      <c r="P4" s="269"/>
      <c r="Q4" s="269"/>
      <c r="T4" s="249" t="s">
        <v>74</v>
      </c>
      <c r="U4" s="249" t="s">
        <v>191</v>
      </c>
      <c r="V4" s="249" t="s">
        <v>180</v>
      </c>
      <c r="W4" s="249"/>
      <c r="X4" s="249"/>
      <c r="Y4" s="249" t="s">
        <v>74</v>
      </c>
      <c r="Z4" s="249" t="s">
        <v>191</v>
      </c>
      <c r="AA4" s="249" t="s">
        <v>180</v>
      </c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9"/>
      <c r="AP4" s="249"/>
      <c r="AQ4" s="249"/>
    </row>
    <row r="5" spans="1:43" x14ac:dyDescent="0.25">
      <c r="A5" s="269">
        <v>2022</v>
      </c>
      <c r="B5" s="271">
        <f>D39+B72</f>
        <v>2212867.3395897187</v>
      </c>
      <c r="C5" s="272">
        <f>E39+C72</f>
        <v>13626386.199860575</v>
      </c>
      <c r="D5" s="269"/>
      <c r="E5" s="269"/>
      <c r="F5" s="269">
        <v>2022</v>
      </c>
      <c r="G5" s="273">
        <f>J39+G72</f>
        <v>2457489.741040396</v>
      </c>
      <c r="H5" s="272">
        <f>K39+H72</f>
        <v>13666396.296174407</v>
      </c>
      <c r="I5" s="269"/>
      <c r="J5" s="269"/>
      <c r="K5" s="269"/>
      <c r="L5" s="269">
        <v>2022</v>
      </c>
      <c r="M5" s="271">
        <f>G5-B5</f>
        <v>244622.40145067731</v>
      </c>
      <c r="N5" s="272">
        <f>H5-C5</f>
        <v>40010.096313832328</v>
      </c>
      <c r="O5" s="269"/>
      <c r="P5" s="269"/>
      <c r="Q5" s="269"/>
      <c r="T5" s="249">
        <v>2022</v>
      </c>
      <c r="U5" s="276">
        <f t="shared" ref="U5:U28" si="0">B5</f>
        <v>2212867.3395897187</v>
      </c>
      <c r="V5" s="277">
        <f t="shared" ref="V5:V28" si="1">G5</f>
        <v>2457489.741040396</v>
      </c>
      <c r="W5" s="249"/>
      <c r="X5" s="249"/>
      <c r="Y5" s="249">
        <v>2022</v>
      </c>
      <c r="Z5" s="278">
        <f>C5</f>
        <v>13626386.199860575</v>
      </c>
      <c r="AA5" s="278">
        <f>H5</f>
        <v>13666396.296174407</v>
      </c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</row>
    <row r="6" spans="1:43" x14ac:dyDescent="0.25">
      <c r="A6" s="269">
        <v>2023</v>
      </c>
      <c r="B6" s="271">
        <f t="shared" ref="B6:B28" si="2">D40+B73</f>
        <v>2219545.0338758612</v>
      </c>
      <c r="C6" s="272">
        <f t="shared" ref="C6:C28" si="3">E40+C73</f>
        <v>13122048.590861712</v>
      </c>
      <c r="D6" s="269"/>
      <c r="E6" s="269"/>
      <c r="F6" s="269">
        <v>2023</v>
      </c>
      <c r="G6" s="273">
        <f t="shared" ref="G6:G28" si="4">J40+G73</f>
        <v>2492698.6523687723</v>
      </c>
      <c r="H6" s="272">
        <f t="shared" ref="H6:H28" si="5">K40+H73</f>
        <v>13168059.316885635</v>
      </c>
      <c r="I6" s="269"/>
      <c r="J6" s="269"/>
      <c r="K6" s="269"/>
      <c r="L6" s="269">
        <v>2023</v>
      </c>
      <c r="M6" s="271">
        <f t="shared" ref="M6:M28" si="6">G6-B6</f>
        <v>273153.6184929111</v>
      </c>
      <c r="N6" s="272">
        <f t="shared" ref="N6:N28" si="7">H6-C6</f>
        <v>46010.726023923606</v>
      </c>
      <c r="O6" s="269"/>
      <c r="P6" s="269"/>
      <c r="Q6" s="269"/>
      <c r="T6" s="249">
        <v>2023</v>
      </c>
      <c r="U6" s="276">
        <f t="shared" si="0"/>
        <v>2219545.0338758612</v>
      </c>
      <c r="V6" s="277">
        <f t="shared" si="1"/>
        <v>2492698.6523687723</v>
      </c>
      <c r="W6" s="249"/>
      <c r="X6" s="249"/>
      <c r="Y6" s="249">
        <v>2023</v>
      </c>
      <c r="Z6" s="278">
        <f t="shared" ref="Z6:Z28" si="8">C6</f>
        <v>13122048.590861712</v>
      </c>
      <c r="AA6" s="278">
        <f t="shared" ref="AA6:AA28" si="9">H6</f>
        <v>13168059.316885635</v>
      </c>
      <c r="AB6" s="249"/>
      <c r="AC6" s="249"/>
      <c r="AD6" s="249"/>
      <c r="AE6" s="249"/>
      <c r="AF6" s="249"/>
      <c r="AG6" s="249"/>
      <c r="AH6" s="249"/>
      <c r="AI6" s="249"/>
      <c r="AJ6" s="249"/>
      <c r="AK6" s="249"/>
      <c r="AL6" s="249"/>
      <c r="AM6" s="249"/>
      <c r="AN6" s="249"/>
      <c r="AO6" s="249"/>
      <c r="AP6" s="249"/>
      <c r="AQ6" s="249"/>
    </row>
    <row r="7" spans="1:43" x14ac:dyDescent="0.25">
      <c r="A7" s="269">
        <v>2024</v>
      </c>
      <c r="B7" s="271">
        <f t="shared" si="2"/>
        <v>2282161.5905383811</v>
      </c>
      <c r="C7" s="272">
        <f t="shared" si="3"/>
        <v>13076690.861384699</v>
      </c>
      <c r="D7" s="269"/>
      <c r="E7" s="269"/>
      <c r="F7" s="269">
        <v>2024</v>
      </c>
      <c r="G7" s="273">
        <f t="shared" si="4"/>
        <v>2758636.5049033994</v>
      </c>
      <c r="H7" s="272">
        <f t="shared" si="5"/>
        <v>12512769.371511718</v>
      </c>
      <c r="I7" s="269"/>
      <c r="J7" s="269"/>
      <c r="K7" s="269"/>
      <c r="L7" s="269">
        <v>2024</v>
      </c>
      <c r="M7" s="271">
        <f t="shared" si="6"/>
        <v>476474.91436501825</v>
      </c>
      <c r="N7" s="272">
        <f t="shared" si="7"/>
        <v>-563921.48987298086</v>
      </c>
      <c r="O7" s="269"/>
      <c r="P7" s="269"/>
      <c r="Q7" s="269"/>
      <c r="T7" s="249">
        <v>2024</v>
      </c>
      <c r="U7" s="276">
        <f t="shared" si="0"/>
        <v>2282161.5905383811</v>
      </c>
      <c r="V7" s="277">
        <f t="shared" si="1"/>
        <v>2758636.5049033994</v>
      </c>
      <c r="W7" s="249"/>
      <c r="X7" s="249"/>
      <c r="Y7" s="249">
        <v>2024</v>
      </c>
      <c r="Z7" s="278">
        <f t="shared" si="8"/>
        <v>13076690.861384699</v>
      </c>
      <c r="AA7" s="278">
        <f t="shared" si="9"/>
        <v>12512769.371511718</v>
      </c>
      <c r="AB7" s="249"/>
      <c r="AC7" s="249"/>
      <c r="AD7" s="249"/>
      <c r="AE7" s="249"/>
      <c r="AF7" s="249"/>
      <c r="AG7" s="249"/>
      <c r="AH7" s="249"/>
      <c r="AI7" s="249"/>
      <c r="AJ7" s="249"/>
      <c r="AK7" s="249"/>
      <c r="AL7" s="249"/>
      <c r="AM7" s="249"/>
      <c r="AN7" s="249"/>
      <c r="AO7" s="249"/>
      <c r="AP7" s="249"/>
      <c r="AQ7" s="249"/>
    </row>
    <row r="8" spans="1:43" x14ac:dyDescent="0.25">
      <c r="A8" s="269">
        <v>2025</v>
      </c>
      <c r="B8" s="271">
        <f t="shared" si="2"/>
        <v>2369845.4175543189</v>
      </c>
      <c r="C8" s="272">
        <f t="shared" si="3"/>
        <v>12625318.67578781</v>
      </c>
      <c r="D8" s="269"/>
      <c r="E8" s="269"/>
      <c r="F8" s="269">
        <v>2025</v>
      </c>
      <c r="G8" s="273">
        <f t="shared" si="4"/>
        <v>2969767.4943762561</v>
      </c>
      <c r="H8" s="272">
        <f t="shared" si="5"/>
        <v>11829766.405800626</v>
      </c>
      <c r="I8" s="269"/>
      <c r="J8" s="269"/>
      <c r="K8" s="269"/>
      <c r="L8" s="269">
        <v>2025</v>
      </c>
      <c r="M8" s="271">
        <f t="shared" si="6"/>
        <v>599922.07682193723</v>
      </c>
      <c r="N8" s="272">
        <f t="shared" si="7"/>
        <v>-795552.26998718455</v>
      </c>
      <c r="O8" s="269"/>
      <c r="P8" s="269"/>
      <c r="Q8" s="269"/>
      <c r="T8" s="249">
        <v>2025</v>
      </c>
      <c r="U8" s="276">
        <f t="shared" si="0"/>
        <v>2369845.4175543189</v>
      </c>
      <c r="V8" s="277">
        <f t="shared" si="1"/>
        <v>2969767.4943762561</v>
      </c>
      <c r="W8" s="249"/>
      <c r="X8" s="249"/>
      <c r="Y8" s="249">
        <v>2025</v>
      </c>
      <c r="Z8" s="278">
        <f t="shared" si="8"/>
        <v>12625318.67578781</v>
      </c>
      <c r="AA8" s="278">
        <f t="shared" si="9"/>
        <v>11829766.405800626</v>
      </c>
      <c r="AB8" s="249"/>
      <c r="AC8" s="249"/>
      <c r="AD8" s="249"/>
      <c r="AE8" s="249"/>
      <c r="AF8" s="249"/>
      <c r="AG8" s="249"/>
      <c r="AH8" s="249"/>
      <c r="AI8" s="249"/>
      <c r="AJ8" s="249"/>
      <c r="AK8" s="249"/>
      <c r="AL8" s="249"/>
      <c r="AM8" s="249"/>
      <c r="AN8" s="249"/>
      <c r="AO8" s="249"/>
      <c r="AP8" s="249"/>
      <c r="AQ8" s="249"/>
    </row>
    <row r="9" spans="1:43" x14ac:dyDescent="0.25">
      <c r="A9" s="269">
        <v>2026</v>
      </c>
      <c r="B9" s="271">
        <f t="shared" si="2"/>
        <v>2221020.5859971694</v>
      </c>
      <c r="C9" s="272">
        <f t="shared" si="3"/>
        <v>10181791.847016793</v>
      </c>
      <c r="D9" s="269"/>
      <c r="E9" s="269"/>
      <c r="F9" s="269">
        <v>2026</v>
      </c>
      <c r="G9" s="273">
        <f t="shared" si="4"/>
        <v>2807871.2598978356</v>
      </c>
      <c r="H9" s="272">
        <f t="shared" si="5"/>
        <v>9545164.7162567172</v>
      </c>
      <c r="I9" s="269"/>
      <c r="J9" s="269"/>
      <c r="K9" s="269"/>
      <c r="L9" s="269">
        <v>2026</v>
      </c>
      <c r="M9" s="271">
        <f t="shared" si="6"/>
        <v>586850.67390066618</v>
      </c>
      <c r="N9" s="272">
        <f t="shared" si="7"/>
        <v>-636627.13076007552</v>
      </c>
      <c r="O9" s="269"/>
      <c r="P9" s="269"/>
      <c r="Q9" s="269"/>
      <c r="T9" s="249">
        <v>2026</v>
      </c>
      <c r="U9" s="276">
        <f t="shared" si="0"/>
        <v>2221020.5859971694</v>
      </c>
      <c r="V9" s="277">
        <f t="shared" si="1"/>
        <v>2807871.2598978356</v>
      </c>
      <c r="W9" s="249"/>
      <c r="X9" s="249"/>
      <c r="Y9" s="249">
        <v>2026</v>
      </c>
      <c r="Z9" s="278">
        <f t="shared" si="8"/>
        <v>10181791.847016793</v>
      </c>
      <c r="AA9" s="278">
        <f t="shared" si="9"/>
        <v>9545164.7162567172</v>
      </c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</row>
    <row r="10" spans="1:43" x14ac:dyDescent="0.25">
      <c r="A10" s="269">
        <v>2027</v>
      </c>
      <c r="B10" s="271">
        <f t="shared" si="2"/>
        <v>2432536.922897337</v>
      </c>
      <c r="C10" s="272">
        <f t="shared" si="3"/>
        <v>9662221.0379935689</v>
      </c>
      <c r="D10" s="269"/>
      <c r="E10" s="269"/>
      <c r="F10" s="269">
        <v>2027</v>
      </c>
      <c r="G10" s="273">
        <f t="shared" si="4"/>
        <v>2986856.4503480615</v>
      </c>
      <c r="H10" s="272">
        <f t="shared" si="5"/>
        <v>9817177.1903523281</v>
      </c>
      <c r="I10" s="269"/>
      <c r="J10" s="269"/>
      <c r="K10" s="269"/>
      <c r="L10" s="269">
        <v>2027</v>
      </c>
      <c r="M10" s="271">
        <f t="shared" si="6"/>
        <v>554319.5274507245</v>
      </c>
      <c r="N10" s="272">
        <f t="shared" si="7"/>
        <v>154956.15235875919</v>
      </c>
      <c r="O10" s="269"/>
      <c r="P10" s="269"/>
      <c r="Q10" s="269"/>
      <c r="T10" s="249">
        <v>2027</v>
      </c>
      <c r="U10" s="276">
        <f t="shared" si="0"/>
        <v>2432536.922897337</v>
      </c>
      <c r="V10" s="277">
        <f t="shared" si="1"/>
        <v>2986856.4503480615</v>
      </c>
      <c r="W10" s="249"/>
      <c r="X10" s="249"/>
      <c r="Y10" s="249">
        <v>2027</v>
      </c>
      <c r="Z10" s="278">
        <f t="shared" si="8"/>
        <v>9662221.0379935689</v>
      </c>
      <c r="AA10" s="278">
        <f t="shared" si="9"/>
        <v>9817177.1903523281</v>
      </c>
      <c r="AB10" s="249"/>
      <c r="AC10" s="249"/>
      <c r="AD10" s="249"/>
      <c r="AE10" s="249"/>
      <c r="AF10" s="249"/>
      <c r="AG10" s="249"/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</row>
    <row r="11" spans="1:43" x14ac:dyDescent="0.25">
      <c r="A11" s="269">
        <v>2028</v>
      </c>
      <c r="B11" s="271">
        <f t="shared" si="2"/>
        <v>2555763.5284623643</v>
      </c>
      <c r="C11" s="272">
        <f t="shared" si="3"/>
        <v>9300805.8832548354</v>
      </c>
      <c r="D11" s="269"/>
      <c r="E11" s="269"/>
      <c r="F11" s="269">
        <v>2028</v>
      </c>
      <c r="G11" s="273">
        <f t="shared" si="4"/>
        <v>3205653.2702558171</v>
      </c>
      <c r="H11" s="272">
        <f t="shared" si="5"/>
        <v>9092712.9716703743</v>
      </c>
      <c r="I11" s="269"/>
      <c r="J11" s="269"/>
      <c r="K11" s="269"/>
      <c r="L11" s="269">
        <v>2028</v>
      </c>
      <c r="M11" s="271">
        <f t="shared" si="6"/>
        <v>649889.74179345276</v>
      </c>
      <c r="N11" s="272">
        <f t="shared" si="7"/>
        <v>-208092.91158446111</v>
      </c>
      <c r="O11" s="269"/>
      <c r="P11" s="269"/>
      <c r="Q11" s="269"/>
      <c r="T11" s="249">
        <v>2028</v>
      </c>
      <c r="U11" s="276">
        <f t="shared" si="0"/>
        <v>2555763.5284623643</v>
      </c>
      <c r="V11" s="277">
        <f t="shared" si="1"/>
        <v>3205653.2702558171</v>
      </c>
      <c r="W11" s="249"/>
      <c r="X11" s="249"/>
      <c r="Y11" s="249">
        <v>2028</v>
      </c>
      <c r="Z11" s="278">
        <f t="shared" si="8"/>
        <v>9300805.8832548354</v>
      </c>
      <c r="AA11" s="278">
        <f t="shared" si="9"/>
        <v>9092712.9716703743</v>
      </c>
      <c r="AB11" s="249"/>
      <c r="AC11" s="249"/>
      <c r="AD11" s="249"/>
      <c r="AE11" s="249"/>
      <c r="AF11" s="249"/>
      <c r="AG11" s="249"/>
      <c r="AH11" s="249"/>
      <c r="AI11" s="249"/>
      <c r="AJ11" s="249"/>
      <c r="AK11" s="249"/>
      <c r="AL11" s="249"/>
      <c r="AM11" s="249"/>
      <c r="AN11" s="249"/>
      <c r="AO11" s="249"/>
      <c r="AP11" s="249"/>
      <c r="AQ11" s="249"/>
    </row>
    <row r="12" spans="1:43" x14ac:dyDescent="0.25">
      <c r="A12" s="269">
        <v>2029</v>
      </c>
      <c r="B12" s="271">
        <f t="shared" si="2"/>
        <v>2644123.6125918645</v>
      </c>
      <c r="C12" s="272">
        <f t="shared" si="3"/>
        <v>8752564.9119989593</v>
      </c>
      <c r="D12" s="269"/>
      <c r="E12" s="269"/>
      <c r="F12" s="269">
        <v>2029</v>
      </c>
      <c r="G12" s="273">
        <f t="shared" si="4"/>
        <v>3369461.0162433526</v>
      </c>
      <c r="H12" s="272">
        <f t="shared" si="5"/>
        <v>8676354.509272173</v>
      </c>
      <c r="I12" s="269"/>
      <c r="J12" s="269"/>
      <c r="K12" s="269"/>
      <c r="L12" s="269">
        <v>2029</v>
      </c>
      <c r="M12" s="271">
        <f t="shared" si="6"/>
        <v>725337.40365148801</v>
      </c>
      <c r="N12" s="272">
        <f t="shared" si="7"/>
        <v>-76210.402726786211</v>
      </c>
      <c r="O12" s="269"/>
      <c r="P12" s="269"/>
      <c r="Q12" s="269"/>
      <c r="T12" s="249">
        <v>2029</v>
      </c>
      <c r="U12" s="276">
        <f t="shared" si="0"/>
        <v>2644123.6125918645</v>
      </c>
      <c r="V12" s="277">
        <f t="shared" si="1"/>
        <v>3369461.0162433526</v>
      </c>
      <c r="W12" s="249"/>
      <c r="X12" s="249"/>
      <c r="Y12" s="249">
        <v>2029</v>
      </c>
      <c r="Z12" s="278">
        <f t="shared" si="8"/>
        <v>8752564.9119989593</v>
      </c>
      <c r="AA12" s="278">
        <f t="shared" si="9"/>
        <v>8676354.509272173</v>
      </c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</row>
    <row r="13" spans="1:43" x14ac:dyDescent="0.25">
      <c r="A13" s="269">
        <v>2030</v>
      </c>
      <c r="B13" s="271">
        <f t="shared" si="2"/>
        <v>2875975.0578373722</v>
      </c>
      <c r="C13" s="272">
        <f t="shared" si="3"/>
        <v>8387855.2412026506</v>
      </c>
      <c r="D13" s="269"/>
      <c r="E13" s="269"/>
      <c r="F13" s="269">
        <v>2030</v>
      </c>
      <c r="G13" s="273">
        <f t="shared" si="4"/>
        <v>3651374.5960522117</v>
      </c>
      <c r="H13" s="272">
        <f t="shared" si="5"/>
        <v>7994747.4096895717</v>
      </c>
      <c r="I13" s="269"/>
      <c r="J13" s="269"/>
      <c r="K13" s="269"/>
      <c r="L13" s="269">
        <v>2030</v>
      </c>
      <c r="M13" s="271">
        <f t="shared" si="6"/>
        <v>775399.53821483953</v>
      </c>
      <c r="N13" s="272">
        <f t="shared" si="7"/>
        <v>-393107.83151307888</v>
      </c>
      <c r="O13" s="269"/>
      <c r="P13" s="269"/>
      <c r="Q13" s="269"/>
      <c r="T13" s="249">
        <v>2030</v>
      </c>
      <c r="U13" s="276">
        <f t="shared" si="0"/>
        <v>2875975.0578373722</v>
      </c>
      <c r="V13" s="277">
        <f t="shared" si="1"/>
        <v>3651374.5960522117</v>
      </c>
      <c r="W13" s="249"/>
      <c r="X13" s="249"/>
      <c r="Y13" s="249">
        <v>2030</v>
      </c>
      <c r="Z13" s="278">
        <f t="shared" si="8"/>
        <v>8387855.2412026506</v>
      </c>
      <c r="AA13" s="278">
        <f t="shared" si="9"/>
        <v>7994747.4096895717</v>
      </c>
      <c r="AB13" s="249">
        <f>AA13/Z13</f>
        <v>0.95313368910063412</v>
      </c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</row>
    <row r="14" spans="1:43" x14ac:dyDescent="0.25">
      <c r="A14" s="269">
        <v>2031</v>
      </c>
      <c r="B14" s="271">
        <f t="shared" si="2"/>
        <v>2992610.078735414</v>
      </c>
      <c r="C14" s="272">
        <f t="shared" si="3"/>
        <v>8304778.0206123609</v>
      </c>
      <c r="D14" s="269"/>
      <c r="E14" s="269"/>
      <c r="F14" s="269">
        <v>2031</v>
      </c>
      <c r="G14" s="273">
        <f t="shared" si="4"/>
        <v>3791554.1002996936</v>
      </c>
      <c r="H14" s="272">
        <f t="shared" si="5"/>
        <v>7907246.8764280118</v>
      </c>
      <c r="I14" s="269"/>
      <c r="J14" s="269"/>
      <c r="K14" s="269"/>
      <c r="L14" s="269">
        <v>2031</v>
      </c>
      <c r="M14" s="271">
        <f t="shared" si="6"/>
        <v>798944.02156427968</v>
      </c>
      <c r="N14" s="272">
        <f t="shared" si="7"/>
        <v>-397531.1441843491</v>
      </c>
      <c r="O14" s="269"/>
      <c r="P14" s="269"/>
      <c r="Q14" s="269"/>
      <c r="T14" s="249">
        <v>2031</v>
      </c>
      <c r="U14" s="276">
        <f t="shared" si="0"/>
        <v>2992610.078735414</v>
      </c>
      <c r="V14" s="277">
        <f t="shared" si="1"/>
        <v>3791554.1002996936</v>
      </c>
      <c r="W14" s="249"/>
      <c r="X14" s="249"/>
      <c r="Y14" s="249">
        <v>2031</v>
      </c>
      <c r="Z14" s="278">
        <f t="shared" si="8"/>
        <v>8304778.0206123609</v>
      </c>
      <c r="AA14" s="278">
        <f t="shared" si="9"/>
        <v>7907246.8764280118</v>
      </c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</row>
    <row r="15" spans="1:43" x14ac:dyDescent="0.25">
      <c r="A15" s="269">
        <v>2032</v>
      </c>
      <c r="B15" s="271">
        <f t="shared" si="2"/>
        <v>3097637.1684891377</v>
      </c>
      <c r="C15" s="272">
        <f t="shared" si="3"/>
        <v>8305766.9392377529</v>
      </c>
      <c r="D15" s="269"/>
      <c r="E15" s="269"/>
      <c r="F15" s="269">
        <v>2032</v>
      </c>
      <c r="G15" s="273">
        <f t="shared" si="4"/>
        <v>3969194.9218027848</v>
      </c>
      <c r="H15" s="272">
        <f t="shared" si="5"/>
        <v>7845873.9450795585</v>
      </c>
      <c r="I15" s="269"/>
      <c r="J15" s="269"/>
      <c r="K15" s="269"/>
      <c r="L15" s="269">
        <v>2032</v>
      </c>
      <c r="M15" s="271">
        <f t="shared" si="6"/>
        <v>871557.75331364712</v>
      </c>
      <c r="N15" s="272">
        <f t="shared" si="7"/>
        <v>-459892.9941581944</v>
      </c>
      <c r="O15" s="269"/>
      <c r="P15" s="269"/>
      <c r="Q15" s="269"/>
      <c r="T15" s="249">
        <v>2032</v>
      </c>
      <c r="U15" s="276">
        <f t="shared" si="0"/>
        <v>3097637.1684891377</v>
      </c>
      <c r="V15" s="277">
        <f t="shared" si="1"/>
        <v>3969194.9218027848</v>
      </c>
      <c r="W15" s="249"/>
      <c r="X15" s="249"/>
      <c r="Y15" s="249">
        <v>2032</v>
      </c>
      <c r="Z15" s="278">
        <f t="shared" si="8"/>
        <v>8305766.9392377529</v>
      </c>
      <c r="AA15" s="278">
        <f t="shared" si="9"/>
        <v>7845873.9450795585</v>
      </c>
      <c r="AB15" s="249"/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49"/>
    </row>
    <row r="16" spans="1:43" x14ac:dyDescent="0.25">
      <c r="A16" s="269">
        <v>2033</v>
      </c>
      <c r="B16" s="271">
        <f t="shared" si="2"/>
        <v>3134655.2522220723</v>
      </c>
      <c r="C16" s="272">
        <f t="shared" si="3"/>
        <v>8190639.5307410136</v>
      </c>
      <c r="D16" s="269"/>
      <c r="E16" s="269"/>
      <c r="F16" s="269">
        <v>2033</v>
      </c>
      <c r="G16" s="273">
        <f t="shared" si="4"/>
        <v>4212642.6224497836</v>
      </c>
      <c r="H16" s="272">
        <f t="shared" si="5"/>
        <v>7674697.5677626655</v>
      </c>
      <c r="I16" s="269"/>
      <c r="J16" s="269"/>
      <c r="K16" s="269"/>
      <c r="L16" s="269">
        <v>2033</v>
      </c>
      <c r="M16" s="271">
        <f t="shared" si="6"/>
        <v>1077987.3702277113</v>
      </c>
      <c r="N16" s="272">
        <f t="shared" si="7"/>
        <v>-515941.96297834814</v>
      </c>
      <c r="O16" s="269"/>
      <c r="P16" s="269"/>
      <c r="Q16" s="269"/>
      <c r="T16" s="249">
        <v>2033</v>
      </c>
      <c r="U16" s="276">
        <f t="shared" si="0"/>
        <v>3134655.2522220723</v>
      </c>
      <c r="V16" s="277">
        <f t="shared" si="1"/>
        <v>4212642.6224497836</v>
      </c>
      <c r="W16" s="249"/>
      <c r="X16" s="249"/>
      <c r="Y16" s="249">
        <v>2033</v>
      </c>
      <c r="Z16" s="278">
        <f t="shared" si="8"/>
        <v>8190639.5307410136</v>
      </c>
      <c r="AA16" s="278">
        <f t="shared" si="9"/>
        <v>7674697.5677626655</v>
      </c>
      <c r="AB16" s="249"/>
      <c r="AC16" s="249"/>
      <c r="AD16" s="249"/>
      <c r="AE16" s="249"/>
      <c r="AF16" s="249"/>
      <c r="AG16" s="249"/>
      <c r="AH16" s="249"/>
      <c r="AI16" s="249"/>
      <c r="AJ16" s="249"/>
      <c r="AK16" s="249"/>
      <c r="AL16" s="249"/>
      <c r="AM16" s="249"/>
      <c r="AN16" s="249"/>
      <c r="AO16" s="249"/>
      <c r="AP16" s="249"/>
      <c r="AQ16" s="249"/>
    </row>
    <row r="17" spans="1:43" x14ac:dyDescent="0.25">
      <c r="A17" s="269">
        <v>2034</v>
      </c>
      <c r="B17" s="271">
        <f t="shared" si="2"/>
        <v>3289609.345622153</v>
      </c>
      <c r="C17" s="272">
        <f t="shared" si="3"/>
        <v>8133354.1952033537</v>
      </c>
      <c r="D17" s="269"/>
      <c r="E17" s="269"/>
      <c r="F17" s="269">
        <v>2034</v>
      </c>
      <c r="G17" s="273">
        <f t="shared" si="4"/>
        <v>4395145.8656507619</v>
      </c>
      <c r="H17" s="272">
        <f t="shared" si="5"/>
        <v>7501763.8946657395</v>
      </c>
      <c r="I17" s="269"/>
      <c r="J17" s="269"/>
      <c r="K17" s="269"/>
      <c r="L17" s="269">
        <v>2034</v>
      </c>
      <c r="M17" s="271">
        <f t="shared" si="6"/>
        <v>1105536.5200286089</v>
      </c>
      <c r="N17" s="272">
        <f t="shared" si="7"/>
        <v>-631590.30053761415</v>
      </c>
      <c r="O17" s="269"/>
      <c r="P17" s="269"/>
      <c r="Q17" s="269"/>
      <c r="T17" s="249">
        <v>2034</v>
      </c>
      <c r="U17" s="276">
        <f t="shared" si="0"/>
        <v>3289609.345622153</v>
      </c>
      <c r="V17" s="277">
        <f t="shared" si="1"/>
        <v>4395145.8656507619</v>
      </c>
      <c r="W17" s="249"/>
      <c r="X17" s="249"/>
      <c r="Y17" s="249">
        <v>2034</v>
      </c>
      <c r="Z17" s="278">
        <f t="shared" si="8"/>
        <v>8133354.1952033537</v>
      </c>
      <c r="AA17" s="278">
        <f t="shared" si="9"/>
        <v>7501763.8946657395</v>
      </c>
      <c r="AB17" s="249"/>
      <c r="AC17" s="249"/>
      <c r="AD17" s="249"/>
      <c r="AE17" s="249"/>
      <c r="AF17" s="249"/>
      <c r="AG17" s="249"/>
      <c r="AH17" s="249"/>
      <c r="AI17" s="249"/>
      <c r="AJ17" s="249"/>
      <c r="AK17" s="249"/>
      <c r="AL17" s="249"/>
      <c r="AM17" s="249"/>
      <c r="AN17" s="249"/>
      <c r="AO17" s="249"/>
      <c r="AP17" s="249"/>
      <c r="AQ17" s="249"/>
    </row>
    <row r="18" spans="1:43" x14ac:dyDescent="0.25">
      <c r="A18" s="269">
        <v>2035</v>
      </c>
      <c r="B18" s="271">
        <f t="shared" si="2"/>
        <v>3483534.50037733</v>
      </c>
      <c r="C18" s="272">
        <f t="shared" si="3"/>
        <v>8053271.0269984109</v>
      </c>
      <c r="D18" s="269"/>
      <c r="E18" s="269"/>
      <c r="F18" s="269">
        <v>2035</v>
      </c>
      <c r="G18" s="273">
        <f t="shared" si="4"/>
        <v>4705898.471086869</v>
      </c>
      <c r="H18" s="272">
        <f t="shared" si="5"/>
        <v>7317926.4348421171</v>
      </c>
      <c r="I18" s="269"/>
      <c r="J18" s="269"/>
      <c r="K18" s="269"/>
      <c r="L18" s="269">
        <v>2035</v>
      </c>
      <c r="M18" s="271">
        <f t="shared" si="6"/>
        <v>1222363.970709539</v>
      </c>
      <c r="N18" s="272">
        <f t="shared" si="7"/>
        <v>-735344.5921562938</v>
      </c>
      <c r="O18" s="269"/>
      <c r="P18" s="269"/>
      <c r="Q18" s="269"/>
      <c r="T18" s="249">
        <v>2035</v>
      </c>
      <c r="U18" s="276">
        <f t="shared" si="0"/>
        <v>3483534.50037733</v>
      </c>
      <c r="V18" s="277">
        <f t="shared" si="1"/>
        <v>4705898.471086869</v>
      </c>
      <c r="W18" s="249"/>
      <c r="X18" s="249"/>
      <c r="Y18" s="249">
        <v>2035</v>
      </c>
      <c r="Z18" s="278">
        <f t="shared" si="8"/>
        <v>8053271.0269984109</v>
      </c>
      <c r="AA18" s="278">
        <f t="shared" si="9"/>
        <v>7317926.4348421171</v>
      </c>
      <c r="AB18" s="249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49"/>
      <c r="AN18" s="249"/>
      <c r="AO18" s="249"/>
      <c r="AP18" s="249"/>
      <c r="AQ18" s="249"/>
    </row>
    <row r="19" spans="1:43" x14ac:dyDescent="0.25">
      <c r="A19" s="269">
        <v>2036</v>
      </c>
      <c r="B19" s="271">
        <f t="shared" si="2"/>
        <v>3706965.6246829652</v>
      </c>
      <c r="C19" s="272">
        <f t="shared" si="3"/>
        <v>8088089.6383649781</v>
      </c>
      <c r="D19" s="269"/>
      <c r="E19" s="269"/>
      <c r="F19" s="269">
        <v>2036</v>
      </c>
      <c r="G19" s="273">
        <f t="shared" si="4"/>
        <v>5013858.1833978957</v>
      </c>
      <c r="H19" s="272">
        <f t="shared" si="5"/>
        <v>7065418.0768436966</v>
      </c>
      <c r="I19" s="269"/>
      <c r="J19" s="269"/>
      <c r="K19" s="269"/>
      <c r="L19" s="269">
        <v>2036</v>
      </c>
      <c r="M19" s="271">
        <f t="shared" si="6"/>
        <v>1306892.5587149304</v>
      </c>
      <c r="N19" s="272">
        <f t="shared" si="7"/>
        <v>-1022671.5615212815</v>
      </c>
      <c r="O19" s="269"/>
      <c r="P19" s="269"/>
      <c r="Q19" s="269"/>
      <c r="T19" s="249">
        <v>2036</v>
      </c>
      <c r="U19" s="276">
        <f t="shared" si="0"/>
        <v>3706965.6246829652</v>
      </c>
      <c r="V19" s="277">
        <f t="shared" si="1"/>
        <v>5013858.1833978957</v>
      </c>
      <c r="W19" s="249"/>
      <c r="X19" s="249"/>
      <c r="Y19" s="249">
        <v>2036</v>
      </c>
      <c r="Z19" s="278">
        <f t="shared" si="8"/>
        <v>8088089.6383649781</v>
      </c>
      <c r="AA19" s="278">
        <f t="shared" si="9"/>
        <v>7065418.0768436966</v>
      </c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49"/>
    </row>
    <row r="20" spans="1:43" x14ac:dyDescent="0.25">
      <c r="A20" s="269">
        <v>2037</v>
      </c>
      <c r="B20" s="271">
        <f t="shared" si="2"/>
        <v>3881547.0395021909</v>
      </c>
      <c r="C20" s="272">
        <f t="shared" si="3"/>
        <v>8020174.1259359065</v>
      </c>
      <c r="D20" s="269"/>
      <c r="E20" s="269"/>
      <c r="F20" s="269">
        <v>2037</v>
      </c>
      <c r="G20" s="273">
        <f t="shared" si="4"/>
        <v>5296794.3134228699</v>
      </c>
      <c r="H20" s="272">
        <f t="shared" si="5"/>
        <v>6946399.9301481051</v>
      </c>
      <c r="I20" s="269"/>
      <c r="J20" s="269"/>
      <c r="K20" s="269"/>
      <c r="L20" s="269">
        <v>2037</v>
      </c>
      <c r="M20" s="271">
        <f t="shared" si="6"/>
        <v>1415247.273920679</v>
      </c>
      <c r="N20" s="272">
        <f t="shared" si="7"/>
        <v>-1073774.1957878014</v>
      </c>
      <c r="O20" s="269"/>
      <c r="P20" s="269"/>
      <c r="Q20" s="269"/>
      <c r="T20" s="249">
        <v>2037</v>
      </c>
      <c r="U20" s="276">
        <f t="shared" si="0"/>
        <v>3881547.0395021909</v>
      </c>
      <c r="V20" s="277">
        <f t="shared" si="1"/>
        <v>5296794.3134228699</v>
      </c>
      <c r="W20" s="249"/>
      <c r="X20" s="249"/>
      <c r="Y20" s="249">
        <v>2037</v>
      </c>
      <c r="Z20" s="278">
        <f t="shared" si="8"/>
        <v>8020174.1259359065</v>
      </c>
      <c r="AA20" s="278">
        <f t="shared" si="9"/>
        <v>6946399.9301481051</v>
      </c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</row>
    <row r="21" spans="1:43" x14ac:dyDescent="0.25">
      <c r="A21" s="269">
        <v>2038</v>
      </c>
      <c r="B21" s="271">
        <f t="shared" si="2"/>
        <v>3965375.3766137371</v>
      </c>
      <c r="C21" s="272">
        <f t="shared" si="3"/>
        <v>8022411.9078683201</v>
      </c>
      <c r="D21" s="269"/>
      <c r="E21" s="269"/>
      <c r="F21" s="269">
        <v>2038</v>
      </c>
      <c r="G21" s="273">
        <f t="shared" si="4"/>
        <v>5529151.4753024317</v>
      </c>
      <c r="H21" s="272">
        <f t="shared" si="5"/>
        <v>6792878.3544404963</v>
      </c>
      <c r="I21" s="269"/>
      <c r="J21" s="269"/>
      <c r="K21" s="269"/>
      <c r="L21" s="269">
        <v>2038</v>
      </c>
      <c r="M21" s="271">
        <f t="shared" si="6"/>
        <v>1563776.0986886946</v>
      </c>
      <c r="N21" s="272">
        <f t="shared" si="7"/>
        <v>-1229533.5534278238</v>
      </c>
      <c r="O21" s="269"/>
      <c r="P21" s="269"/>
      <c r="Q21" s="269"/>
      <c r="T21" s="249">
        <v>2038</v>
      </c>
      <c r="U21" s="276">
        <f t="shared" si="0"/>
        <v>3965375.3766137371</v>
      </c>
      <c r="V21" s="277">
        <f t="shared" si="1"/>
        <v>5529151.4753024317</v>
      </c>
      <c r="W21" s="249"/>
      <c r="X21" s="249"/>
      <c r="Y21" s="249">
        <v>2038</v>
      </c>
      <c r="Z21" s="278">
        <f t="shared" si="8"/>
        <v>8022411.9078683201</v>
      </c>
      <c r="AA21" s="278">
        <f t="shared" si="9"/>
        <v>6792878.3544404963</v>
      </c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</row>
    <row r="22" spans="1:43" x14ac:dyDescent="0.25">
      <c r="A22" s="269">
        <v>2039</v>
      </c>
      <c r="B22" s="271">
        <f t="shared" si="2"/>
        <v>4153755.4777879776</v>
      </c>
      <c r="C22" s="272">
        <f t="shared" si="3"/>
        <v>7974903.3590704482</v>
      </c>
      <c r="D22" s="269"/>
      <c r="E22" s="269"/>
      <c r="F22" s="269">
        <v>2039</v>
      </c>
      <c r="G22" s="273">
        <f t="shared" si="4"/>
        <v>5905269.969617879</v>
      </c>
      <c r="H22" s="272">
        <f t="shared" si="5"/>
        <v>6731571.0112614855</v>
      </c>
      <c r="I22" s="269"/>
      <c r="J22" s="269"/>
      <c r="K22" s="269"/>
      <c r="L22" s="269">
        <v>2039</v>
      </c>
      <c r="M22" s="271">
        <f t="shared" si="6"/>
        <v>1751514.4918299015</v>
      </c>
      <c r="N22" s="272">
        <f t="shared" si="7"/>
        <v>-1243332.3478089627</v>
      </c>
      <c r="O22" s="269"/>
      <c r="P22" s="269"/>
      <c r="Q22" s="269"/>
      <c r="T22" s="249">
        <v>2039</v>
      </c>
      <c r="U22" s="276">
        <f t="shared" si="0"/>
        <v>4153755.4777879776</v>
      </c>
      <c r="V22" s="277">
        <f t="shared" si="1"/>
        <v>5905269.969617879</v>
      </c>
      <c r="W22" s="249"/>
      <c r="X22" s="249"/>
      <c r="Y22" s="249">
        <v>2039</v>
      </c>
      <c r="Z22" s="278">
        <f t="shared" si="8"/>
        <v>7974903.3590704482</v>
      </c>
      <c r="AA22" s="278">
        <f t="shared" si="9"/>
        <v>6731571.0112614855</v>
      </c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</row>
    <row r="23" spans="1:43" x14ac:dyDescent="0.25">
      <c r="A23" s="269">
        <v>2040</v>
      </c>
      <c r="B23" s="271">
        <f t="shared" si="2"/>
        <v>4338479.7265081322</v>
      </c>
      <c r="C23" s="272">
        <f t="shared" si="3"/>
        <v>7870953.9421759937</v>
      </c>
      <c r="D23" s="269"/>
      <c r="E23" s="269"/>
      <c r="F23" s="269">
        <v>2040</v>
      </c>
      <c r="G23" s="273">
        <f t="shared" si="4"/>
        <v>6280979.845555569</v>
      </c>
      <c r="H23" s="272">
        <f t="shared" si="5"/>
        <v>6543783.3879125621</v>
      </c>
      <c r="I23" s="269"/>
      <c r="J23" s="269"/>
      <c r="K23" s="269"/>
      <c r="L23" s="269">
        <v>2040</v>
      </c>
      <c r="M23" s="271">
        <f t="shared" si="6"/>
        <v>1942500.1190474369</v>
      </c>
      <c r="N23" s="272">
        <f t="shared" si="7"/>
        <v>-1327170.5542634316</v>
      </c>
      <c r="O23" s="269"/>
      <c r="P23" s="269"/>
      <c r="Q23" s="269"/>
      <c r="T23" s="249">
        <v>2040</v>
      </c>
      <c r="U23" s="276">
        <f t="shared" si="0"/>
        <v>4338479.7265081322</v>
      </c>
      <c r="V23" s="277">
        <f t="shared" si="1"/>
        <v>6280979.845555569</v>
      </c>
      <c r="W23" s="249"/>
      <c r="X23" s="249"/>
      <c r="Y23" s="249">
        <v>2040</v>
      </c>
      <c r="Z23" s="278">
        <f t="shared" si="8"/>
        <v>7870953.9421759937</v>
      </c>
      <c r="AA23" s="278">
        <f t="shared" si="9"/>
        <v>6543783.3879125621</v>
      </c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</row>
    <row r="24" spans="1:43" x14ac:dyDescent="0.25">
      <c r="A24" s="269">
        <v>2041</v>
      </c>
      <c r="B24" s="271">
        <f t="shared" si="2"/>
        <v>4532563.435180068</v>
      </c>
      <c r="C24" s="272">
        <f t="shared" si="3"/>
        <v>7741558.0577205159</v>
      </c>
      <c r="D24" s="269"/>
      <c r="E24" s="269"/>
      <c r="F24" s="269">
        <v>2041</v>
      </c>
      <c r="G24" s="273">
        <f t="shared" si="4"/>
        <v>6572741.4915490011</v>
      </c>
      <c r="H24" s="272">
        <f t="shared" si="5"/>
        <v>6324842.7796636317</v>
      </c>
      <c r="I24" s="269"/>
      <c r="J24" s="269"/>
      <c r="K24" s="269"/>
      <c r="L24" s="269">
        <v>2041</v>
      </c>
      <c r="M24" s="271">
        <f t="shared" si="6"/>
        <v>2040178.0563689331</v>
      </c>
      <c r="N24" s="272">
        <f t="shared" si="7"/>
        <v>-1416715.2780568842</v>
      </c>
      <c r="O24" s="269"/>
      <c r="P24" s="269"/>
      <c r="Q24" s="269"/>
      <c r="T24" s="249">
        <v>2041</v>
      </c>
      <c r="U24" s="276">
        <f t="shared" si="0"/>
        <v>4532563.435180068</v>
      </c>
      <c r="V24" s="277">
        <f t="shared" si="1"/>
        <v>6572741.4915490011</v>
      </c>
      <c r="W24" s="249"/>
      <c r="X24" s="249"/>
      <c r="Y24" s="249">
        <v>2041</v>
      </c>
      <c r="Z24" s="278">
        <f t="shared" si="8"/>
        <v>7741558.0577205159</v>
      </c>
      <c r="AA24" s="278">
        <f t="shared" si="9"/>
        <v>6324842.7796636317</v>
      </c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</row>
    <row r="25" spans="1:43" x14ac:dyDescent="0.25">
      <c r="A25" s="269">
        <v>2042</v>
      </c>
      <c r="B25" s="271">
        <f t="shared" si="2"/>
        <v>4831082.6487736078</v>
      </c>
      <c r="C25" s="272">
        <f t="shared" si="3"/>
        <v>7730040.079984</v>
      </c>
      <c r="D25" s="269"/>
      <c r="E25" s="269"/>
      <c r="F25" s="269">
        <v>2042</v>
      </c>
      <c r="G25" s="273">
        <f t="shared" si="4"/>
        <v>6979671.5279424833</v>
      </c>
      <c r="H25" s="272">
        <f t="shared" si="5"/>
        <v>6186164.253115098</v>
      </c>
      <c r="I25" s="269"/>
      <c r="J25" s="269"/>
      <c r="K25" s="269"/>
      <c r="L25" s="269">
        <v>2042</v>
      </c>
      <c r="M25" s="271">
        <f t="shared" si="6"/>
        <v>2148588.8791688755</v>
      </c>
      <c r="N25" s="272">
        <f t="shared" si="7"/>
        <v>-1543875.826868902</v>
      </c>
      <c r="O25" s="269"/>
      <c r="P25" s="269"/>
      <c r="Q25" s="269"/>
      <c r="T25" s="249">
        <v>2042</v>
      </c>
      <c r="U25" s="276">
        <f t="shared" si="0"/>
        <v>4831082.6487736078</v>
      </c>
      <c r="V25" s="277">
        <f t="shared" si="1"/>
        <v>6979671.5279424833</v>
      </c>
      <c r="W25" s="249"/>
      <c r="X25" s="249"/>
      <c r="Y25" s="249">
        <v>2042</v>
      </c>
      <c r="Z25" s="278">
        <f t="shared" si="8"/>
        <v>7730040.079984</v>
      </c>
      <c r="AA25" s="278">
        <f t="shared" si="9"/>
        <v>6186164.253115098</v>
      </c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</row>
    <row r="26" spans="1:43" x14ac:dyDescent="0.25">
      <c r="A26" s="269">
        <v>2043</v>
      </c>
      <c r="B26" s="271">
        <f t="shared" si="2"/>
        <v>5113933.37557487</v>
      </c>
      <c r="C26" s="272">
        <f t="shared" si="3"/>
        <v>7665800.0325640664</v>
      </c>
      <c r="D26" s="269"/>
      <c r="E26" s="269"/>
      <c r="F26" s="269">
        <v>2043</v>
      </c>
      <c r="G26" s="273">
        <f t="shared" si="4"/>
        <v>7363068.6158006433</v>
      </c>
      <c r="H26" s="272">
        <f t="shared" si="5"/>
        <v>5976114.8132894896</v>
      </c>
      <c r="I26" s="269"/>
      <c r="J26" s="269"/>
      <c r="K26" s="269"/>
      <c r="L26" s="269">
        <v>2043</v>
      </c>
      <c r="M26" s="271">
        <f t="shared" si="6"/>
        <v>2249135.2402257733</v>
      </c>
      <c r="N26" s="272">
        <f t="shared" si="7"/>
        <v>-1689685.2192745768</v>
      </c>
      <c r="O26" s="269"/>
      <c r="P26" s="269"/>
      <c r="Q26" s="269"/>
      <c r="T26" s="249">
        <v>2043</v>
      </c>
      <c r="U26" s="276">
        <f t="shared" si="0"/>
        <v>5113933.37557487</v>
      </c>
      <c r="V26" s="277">
        <f t="shared" si="1"/>
        <v>7363068.6158006433</v>
      </c>
      <c r="W26" s="249"/>
      <c r="X26" s="249"/>
      <c r="Y26" s="249">
        <v>2043</v>
      </c>
      <c r="Z26" s="278">
        <f t="shared" si="8"/>
        <v>7665800.0325640664</v>
      </c>
      <c r="AA26" s="278">
        <f t="shared" si="9"/>
        <v>5976114.8132894896</v>
      </c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</row>
    <row r="27" spans="1:43" x14ac:dyDescent="0.25">
      <c r="A27" s="269">
        <v>2044</v>
      </c>
      <c r="B27" s="271">
        <f t="shared" si="2"/>
        <v>5390359.7842932865</v>
      </c>
      <c r="C27" s="272">
        <f t="shared" si="3"/>
        <v>7530158.8011985011</v>
      </c>
      <c r="D27" s="269"/>
      <c r="E27" s="269"/>
      <c r="F27" s="269">
        <v>2044</v>
      </c>
      <c r="G27" s="273">
        <f t="shared" si="4"/>
        <v>7782288.4719901942</v>
      </c>
      <c r="H27" s="272">
        <f t="shared" si="5"/>
        <v>5573441.7554762503</v>
      </c>
      <c r="I27" s="269"/>
      <c r="J27" s="269"/>
      <c r="K27" s="269"/>
      <c r="L27" s="269">
        <v>2044</v>
      </c>
      <c r="M27" s="271">
        <f t="shared" si="6"/>
        <v>2391928.6876969077</v>
      </c>
      <c r="N27" s="272">
        <f t="shared" si="7"/>
        <v>-1956717.0457222508</v>
      </c>
      <c r="O27" s="269"/>
      <c r="P27" s="269"/>
      <c r="Q27" s="269"/>
      <c r="T27" s="249">
        <v>2044</v>
      </c>
      <c r="U27" s="276">
        <f t="shared" si="0"/>
        <v>5390359.7842932865</v>
      </c>
      <c r="V27" s="277">
        <f t="shared" si="1"/>
        <v>7782288.4719901942</v>
      </c>
      <c r="W27" s="249"/>
      <c r="X27" s="249"/>
      <c r="Y27" s="249">
        <v>2044</v>
      </c>
      <c r="Z27" s="278">
        <f t="shared" si="8"/>
        <v>7530158.8011985011</v>
      </c>
      <c r="AA27" s="278">
        <f t="shared" si="9"/>
        <v>5573441.7554762503</v>
      </c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</row>
    <row r="28" spans="1:43" x14ac:dyDescent="0.25">
      <c r="A28" s="269">
        <v>2045</v>
      </c>
      <c r="B28" s="271">
        <f t="shared" si="2"/>
        <v>5605787.8154239245</v>
      </c>
      <c r="C28" s="272">
        <f t="shared" si="3"/>
        <v>7475721.9070446212</v>
      </c>
      <c r="D28" s="269"/>
      <c r="E28" s="269"/>
      <c r="F28" s="269">
        <v>2045</v>
      </c>
      <c r="G28" s="273">
        <f t="shared" si="4"/>
        <v>8180525.8137780745</v>
      </c>
      <c r="H28" s="272">
        <f t="shared" si="5"/>
        <v>5272064.5511576235</v>
      </c>
      <c r="I28" s="269"/>
      <c r="J28" s="269"/>
      <c r="K28" s="269"/>
      <c r="L28" s="269">
        <v>2045</v>
      </c>
      <c r="M28" s="271">
        <f t="shared" si="6"/>
        <v>2574737.99835415</v>
      </c>
      <c r="N28" s="272">
        <f t="shared" si="7"/>
        <v>-2203657.3558869977</v>
      </c>
      <c r="O28" s="269"/>
      <c r="P28" s="269"/>
      <c r="Q28" s="269"/>
      <c r="T28" s="249">
        <v>2045</v>
      </c>
      <c r="U28" s="276">
        <f t="shared" si="0"/>
        <v>5605787.8154239245</v>
      </c>
      <c r="V28" s="277">
        <f t="shared" si="1"/>
        <v>8180525.8137780745</v>
      </c>
      <c r="W28" s="249"/>
      <c r="X28" s="249"/>
      <c r="Y28" s="249">
        <v>2045</v>
      </c>
      <c r="Z28" s="278">
        <f t="shared" si="8"/>
        <v>7475721.9070446212</v>
      </c>
      <c r="AA28" s="278">
        <f t="shared" si="9"/>
        <v>5272064.5511576235</v>
      </c>
      <c r="AB28" s="249">
        <f>AA28/Z28</f>
        <v>0.70522480861541703</v>
      </c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</row>
    <row r="29" spans="1:43" x14ac:dyDescent="0.25"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</row>
    <row r="30" spans="1:43" x14ac:dyDescent="0.25">
      <c r="C30" s="66">
        <f>NPV(6.7%,C5:C28)</f>
        <v>115978103.60043304</v>
      </c>
      <c r="H30" s="66">
        <f>NPV(6.7%,H5:H28)</f>
        <v>108944525.33327006</v>
      </c>
      <c r="J30" s="191">
        <f>(C30-H30)/1000000</f>
        <v>7.0335782671629783</v>
      </c>
      <c r="N30" s="92"/>
    </row>
    <row r="31" spans="1:43" x14ac:dyDescent="0.25">
      <c r="C31" s="66">
        <f>-PMT(6.7%,24,C30)</f>
        <v>9847198.9004890174</v>
      </c>
      <c r="H31" s="66">
        <f>-PMT(6.7%,24,H30)</f>
        <v>9250008.2064807024</v>
      </c>
      <c r="J31" s="280">
        <f>34.51-28.19</f>
        <v>6.3199999999999967</v>
      </c>
    </row>
    <row r="32" spans="1:43" x14ac:dyDescent="0.25">
      <c r="J32" s="281">
        <f>J30/J31</f>
        <v>1.1129079536650288</v>
      </c>
    </row>
    <row r="35" spans="1:17" ht="31.5" x14ac:dyDescent="0.5">
      <c r="B35" s="255" t="s">
        <v>176</v>
      </c>
    </row>
    <row r="36" spans="1:17" x14ac:dyDescent="0.25">
      <c r="A36" s="250"/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9"/>
    </row>
    <row r="37" spans="1:17" ht="21" x14ac:dyDescent="0.35">
      <c r="A37" s="250"/>
      <c r="B37" s="260" t="s">
        <v>177</v>
      </c>
      <c r="C37" s="250"/>
      <c r="D37" s="251"/>
      <c r="E37" s="251" t="s">
        <v>186</v>
      </c>
      <c r="F37" s="250"/>
      <c r="G37" s="261" t="s">
        <v>180</v>
      </c>
      <c r="H37" s="251"/>
      <c r="I37" s="251"/>
      <c r="J37" s="251"/>
      <c r="K37" s="251" t="s">
        <v>186</v>
      </c>
      <c r="L37" s="250"/>
      <c r="M37" s="261" t="s">
        <v>185</v>
      </c>
      <c r="N37" s="250"/>
      <c r="O37" s="250"/>
      <c r="P37" s="250"/>
      <c r="Q37" s="251" t="s">
        <v>186</v>
      </c>
    </row>
    <row r="38" spans="1:17" x14ac:dyDescent="0.25">
      <c r="A38" s="252" t="s">
        <v>74</v>
      </c>
      <c r="B38" s="250" t="s">
        <v>178</v>
      </c>
      <c r="C38" s="250" t="s">
        <v>179</v>
      </c>
      <c r="D38" s="252" t="s">
        <v>80</v>
      </c>
      <c r="E38" s="252" t="s">
        <v>181</v>
      </c>
      <c r="F38" s="250"/>
      <c r="G38" s="252" t="s">
        <v>74</v>
      </c>
      <c r="H38" s="252" t="s">
        <v>178</v>
      </c>
      <c r="I38" s="252" t="s">
        <v>179</v>
      </c>
      <c r="J38" s="252" t="s">
        <v>80</v>
      </c>
      <c r="K38" s="252" t="s">
        <v>181</v>
      </c>
      <c r="L38" s="250"/>
      <c r="M38" s="252" t="s">
        <v>74</v>
      </c>
      <c r="N38" s="252" t="s">
        <v>178</v>
      </c>
      <c r="O38" s="252" t="s">
        <v>179</v>
      </c>
      <c r="P38" s="252" t="s">
        <v>80</v>
      </c>
      <c r="Q38" s="252" t="s">
        <v>181</v>
      </c>
    </row>
    <row r="39" spans="1:17" x14ac:dyDescent="0.25">
      <c r="A39" s="252">
        <v>2022</v>
      </c>
      <c r="B39" s="257">
        <v>687404.71624755859</v>
      </c>
      <c r="C39" s="257">
        <v>616076.23271716014</v>
      </c>
      <c r="D39" s="258">
        <f>SUM(B39:C39)</f>
        <v>1303480.9489647187</v>
      </c>
      <c r="E39" s="259">
        <v>8560751.3574909978</v>
      </c>
      <c r="F39" s="250"/>
      <c r="G39" s="252">
        <v>2022</v>
      </c>
      <c r="H39" s="254">
        <v>703088.53277587891</v>
      </c>
      <c r="I39" s="254">
        <v>637689.85670201713</v>
      </c>
      <c r="J39" s="253">
        <f>SUM(H39:I39)</f>
        <v>1340778.389477896</v>
      </c>
      <c r="K39" s="259">
        <v>8743634.0561516657</v>
      </c>
      <c r="L39" s="250"/>
      <c r="M39" s="252">
        <v>2022</v>
      </c>
      <c r="N39" s="254">
        <f>H39-B39</f>
        <v>15683.816528320313</v>
      </c>
      <c r="O39" s="254">
        <f>I39-C39</f>
        <v>21613.623984856997</v>
      </c>
      <c r="P39" s="254">
        <f>J39-D39</f>
        <v>37297.440513177309</v>
      </c>
      <c r="Q39" s="259">
        <f>K39-E39</f>
        <v>182882.69866066799</v>
      </c>
    </row>
    <row r="40" spans="1:17" x14ac:dyDescent="0.25">
      <c r="A40" s="252">
        <v>2023</v>
      </c>
      <c r="B40" s="257">
        <v>735499.55997610092</v>
      </c>
      <c r="C40" s="257">
        <v>600804.44264976028</v>
      </c>
      <c r="D40" s="258">
        <f t="shared" ref="D40:D62" si="10">SUM(B40:C40)</f>
        <v>1336304.0026258612</v>
      </c>
      <c r="E40" s="259">
        <v>8017653.330201895</v>
      </c>
      <c r="F40" s="250"/>
      <c r="G40" s="252">
        <v>2023</v>
      </c>
      <c r="H40" s="254">
        <v>758250.51139211655</v>
      </c>
      <c r="I40" s="254">
        <v>628629.02378915576</v>
      </c>
      <c r="J40" s="253">
        <f t="shared" ref="J40:J58" si="11">SUM(H40:I40)</f>
        <v>1386879.5351812723</v>
      </c>
      <c r="K40" s="259">
        <v>8277774.7134980913</v>
      </c>
      <c r="L40" s="250"/>
      <c r="M40" s="252">
        <v>2023</v>
      </c>
      <c r="N40" s="254">
        <f t="shared" ref="N40:Q62" si="12">H40-B40</f>
        <v>22750.951416015625</v>
      </c>
      <c r="O40" s="254">
        <f t="shared" si="12"/>
        <v>27824.581139395479</v>
      </c>
      <c r="P40" s="254">
        <f t="shared" si="12"/>
        <v>50575.532555411104</v>
      </c>
      <c r="Q40" s="259">
        <f t="shared" si="12"/>
        <v>260121.38329619635</v>
      </c>
    </row>
    <row r="41" spans="1:17" x14ac:dyDescent="0.25">
      <c r="A41" s="252">
        <v>2024</v>
      </c>
      <c r="B41" s="257">
        <v>746251.6102437973</v>
      </c>
      <c r="C41" s="257">
        <v>617752.03888833383</v>
      </c>
      <c r="D41" s="258">
        <f t="shared" si="10"/>
        <v>1364003.6491321311</v>
      </c>
      <c r="E41" s="259">
        <v>7919013.4059222145</v>
      </c>
      <c r="F41" s="250"/>
      <c r="G41" s="252">
        <v>2024</v>
      </c>
      <c r="H41" s="254">
        <v>978524.37306118011</v>
      </c>
      <c r="I41" s="254">
        <v>604910.1943422195</v>
      </c>
      <c r="J41" s="253">
        <f t="shared" si="11"/>
        <v>1583434.5674033996</v>
      </c>
      <c r="K41" s="259">
        <v>7651610.0614407808</v>
      </c>
      <c r="L41" s="250"/>
      <c r="M41" s="252">
        <v>2024</v>
      </c>
      <c r="N41" s="254">
        <f t="shared" si="12"/>
        <v>232272.76281738281</v>
      </c>
      <c r="O41" s="254">
        <f t="shared" si="12"/>
        <v>-12841.844546114327</v>
      </c>
      <c r="P41" s="254">
        <f t="shared" si="12"/>
        <v>219430.91827126849</v>
      </c>
      <c r="Q41" s="259">
        <f t="shared" si="12"/>
        <v>-267403.34448143374</v>
      </c>
    </row>
    <row r="42" spans="1:17" x14ac:dyDescent="0.25">
      <c r="A42" s="252">
        <v>2025</v>
      </c>
      <c r="B42" s="257">
        <v>818792.64768409729</v>
      </c>
      <c r="C42" s="257">
        <v>605843.49643272161</v>
      </c>
      <c r="D42" s="258">
        <f t="shared" si="10"/>
        <v>1424636.1441168189</v>
      </c>
      <c r="E42" s="259">
        <v>7462131.4757819669</v>
      </c>
      <c r="F42" s="250"/>
      <c r="G42" s="252">
        <v>2025</v>
      </c>
      <c r="H42" s="254">
        <v>1147984.3664951324</v>
      </c>
      <c r="I42" s="254">
        <v>580818.78413112368</v>
      </c>
      <c r="J42" s="253">
        <f t="shared" si="11"/>
        <v>1728803.1506262561</v>
      </c>
      <c r="K42" s="259">
        <v>7059080.5084194671</v>
      </c>
      <c r="L42" s="250"/>
      <c r="M42" s="252">
        <v>2025</v>
      </c>
      <c r="N42" s="254">
        <f t="shared" si="12"/>
        <v>329191.71881103516</v>
      </c>
      <c r="O42" s="254">
        <f t="shared" si="12"/>
        <v>-25024.71230159793</v>
      </c>
      <c r="P42" s="254">
        <f t="shared" si="12"/>
        <v>304167.00650943723</v>
      </c>
      <c r="Q42" s="259">
        <f t="shared" si="12"/>
        <v>-403050.9673624998</v>
      </c>
    </row>
    <row r="43" spans="1:17" x14ac:dyDescent="0.25">
      <c r="A43" s="252">
        <v>2026</v>
      </c>
      <c r="B43" s="257">
        <v>792700.4147567749</v>
      </c>
      <c r="C43" s="257">
        <v>430429.48374039447</v>
      </c>
      <c r="D43" s="258">
        <f t="shared" si="10"/>
        <v>1223129.8984971694</v>
      </c>
      <c r="E43" s="259">
        <v>5020137.540787125</v>
      </c>
      <c r="F43" s="250"/>
      <c r="G43" s="252">
        <v>2026</v>
      </c>
      <c r="H43" s="254">
        <v>1101275.1961288452</v>
      </c>
      <c r="I43" s="254">
        <v>423899.36064399057</v>
      </c>
      <c r="J43" s="253">
        <f t="shared" si="11"/>
        <v>1525174.5567728358</v>
      </c>
      <c r="K43" s="259">
        <v>4878444.8605391057</v>
      </c>
      <c r="L43" s="250"/>
      <c r="M43" s="252">
        <v>2026</v>
      </c>
      <c r="N43" s="254">
        <f t="shared" si="12"/>
        <v>308574.78137207031</v>
      </c>
      <c r="O43" s="254">
        <f t="shared" si="12"/>
        <v>-6530.1230964038987</v>
      </c>
      <c r="P43" s="254">
        <f t="shared" si="12"/>
        <v>302044.65827566641</v>
      </c>
      <c r="Q43" s="259">
        <f t="shared" si="12"/>
        <v>-141692.68024801929</v>
      </c>
    </row>
    <row r="44" spans="1:17" x14ac:dyDescent="0.25">
      <c r="A44" s="252">
        <v>2027</v>
      </c>
      <c r="B44" s="257">
        <v>1007027.7658958435</v>
      </c>
      <c r="C44" s="257">
        <v>401929.7312202435</v>
      </c>
      <c r="D44" s="258">
        <f t="shared" si="10"/>
        <v>1408957.497116087</v>
      </c>
      <c r="E44" s="259">
        <v>4507125.9360662661</v>
      </c>
      <c r="F44" s="250"/>
      <c r="G44" s="252">
        <v>2027</v>
      </c>
      <c r="H44" s="254">
        <v>1163887.8393821716</v>
      </c>
      <c r="I44" s="254">
        <v>476231.18127838988</v>
      </c>
      <c r="J44" s="253">
        <f t="shared" si="11"/>
        <v>1640119.0206605615</v>
      </c>
      <c r="K44" s="259">
        <v>5269536.5744202007</v>
      </c>
      <c r="L44" s="250"/>
      <c r="M44" s="252">
        <v>2027</v>
      </c>
      <c r="N44" s="254">
        <f t="shared" si="12"/>
        <v>156860.07348632813</v>
      </c>
      <c r="O44" s="254">
        <f t="shared" si="12"/>
        <v>74301.45005814638</v>
      </c>
      <c r="P44" s="254">
        <f t="shared" si="12"/>
        <v>231161.5235444745</v>
      </c>
      <c r="Q44" s="259">
        <f t="shared" si="12"/>
        <v>762410.63835393451</v>
      </c>
    </row>
    <row r="45" spans="1:17" x14ac:dyDescent="0.25">
      <c r="A45" s="252">
        <v>2028</v>
      </c>
      <c r="B45" s="257">
        <v>1087446.0211791992</v>
      </c>
      <c r="C45" s="257">
        <v>383694.70650191512</v>
      </c>
      <c r="D45" s="258">
        <f t="shared" si="10"/>
        <v>1471140.7276811143</v>
      </c>
      <c r="E45" s="259">
        <v>4137733.8611999298</v>
      </c>
      <c r="F45" s="250"/>
      <c r="G45" s="252">
        <v>2028</v>
      </c>
      <c r="H45" s="254">
        <v>1348709.0585327148</v>
      </c>
      <c r="I45" s="254">
        <v>437895.10234810226</v>
      </c>
      <c r="J45" s="253">
        <f t="shared" si="11"/>
        <v>1786604.1608808171</v>
      </c>
      <c r="K45" s="259">
        <v>4659634.6797217997</v>
      </c>
      <c r="L45" s="250"/>
      <c r="M45" s="252">
        <v>2028</v>
      </c>
      <c r="N45" s="254">
        <f t="shared" si="12"/>
        <v>261263.03735351563</v>
      </c>
      <c r="O45" s="254">
        <f t="shared" si="12"/>
        <v>54200.395846187137</v>
      </c>
      <c r="P45" s="254">
        <f t="shared" si="12"/>
        <v>315463.43319970276</v>
      </c>
      <c r="Q45" s="259">
        <f t="shared" si="12"/>
        <v>521900.81852186983</v>
      </c>
    </row>
    <row r="46" spans="1:17" x14ac:dyDescent="0.25">
      <c r="A46" s="252">
        <v>2029</v>
      </c>
      <c r="B46" s="257">
        <v>1213182.9914855957</v>
      </c>
      <c r="C46" s="257">
        <v>348049.67579376884</v>
      </c>
      <c r="D46" s="258">
        <f t="shared" si="10"/>
        <v>1561232.6672793645</v>
      </c>
      <c r="E46" s="259">
        <v>3610221.1424337919</v>
      </c>
      <c r="F46" s="250"/>
      <c r="G46" s="252">
        <v>2029</v>
      </c>
      <c r="H46" s="254">
        <v>1475502.1570129395</v>
      </c>
      <c r="I46" s="254">
        <v>429646.6717304131</v>
      </c>
      <c r="J46" s="253">
        <f t="shared" si="11"/>
        <v>1905148.8287433526</v>
      </c>
      <c r="K46" s="259">
        <v>4397532.5102555193</v>
      </c>
      <c r="L46" s="250"/>
      <c r="M46" s="252">
        <v>2029</v>
      </c>
      <c r="N46" s="254">
        <f t="shared" si="12"/>
        <v>262319.16552734375</v>
      </c>
      <c r="O46" s="254">
        <f t="shared" si="12"/>
        <v>81596.995936644264</v>
      </c>
      <c r="P46" s="254">
        <f t="shared" si="12"/>
        <v>343916.16146398801</v>
      </c>
      <c r="Q46" s="259">
        <f t="shared" si="12"/>
        <v>787311.36782172741</v>
      </c>
    </row>
    <row r="47" spans="1:17" x14ac:dyDescent="0.25">
      <c r="A47" s="252">
        <v>2030</v>
      </c>
      <c r="B47" s="257">
        <v>1398071.7623594592</v>
      </c>
      <c r="C47" s="257">
        <v>325642.90875916299</v>
      </c>
      <c r="D47" s="258">
        <f t="shared" si="10"/>
        <v>1723714.6711186222</v>
      </c>
      <c r="E47" s="259">
        <v>3249646.974394375</v>
      </c>
      <c r="F47" s="250"/>
      <c r="G47" s="252">
        <v>2030</v>
      </c>
      <c r="H47" s="254">
        <v>1770650.9928311352</v>
      </c>
      <c r="I47" s="254">
        <v>392236.11103357654</v>
      </c>
      <c r="J47" s="253">
        <f t="shared" si="11"/>
        <v>2162887.1038647117</v>
      </c>
      <c r="K47" s="259">
        <v>3862310.351956429</v>
      </c>
      <c r="L47" s="250"/>
      <c r="M47" s="252">
        <v>2030</v>
      </c>
      <c r="N47" s="254">
        <f t="shared" si="12"/>
        <v>372579.23047167598</v>
      </c>
      <c r="O47" s="254">
        <f t="shared" si="12"/>
        <v>66593.202274413547</v>
      </c>
      <c r="P47" s="254">
        <f t="shared" si="12"/>
        <v>439172.43274608953</v>
      </c>
      <c r="Q47" s="259">
        <f t="shared" si="12"/>
        <v>612663.37756205397</v>
      </c>
    </row>
    <row r="48" spans="1:17" x14ac:dyDescent="0.25">
      <c r="A48" s="252">
        <v>2031</v>
      </c>
      <c r="B48" s="257">
        <v>1465498.0543046661</v>
      </c>
      <c r="C48" s="257">
        <v>329005.08693074808</v>
      </c>
      <c r="D48" s="258">
        <f t="shared" si="10"/>
        <v>1794503.1412354142</v>
      </c>
      <c r="E48" s="259">
        <v>3159242.3487368943</v>
      </c>
      <c r="F48" s="250"/>
      <c r="G48" s="252">
        <v>2031</v>
      </c>
      <c r="H48" s="254">
        <v>1864024.1681944556</v>
      </c>
      <c r="I48" s="254">
        <v>413211.36960523808</v>
      </c>
      <c r="J48" s="253">
        <f t="shared" si="11"/>
        <v>2277235.5377996936</v>
      </c>
      <c r="K48" s="259">
        <v>3915233.134843755</v>
      </c>
      <c r="L48" s="250"/>
      <c r="M48" s="252">
        <v>2031</v>
      </c>
      <c r="N48" s="254">
        <f t="shared" si="12"/>
        <v>398526.11388978944</v>
      </c>
      <c r="O48" s="254">
        <f t="shared" si="12"/>
        <v>84206.282674490009</v>
      </c>
      <c r="P48" s="254">
        <f t="shared" si="12"/>
        <v>482732.39656427945</v>
      </c>
      <c r="Q48" s="259">
        <f t="shared" si="12"/>
        <v>755990.78610686073</v>
      </c>
    </row>
    <row r="49" spans="1:17" x14ac:dyDescent="0.25">
      <c r="A49" s="252">
        <v>2032</v>
      </c>
      <c r="B49" s="257">
        <v>1469613.565585183</v>
      </c>
      <c r="C49" s="257">
        <v>339278.75134145445</v>
      </c>
      <c r="D49" s="258">
        <f t="shared" si="10"/>
        <v>1808892.3169266374</v>
      </c>
      <c r="E49" s="259">
        <v>3135481.6653597564</v>
      </c>
      <c r="F49" s="250"/>
      <c r="G49" s="252">
        <v>2032</v>
      </c>
      <c r="H49" s="254">
        <v>1972412.7045478446</v>
      </c>
      <c r="I49" s="254">
        <v>438165.74850494019</v>
      </c>
      <c r="J49" s="253">
        <f t="shared" si="11"/>
        <v>2410578.4530527848</v>
      </c>
      <c r="K49" s="259">
        <v>3995683.3637198103</v>
      </c>
      <c r="L49" s="250"/>
      <c r="M49" s="252">
        <v>2032</v>
      </c>
      <c r="N49" s="254">
        <f t="shared" si="12"/>
        <v>502799.13896266161</v>
      </c>
      <c r="O49" s="254">
        <f t="shared" si="12"/>
        <v>98886.997163485736</v>
      </c>
      <c r="P49" s="254">
        <f t="shared" si="12"/>
        <v>601686.13612614735</v>
      </c>
      <c r="Q49" s="259">
        <f t="shared" si="12"/>
        <v>860201.69836005382</v>
      </c>
    </row>
    <row r="50" spans="1:17" x14ac:dyDescent="0.25">
      <c r="A50" s="252">
        <v>2033</v>
      </c>
      <c r="B50" s="257">
        <v>1511742.8279919666</v>
      </c>
      <c r="C50" s="257">
        <v>338774.10001135571</v>
      </c>
      <c r="D50" s="258">
        <f t="shared" si="10"/>
        <v>1850516.9280033223</v>
      </c>
      <c r="E50" s="259">
        <v>3013730.3771700994</v>
      </c>
      <c r="F50" s="250"/>
      <c r="G50" s="252">
        <v>2033</v>
      </c>
      <c r="H50" s="254">
        <v>2173695.5301672565</v>
      </c>
      <c r="I50" s="254">
        <v>456145.17822002713</v>
      </c>
      <c r="J50" s="253">
        <f t="shared" si="11"/>
        <v>2629840.7083872836</v>
      </c>
      <c r="K50" s="259">
        <v>4004076.0649487465</v>
      </c>
      <c r="L50" s="250"/>
      <c r="M50" s="252">
        <v>2033</v>
      </c>
      <c r="N50" s="254">
        <f t="shared" si="12"/>
        <v>661952.70217528986</v>
      </c>
      <c r="O50" s="254">
        <f t="shared" si="12"/>
        <v>117371.07820867142</v>
      </c>
      <c r="P50" s="254">
        <f t="shared" si="12"/>
        <v>779323.78038396128</v>
      </c>
      <c r="Q50" s="259">
        <f t="shared" si="12"/>
        <v>990345.68777864706</v>
      </c>
    </row>
    <row r="51" spans="1:17" x14ac:dyDescent="0.25">
      <c r="A51" s="252">
        <v>2034</v>
      </c>
      <c r="B51" s="257">
        <v>1576670.643756459</v>
      </c>
      <c r="C51" s="257">
        <v>342751.23311569425</v>
      </c>
      <c r="D51" s="258">
        <f t="shared" si="10"/>
        <v>1919421.8768721533</v>
      </c>
      <c r="E51" s="259">
        <v>2935601.0007507456</v>
      </c>
      <c r="F51" s="250"/>
      <c r="G51" s="252">
        <v>2034</v>
      </c>
      <c r="H51" s="254">
        <v>2331117.6690611779</v>
      </c>
      <c r="I51" s="254">
        <v>473527.24346458446</v>
      </c>
      <c r="J51" s="253">
        <f t="shared" si="11"/>
        <v>2804644.9125257623</v>
      </c>
      <c r="K51" s="259">
        <v>4001916.3518852638</v>
      </c>
      <c r="L51" s="250"/>
      <c r="M51" s="252">
        <v>2034</v>
      </c>
      <c r="N51" s="254">
        <f t="shared" si="12"/>
        <v>754447.02530471887</v>
      </c>
      <c r="O51" s="254">
        <f t="shared" si="12"/>
        <v>130776.01034889021</v>
      </c>
      <c r="P51" s="254">
        <f t="shared" si="12"/>
        <v>885223.03565360908</v>
      </c>
      <c r="Q51" s="259">
        <f t="shared" si="12"/>
        <v>1066315.3511345182</v>
      </c>
    </row>
    <row r="52" spans="1:17" x14ac:dyDescent="0.25">
      <c r="A52" s="252">
        <v>2035</v>
      </c>
      <c r="B52" s="257">
        <v>1699887.3394993707</v>
      </c>
      <c r="C52" s="257">
        <v>343231.6218154591</v>
      </c>
      <c r="D52" s="258">
        <f t="shared" si="10"/>
        <v>2043118.9613148298</v>
      </c>
      <c r="E52" s="259">
        <v>2830768.1157233501</v>
      </c>
      <c r="F52" s="250"/>
      <c r="G52" s="252">
        <v>2035</v>
      </c>
      <c r="H52" s="254">
        <v>2613734.8443641658</v>
      </c>
      <c r="I52" s="254">
        <v>489704.66578520322</v>
      </c>
      <c r="J52" s="253">
        <f t="shared" si="11"/>
        <v>3103439.510149369</v>
      </c>
      <c r="K52" s="259">
        <v>3985256.5113288192</v>
      </c>
      <c r="L52" s="250"/>
      <c r="M52" s="252">
        <v>2035</v>
      </c>
      <c r="N52" s="254">
        <f t="shared" si="12"/>
        <v>913847.50486479513</v>
      </c>
      <c r="O52" s="254">
        <f t="shared" si="12"/>
        <v>146473.04396974412</v>
      </c>
      <c r="P52" s="254">
        <f t="shared" si="12"/>
        <v>1060320.5488345393</v>
      </c>
      <c r="Q52" s="259">
        <f t="shared" si="12"/>
        <v>1154488.3956054691</v>
      </c>
    </row>
    <row r="53" spans="1:17" x14ac:dyDescent="0.25">
      <c r="A53" s="252">
        <v>2036</v>
      </c>
      <c r="B53" s="257">
        <v>1826481.8856941289</v>
      </c>
      <c r="C53" s="257">
        <v>356206.1608638363</v>
      </c>
      <c r="D53" s="258">
        <f t="shared" si="10"/>
        <v>2182688.0465579652</v>
      </c>
      <c r="E53" s="259">
        <v>2829376.1386452145</v>
      </c>
      <c r="F53" s="250"/>
      <c r="G53" s="252">
        <v>2036</v>
      </c>
      <c r="H53" s="254">
        <v>2893481.8443424199</v>
      </c>
      <c r="I53" s="254">
        <v>496818.69061797578</v>
      </c>
      <c r="J53" s="253">
        <f t="shared" si="11"/>
        <v>3390300.5349603957</v>
      </c>
      <c r="K53" s="259">
        <v>3893966.5913079134</v>
      </c>
      <c r="L53" s="250"/>
      <c r="M53" s="252">
        <v>2036</v>
      </c>
      <c r="N53" s="254">
        <f t="shared" si="12"/>
        <v>1066999.958648291</v>
      </c>
      <c r="O53" s="254">
        <f t="shared" si="12"/>
        <v>140612.52975413948</v>
      </c>
      <c r="P53" s="254">
        <f t="shared" si="12"/>
        <v>1207612.4884024304</v>
      </c>
      <c r="Q53" s="259">
        <f t="shared" si="12"/>
        <v>1064590.4526626989</v>
      </c>
    </row>
    <row r="54" spans="1:17" x14ac:dyDescent="0.25">
      <c r="A54" s="252">
        <v>2037</v>
      </c>
      <c r="B54" s="257">
        <v>1929106.0221415814</v>
      </c>
      <c r="C54" s="257">
        <v>360733.22048560949</v>
      </c>
      <c r="D54" s="258">
        <f t="shared" si="10"/>
        <v>2289839.2426271909</v>
      </c>
      <c r="E54" s="259">
        <v>2760063.316433371</v>
      </c>
      <c r="F54" s="250"/>
      <c r="G54" s="252">
        <v>2037</v>
      </c>
      <c r="H54" s="254">
        <v>3183195.2319821524</v>
      </c>
      <c r="I54" s="254">
        <v>520609.28456571745</v>
      </c>
      <c r="J54" s="253">
        <f t="shared" si="11"/>
        <v>3703804.5165478699</v>
      </c>
      <c r="K54" s="259">
        <v>3930518.5504005682</v>
      </c>
      <c r="L54" s="250"/>
      <c r="M54" s="252">
        <v>2037</v>
      </c>
      <c r="N54" s="254">
        <f t="shared" si="12"/>
        <v>1254089.209840571</v>
      </c>
      <c r="O54" s="254">
        <f t="shared" si="12"/>
        <v>159876.06408010796</v>
      </c>
      <c r="P54" s="254">
        <f t="shared" si="12"/>
        <v>1413965.273920679</v>
      </c>
      <c r="Q54" s="259">
        <f t="shared" si="12"/>
        <v>1170455.2339671971</v>
      </c>
    </row>
    <row r="55" spans="1:17" x14ac:dyDescent="0.25">
      <c r="A55" s="252">
        <v>2038</v>
      </c>
      <c r="B55" s="257">
        <v>1968397.3957889925</v>
      </c>
      <c r="C55" s="257">
        <v>377233.23082474456</v>
      </c>
      <c r="D55" s="258">
        <f t="shared" si="10"/>
        <v>2345630.6266137371</v>
      </c>
      <c r="E55" s="259">
        <v>2746382.7089934647</v>
      </c>
      <c r="F55" s="250"/>
      <c r="G55" s="252">
        <v>2038</v>
      </c>
      <c r="H55" s="254">
        <v>3410708.614468602</v>
      </c>
      <c r="I55" s="254">
        <v>550593.07177132927</v>
      </c>
      <c r="J55" s="253">
        <f t="shared" si="11"/>
        <v>3961301.6862399313</v>
      </c>
      <c r="K55" s="259">
        <v>3955367.9533275701</v>
      </c>
      <c r="L55" s="250"/>
      <c r="M55" s="252">
        <v>2038</v>
      </c>
      <c r="N55" s="254">
        <f t="shared" si="12"/>
        <v>1442311.2186796095</v>
      </c>
      <c r="O55" s="254">
        <f t="shared" si="12"/>
        <v>173359.84094658471</v>
      </c>
      <c r="P55" s="254">
        <f t="shared" si="12"/>
        <v>1615671.0596261942</v>
      </c>
      <c r="Q55" s="259">
        <f t="shared" si="12"/>
        <v>1208985.2443341054</v>
      </c>
    </row>
    <row r="56" spans="1:17" x14ac:dyDescent="0.25">
      <c r="A56" s="252">
        <v>2039</v>
      </c>
      <c r="B56" s="257">
        <v>2064667.1449538292</v>
      </c>
      <c r="C56" s="257">
        <v>380515.58283414831</v>
      </c>
      <c r="D56" s="258">
        <f t="shared" si="10"/>
        <v>2445182.7277879776</v>
      </c>
      <c r="E56" s="259">
        <v>2669751.6324952585</v>
      </c>
      <c r="F56" s="250"/>
      <c r="G56" s="252">
        <v>2039</v>
      </c>
      <c r="H56" s="254">
        <v>3729348.7885481045</v>
      </c>
      <c r="I56" s="254">
        <v>583299.19669477455</v>
      </c>
      <c r="J56" s="253">
        <f t="shared" si="11"/>
        <v>4312647.985242879</v>
      </c>
      <c r="K56" s="259">
        <v>4038265.1187595916</v>
      </c>
      <c r="L56" s="250"/>
      <c r="M56" s="252">
        <v>2039</v>
      </c>
      <c r="N56" s="254">
        <f t="shared" si="12"/>
        <v>1664681.6435942752</v>
      </c>
      <c r="O56" s="254">
        <f t="shared" si="12"/>
        <v>202783.61386062624</v>
      </c>
      <c r="P56" s="254">
        <f t="shared" si="12"/>
        <v>1867465.2574549015</v>
      </c>
      <c r="Q56" s="259">
        <f t="shared" si="12"/>
        <v>1368513.4862643331</v>
      </c>
    </row>
    <row r="57" spans="1:17" x14ac:dyDescent="0.25">
      <c r="A57" s="252">
        <v>2040</v>
      </c>
      <c r="B57" s="257">
        <v>2157752.0065246508</v>
      </c>
      <c r="C57" s="257">
        <v>373111.29029598134</v>
      </c>
      <c r="D57" s="258">
        <f t="shared" si="10"/>
        <v>2530863.2968206322</v>
      </c>
      <c r="E57" s="259">
        <v>2523182.7078379043</v>
      </c>
      <c r="F57" s="250"/>
      <c r="G57" s="252">
        <v>2040</v>
      </c>
      <c r="H57" s="254">
        <v>4108009.5638043</v>
      </c>
      <c r="I57" s="254">
        <v>600399.57081376901</v>
      </c>
      <c r="J57" s="253">
        <f t="shared" si="11"/>
        <v>4708409.134618069</v>
      </c>
      <c r="K57" s="259">
        <v>4006413.0065075504</v>
      </c>
      <c r="L57" s="250"/>
      <c r="M57" s="252">
        <v>2040</v>
      </c>
      <c r="N57" s="254">
        <f t="shared" si="12"/>
        <v>1950257.5572796492</v>
      </c>
      <c r="O57" s="254">
        <f t="shared" si="12"/>
        <v>227288.28051778767</v>
      </c>
      <c r="P57" s="254">
        <f t="shared" si="12"/>
        <v>2177545.8377974369</v>
      </c>
      <c r="Q57" s="259">
        <f t="shared" si="12"/>
        <v>1483230.298669646</v>
      </c>
    </row>
    <row r="58" spans="1:17" x14ac:dyDescent="0.25">
      <c r="A58" s="252">
        <v>2041</v>
      </c>
      <c r="B58" s="257">
        <v>2281824.4246685966</v>
      </c>
      <c r="C58" s="257">
        <v>364069.61207397189</v>
      </c>
      <c r="D58" s="258">
        <f t="shared" si="10"/>
        <v>2645894.0367425685</v>
      </c>
      <c r="E58" s="259">
        <v>2373393.1285848534</v>
      </c>
      <c r="F58" s="250"/>
      <c r="G58" s="252">
        <v>2041</v>
      </c>
      <c r="H58" s="254">
        <v>4404486.0248694709</v>
      </c>
      <c r="I58" s="254">
        <v>617542.71667953022</v>
      </c>
      <c r="J58" s="253">
        <f t="shared" si="11"/>
        <v>5022028.7415490011</v>
      </c>
      <c r="K58" s="259">
        <v>3972439.4748089402</v>
      </c>
      <c r="L58" s="250"/>
      <c r="M58" s="252">
        <v>2041</v>
      </c>
      <c r="N58" s="254">
        <f t="shared" si="12"/>
        <v>2122661.6002008743</v>
      </c>
      <c r="O58" s="254">
        <f t="shared" si="12"/>
        <v>253473.10460555833</v>
      </c>
      <c r="P58" s="254">
        <f t="shared" si="12"/>
        <v>2376134.7048064326</v>
      </c>
      <c r="Q58" s="259">
        <f t="shared" si="12"/>
        <v>1599046.3462240868</v>
      </c>
    </row>
    <row r="59" spans="1:17" x14ac:dyDescent="0.25">
      <c r="A59" s="252">
        <v>2042</v>
      </c>
      <c r="B59" s="257">
        <v>2490962.2774080224</v>
      </c>
      <c r="C59" s="257">
        <v>370940.75972868176</v>
      </c>
      <c r="D59" s="258">
        <f>SUM(B59:C59)</f>
        <v>2861903.0371367042</v>
      </c>
      <c r="E59" s="259">
        <v>2331451.0502654887</v>
      </c>
      <c r="F59" s="250"/>
      <c r="G59" s="252">
        <v>2042</v>
      </c>
      <c r="H59" s="254">
        <v>4801799.4125482831</v>
      </c>
      <c r="I59" s="254">
        <v>648713.51140431874</v>
      </c>
      <c r="J59" s="253">
        <f>SUM(H59:I59)</f>
        <v>5450512.9239526019</v>
      </c>
      <c r="K59" s="259">
        <v>4023275.0441236487</v>
      </c>
      <c r="L59" s="250"/>
      <c r="M59" s="252">
        <v>2042</v>
      </c>
      <c r="N59" s="254">
        <f t="shared" si="12"/>
        <v>2310837.1351402607</v>
      </c>
      <c r="O59" s="254">
        <f t="shared" si="12"/>
        <v>277772.75167563697</v>
      </c>
      <c r="P59" s="254">
        <f t="shared" si="12"/>
        <v>2588609.8868158977</v>
      </c>
      <c r="Q59" s="259">
        <f t="shared" si="12"/>
        <v>1691823.99385816</v>
      </c>
    </row>
    <row r="60" spans="1:17" x14ac:dyDescent="0.25">
      <c r="A60" s="252">
        <v>2043</v>
      </c>
      <c r="B60" s="257">
        <v>2689227.2551125502</v>
      </c>
      <c r="C60" s="257">
        <v>369407.85458814446</v>
      </c>
      <c r="D60" s="258">
        <f t="shared" si="10"/>
        <v>3058635.1097006947</v>
      </c>
      <c r="E60" s="259">
        <v>2238847.3282026355</v>
      </c>
      <c r="F60" s="250"/>
      <c r="G60" s="252">
        <v>2043</v>
      </c>
      <c r="H60" s="254">
        <v>5182892.1760873357</v>
      </c>
      <c r="I60" s="254">
        <v>672272.38968451787</v>
      </c>
      <c r="J60" s="253">
        <f t="shared" ref="J60:J62" si="13">SUM(H60:I60)</f>
        <v>5855164.5657718536</v>
      </c>
      <c r="K60" s="259">
        <v>4020394.4429105255</v>
      </c>
      <c r="L60" s="250"/>
      <c r="M60" s="252">
        <v>2043</v>
      </c>
      <c r="N60" s="254">
        <f t="shared" si="12"/>
        <v>2493664.9209747855</v>
      </c>
      <c r="O60" s="254">
        <f t="shared" si="12"/>
        <v>302864.53509637341</v>
      </c>
      <c r="P60" s="254">
        <f t="shared" si="12"/>
        <v>2796529.4560711589</v>
      </c>
      <c r="Q60" s="259">
        <f t="shared" si="12"/>
        <v>1781547.11470789</v>
      </c>
    </row>
    <row r="61" spans="1:17" x14ac:dyDescent="0.25">
      <c r="A61" s="252">
        <v>2044</v>
      </c>
      <c r="B61" s="257">
        <v>2892172.473249346</v>
      </c>
      <c r="C61" s="257">
        <v>353004.14098565793</v>
      </c>
      <c r="D61" s="258">
        <f t="shared" si="10"/>
        <v>3245176.6142350039</v>
      </c>
      <c r="E61" s="259">
        <v>2063257.7586228801</v>
      </c>
      <c r="F61" s="250"/>
      <c r="G61" s="252">
        <v>2044</v>
      </c>
      <c r="H61" s="254">
        <v>5631266.3467212236</v>
      </c>
      <c r="I61" s="254">
        <v>664077.2013346618</v>
      </c>
      <c r="J61" s="253">
        <f t="shared" si="13"/>
        <v>6295343.5480558854</v>
      </c>
      <c r="K61" s="259">
        <v>3829986.9372782824</v>
      </c>
      <c r="L61" s="250"/>
      <c r="M61" s="252">
        <v>2044</v>
      </c>
      <c r="N61" s="254">
        <f t="shared" si="12"/>
        <v>2739093.8734718775</v>
      </c>
      <c r="O61" s="254">
        <f t="shared" si="12"/>
        <v>311073.06034900388</v>
      </c>
      <c r="P61" s="254">
        <f t="shared" si="12"/>
        <v>3050166.9338208814</v>
      </c>
      <c r="Q61" s="259">
        <f t="shared" si="12"/>
        <v>1766729.1786554023</v>
      </c>
    </row>
    <row r="62" spans="1:17" x14ac:dyDescent="0.25">
      <c r="A62" s="252">
        <v>2045</v>
      </c>
      <c r="B62" s="257">
        <v>3012769.1660003662</v>
      </c>
      <c r="C62" s="257">
        <v>354019.61482649064</v>
      </c>
      <c r="D62" s="258">
        <f t="shared" si="10"/>
        <v>3366788.7808268568</v>
      </c>
      <c r="E62" s="259">
        <v>1995784.8758883523</v>
      </c>
      <c r="F62" s="250"/>
      <c r="G62" s="252">
        <v>2045</v>
      </c>
      <c r="H62" s="254">
        <v>6033719.3640289307</v>
      </c>
      <c r="I62" s="254">
        <v>680529.33034503181</v>
      </c>
      <c r="J62" s="253">
        <f t="shared" si="13"/>
        <v>6714248.6943739625</v>
      </c>
      <c r="K62" s="259">
        <v>3785631.049169152</v>
      </c>
      <c r="L62" s="250"/>
      <c r="M62" s="252">
        <v>2045</v>
      </c>
      <c r="N62" s="254">
        <f t="shared" si="12"/>
        <v>3020950.1980285645</v>
      </c>
      <c r="O62" s="254">
        <f t="shared" si="12"/>
        <v>326509.71551854117</v>
      </c>
      <c r="P62" s="254">
        <f t="shared" si="12"/>
        <v>3347459.9135471056</v>
      </c>
      <c r="Q62" s="259">
        <f t="shared" si="12"/>
        <v>1789846.1732807998</v>
      </c>
    </row>
    <row r="63" spans="1:17" x14ac:dyDescent="0.25">
      <c r="A63" s="250"/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9"/>
    </row>
    <row r="64" spans="1:17" ht="15.75" customHeight="1" x14ac:dyDescent="0.5">
      <c r="A64" s="250"/>
      <c r="B64" s="256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9"/>
    </row>
    <row r="65" spans="1:25" x14ac:dyDescent="0.25">
      <c r="A65" s="252" t="s">
        <v>183</v>
      </c>
      <c r="B65" s="254">
        <f>NPV(6.97%,B$39:B$58)</f>
        <v>13100624.475561548</v>
      </c>
      <c r="C65" s="254">
        <f>NPV(6.97%,C$39:C$58)</f>
        <v>4704593.5730920844</v>
      </c>
      <c r="D65" s="254">
        <f>NPV(6.97%,D$39:D$58)</f>
        <v>17805218.048653632</v>
      </c>
      <c r="E65" s="252"/>
      <c r="F65" s="252"/>
      <c r="G65" s="252" t="s">
        <v>183</v>
      </c>
      <c r="H65" s="254">
        <f>NPV(6.97%,H$39:H$58)</f>
        <v>18690897.515530024</v>
      </c>
      <c r="I65" s="254">
        <f>NPV(6.97%,I$39:I$58)</f>
        <v>5486083.7207493074</v>
      </c>
      <c r="J65" s="254">
        <f>NPV(6.97%,J$39:J$58)</f>
        <v>24176981.236279327</v>
      </c>
      <c r="K65" s="252"/>
      <c r="L65" s="252"/>
      <c r="M65" s="252" t="s">
        <v>183</v>
      </c>
      <c r="N65" s="254">
        <f>H65-B65</f>
        <v>5590273.0399684757</v>
      </c>
      <c r="O65" s="254">
        <f t="shared" ref="O65:P65" si="14">I65-C65</f>
        <v>781490.14765722305</v>
      </c>
      <c r="P65" s="254">
        <f t="shared" si="14"/>
        <v>6371763.187625695</v>
      </c>
      <c r="Q65" s="259"/>
    </row>
    <row r="66" spans="1:25" x14ac:dyDescent="0.25">
      <c r="A66" s="252" t="s">
        <v>184</v>
      </c>
      <c r="B66" s="254">
        <f>NPV(6.97%,B$39:B$62)</f>
        <v>15528538.026505351</v>
      </c>
      <c r="C66" s="254">
        <f t="shared" ref="C66:D66" si="15">NPV(6.97%,C$39:C$62)</f>
        <v>5023817.9115174981</v>
      </c>
      <c r="D66" s="254">
        <f t="shared" si="15"/>
        <v>20552355.938022848</v>
      </c>
      <c r="E66" s="252"/>
      <c r="F66" s="252"/>
      <c r="G66" s="252" t="s">
        <v>184</v>
      </c>
      <c r="H66" s="254">
        <f>NPV(6.97%,H$39:H$62)</f>
        <v>23427674.32860912</v>
      </c>
      <c r="I66" s="254">
        <f t="shared" ref="I66:J66" si="16">NPV(6.97%,I$39:I$62)</f>
        <v>6072422.9942978648</v>
      </c>
      <c r="J66" s="254">
        <f t="shared" si="16"/>
        <v>29500097.322906986</v>
      </c>
      <c r="K66" s="252"/>
      <c r="L66" s="252"/>
      <c r="M66" s="252" t="s">
        <v>184</v>
      </c>
      <c r="N66" s="254">
        <f>H66-B66</f>
        <v>7899136.302103769</v>
      </c>
      <c r="O66" s="254">
        <f t="shared" ref="O66" si="17">I66-C66</f>
        <v>1048605.0827803668</v>
      </c>
      <c r="P66" s="254">
        <f t="shared" ref="P66" si="18">J66-D66</f>
        <v>8947741.3848841377</v>
      </c>
      <c r="Q66" s="259"/>
    </row>
    <row r="69" spans="1:25" ht="31.5" x14ac:dyDescent="0.5">
      <c r="B69" s="255" t="s">
        <v>182</v>
      </c>
    </row>
    <row r="70" spans="1:25" ht="21" x14ac:dyDescent="0.35">
      <c r="A70" s="262"/>
      <c r="B70" s="263" t="s">
        <v>177</v>
      </c>
      <c r="C70" s="262" t="s">
        <v>186</v>
      </c>
      <c r="D70" s="264"/>
      <c r="E70" s="264"/>
      <c r="F70" s="262"/>
      <c r="G70" s="265" t="s">
        <v>180</v>
      </c>
      <c r="H70" s="264" t="s">
        <v>186</v>
      </c>
      <c r="I70" s="264"/>
      <c r="J70" s="264"/>
      <c r="K70" s="266"/>
      <c r="L70" s="262"/>
      <c r="M70" s="265" t="s">
        <v>185</v>
      </c>
      <c r="N70" s="262" t="s">
        <v>186</v>
      </c>
      <c r="O70" s="262"/>
      <c r="P70" s="262"/>
      <c r="Q70" s="262"/>
    </row>
    <row r="71" spans="1:25" x14ac:dyDescent="0.25">
      <c r="A71" s="266" t="s">
        <v>74</v>
      </c>
      <c r="B71" s="262" t="s">
        <v>80</v>
      </c>
      <c r="C71" s="262" t="s">
        <v>181</v>
      </c>
      <c r="D71" s="262"/>
      <c r="E71" s="262"/>
      <c r="F71" s="266" t="s">
        <v>74</v>
      </c>
      <c r="G71" s="262" t="s">
        <v>80</v>
      </c>
      <c r="H71" s="262" t="s">
        <v>181</v>
      </c>
      <c r="I71" s="262"/>
      <c r="J71" s="262"/>
      <c r="K71" s="262"/>
      <c r="L71" s="266" t="s">
        <v>74</v>
      </c>
      <c r="M71" s="262" t="s">
        <v>80</v>
      </c>
      <c r="N71" s="262" t="s">
        <v>181</v>
      </c>
      <c r="O71" s="262"/>
      <c r="P71" s="262"/>
      <c r="Q71" s="262"/>
      <c r="V71" t="s">
        <v>144</v>
      </c>
      <c r="W71" t="s">
        <v>198</v>
      </c>
    </row>
    <row r="72" spans="1:25" x14ac:dyDescent="0.25">
      <c r="A72" s="266">
        <v>2022</v>
      </c>
      <c r="B72" s="267">
        <v>909386.390625</v>
      </c>
      <c r="C72" s="268">
        <v>5065634.8423695769</v>
      </c>
      <c r="D72" s="262"/>
      <c r="E72" s="262"/>
      <c r="F72" s="266">
        <v>2022</v>
      </c>
      <c r="G72" s="267">
        <v>1116711.3515625</v>
      </c>
      <c r="H72" s="268">
        <v>4922762.2400227413</v>
      </c>
      <c r="I72" s="262"/>
      <c r="J72" s="262"/>
      <c r="K72" s="262"/>
      <c r="L72" s="266">
        <v>2022</v>
      </c>
      <c r="M72" s="267">
        <f>G72-B72</f>
        <v>207324.9609375</v>
      </c>
      <c r="N72" s="268">
        <f>H72-C72</f>
        <v>-142872.60234683566</v>
      </c>
      <c r="O72" s="262"/>
      <c r="P72" s="262"/>
      <c r="Q72" s="262"/>
      <c r="U72">
        <v>2022</v>
      </c>
      <c r="V72" s="280">
        <f>C72</f>
        <v>5065634.8423695769</v>
      </c>
      <c r="W72" s="280">
        <f>H72</f>
        <v>4922762.2400227413</v>
      </c>
    </row>
    <row r="73" spans="1:25" x14ac:dyDescent="0.25">
      <c r="A73" s="266">
        <v>2023</v>
      </c>
      <c r="B73" s="267">
        <v>883241.03125</v>
      </c>
      <c r="C73" s="268">
        <v>5104395.2606598157</v>
      </c>
      <c r="D73" s="262"/>
      <c r="E73" s="262"/>
      <c r="F73" s="266">
        <v>2023</v>
      </c>
      <c r="G73" s="267">
        <v>1105819.1171875</v>
      </c>
      <c r="H73" s="268">
        <v>4890284.6033875449</v>
      </c>
      <c r="I73" s="262"/>
      <c r="J73" s="262"/>
      <c r="K73" s="262"/>
      <c r="L73" s="266">
        <v>2023</v>
      </c>
      <c r="M73" s="267">
        <f t="shared" ref="M73:M95" si="19">G73-B73</f>
        <v>222578.0859375</v>
      </c>
      <c r="N73" s="268">
        <f t="shared" ref="N73:N95" si="20">H73-C73</f>
        <v>-214110.65727227088</v>
      </c>
      <c r="O73" s="262"/>
      <c r="P73" s="262"/>
      <c r="Q73" s="262"/>
      <c r="U73">
        <v>2023</v>
      </c>
      <c r="V73" s="280">
        <f t="shared" ref="V73:V98" si="21">C73</f>
        <v>5104395.2606598157</v>
      </c>
      <c r="W73" s="280">
        <f t="shared" ref="W73:W91" si="22">H73</f>
        <v>4890284.6033875449</v>
      </c>
    </row>
    <row r="74" spans="1:25" x14ac:dyDescent="0.25">
      <c r="A74" s="266">
        <v>2024</v>
      </c>
      <c r="B74" s="267">
        <v>918157.94140625</v>
      </c>
      <c r="C74" s="268">
        <v>5157677.4554624846</v>
      </c>
      <c r="D74" s="262"/>
      <c r="E74" s="262"/>
      <c r="F74" s="266">
        <v>2024</v>
      </c>
      <c r="G74" s="267">
        <v>1175201.9375</v>
      </c>
      <c r="H74" s="268">
        <v>4861159.3100709375</v>
      </c>
      <c r="I74" s="262"/>
      <c r="J74" s="262"/>
      <c r="K74" s="262"/>
      <c r="L74" s="266">
        <v>2024</v>
      </c>
      <c r="M74" s="267">
        <f t="shared" si="19"/>
        <v>257043.99609375</v>
      </c>
      <c r="N74" s="268">
        <f t="shared" si="20"/>
        <v>-296518.14539154712</v>
      </c>
      <c r="O74" s="262"/>
      <c r="P74" s="262"/>
      <c r="Q74" s="262"/>
      <c r="U74">
        <v>2024</v>
      </c>
      <c r="V74" s="280">
        <f t="shared" si="21"/>
        <v>5157677.4554624846</v>
      </c>
      <c r="W74" s="280">
        <f t="shared" si="22"/>
        <v>4861159.3100709375</v>
      </c>
    </row>
    <row r="75" spans="1:25" x14ac:dyDescent="0.25">
      <c r="A75" s="266">
        <v>2025</v>
      </c>
      <c r="B75" s="267">
        <v>945209.2734375</v>
      </c>
      <c r="C75" s="268">
        <v>5163187.2000058442</v>
      </c>
      <c r="D75" s="262"/>
      <c r="E75" s="262"/>
      <c r="F75" s="266">
        <v>2025</v>
      </c>
      <c r="G75" s="267">
        <v>1240964.34375</v>
      </c>
      <c r="H75" s="268">
        <v>4770685.8973811585</v>
      </c>
      <c r="I75" s="262"/>
      <c r="J75" s="262"/>
      <c r="K75" s="262"/>
      <c r="L75" s="266">
        <v>2025</v>
      </c>
      <c r="M75" s="267">
        <f t="shared" si="19"/>
        <v>295755.0703125</v>
      </c>
      <c r="N75" s="268">
        <f t="shared" si="20"/>
        <v>-392501.30262468569</v>
      </c>
      <c r="O75" s="262"/>
      <c r="P75" s="262"/>
      <c r="Q75" s="262"/>
      <c r="U75">
        <v>2025</v>
      </c>
      <c r="V75" s="280">
        <f t="shared" si="21"/>
        <v>5163187.2000058442</v>
      </c>
      <c r="W75" s="280">
        <f t="shared" si="22"/>
        <v>4770685.8973811585</v>
      </c>
    </row>
    <row r="76" spans="1:25" x14ac:dyDescent="0.25">
      <c r="A76" s="266">
        <v>2026</v>
      </c>
      <c r="B76" s="267">
        <v>997890.6875</v>
      </c>
      <c r="C76" s="268">
        <v>5161654.3062296668</v>
      </c>
      <c r="D76" s="262"/>
      <c r="E76" s="262"/>
      <c r="F76" s="266">
        <v>2026</v>
      </c>
      <c r="G76" s="267">
        <v>1282696.703125</v>
      </c>
      <c r="H76" s="268">
        <v>4666719.8557176115</v>
      </c>
      <c r="I76" s="262"/>
      <c r="J76" s="262"/>
      <c r="K76" s="262"/>
      <c r="L76" s="266">
        <v>2026</v>
      </c>
      <c r="M76" s="267">
        <f t="shared" si="19"/>
        <v>284806.015625</v>
      </c>
      <c r="N76" s="268">
        <f t="shared" si="20"/>
        <v>-494934.45051205531</v>
      </c>
      <c r="O76" s="262"/>
      <c r="P76" s="262"/>
      <c r="Q76" s="262"/>
      <c r="U76">
        <v>2026</v>
      </c>
      <c r="V76" s="280">
        <f t="shared" si="21"/>
        <v>5161654.3062296668</v>
      </c>
      <c r="W76" s="280">
        <f t="shared" si="22"/>
        <v>4666719.8557176115</v>
      </c>
    </row>
    <row r="77" spans="1:25" x14ac:dyDescent="0.25">
      <c r="A77" s="266">
        <v>2027</v>
      </c>
      <c r="B77" s="267">
        <v>1023579.42578125</v>
      </c>
      <c r="C77" s="268">
        <v>5155095.1019273028</v>
      </c>
      <c r="D77" s="262"/>
      <c r="E77" s="262"/>
      <c r="F77" s="266">
        <v>2027</v>
      </c>
      <c r="G77" s="267">
        <v>1346737.4296875</v>
      </c>
      <c r="H77" s="268">
        <v>4547640.6159321265</v>
      </c>
      <c r="I77" s="262"/>
      <c r="J77" s="262"/>
      <c r="K77" s="262"/>
      <c r="L77" s="266">
        <v>2027</v>
      </c>
      <c r="M77" s="267">
        <f t="shared" si="19"/>
        <v>323158.00390625</v>
      </c>
      <c r="N77" s="268">
        <f t="shared" si="20"/>
        <v>-607454.48599517625</v>
      </c>
      <c r="O77" s="262"/>
      <c r="P77" s="262"/>
      <c r="Q77" s="262"/>
      <c r="U77">
        <v>2027</v>
      </c>
      <c r="V77" s="280">
        <f t="shared" si="21"/>
        <v>5155095.1019273028</v>
      </c>
      <c r="W77" s="280">
        <f t="shared" si="22"/>
        <v>4547640.6159321265</v>
      </c>
    </row>
    <row r="78" spans="1:25" x14ac:dyDescent="0.25">
      <c r="A78" s="266">
        <v>2028</v>
      </c>
      <c r="B78" s="267">
        <v>1084622.80078125</v>
      </c>
      <c r="C78" s="268">
        <v>5163072.0220549051</v>
      </c>
      <c r="D78" s="262"/>
      <c r="E78" s="262"/>
      <c r="F78" s="266">
        <v>2028</v>
      </c>
      <c r="G78" s="267">
        <v>1419049.109375</v>
      </c>
      <c r="H78" s="268">
        <v>4433078.2919485737</v>
      </c>
      <c r="I78" s="262"/>
      <c r="J78" s="262"/>
      <c r="K78" s="262"/>
      <c r="L78" s="266">
        <v>2028</v>
      </c>
      <c r="M78" s="267">
        <f t="shared" si="19"/>
        <v>334426.30859375</v>
      </c>
      <c r="N78" s="268">
        <f t="shared" si="20"/>
        <v>-729993.73010633141</v>
      </c>
      <c r="O78" s="262"/>
      <c r="P78" s="262"/>
      <c r="Q78" s="262"/>
      <c r="U78">
        <v>2028</v>
      </c>
      <c r="V78" s="280">
        <f t="shared" si="21"/>
        <v>5163072.0220549051</v>
      </c>
      <c r="W78" s="280">
        <f t="shared" si="22"/>
        <v>4433078.2919485737</v>
      </c>
    </row>
    <row r="79" spans="1:25" x14ac:dyDescent="0.25">
      <c r="A79" s="266">
        <v>2029</v>
      </c>
      <c r="B79" s="267">
        <v>1082890.9453125</v>
      </c>
      <c r="C79" s="268">
        <v>5142343.7695651669</v>
      </c>
      <c r="D79" s="262"/>
      <c r="E79" s="262"/>
      <c r="F79" s="266">
        <v>2029</v>
      </c>
      <c r="G79" s="267">
        <v>1464312.1875</v>
      </c>
      <c r="H79" s="268">
        <v>4278821.9990166537</v>
      </c>
      <c r="I79" s="262"/>
      <c r="J79" s="262"/>
      <c r="K79" s="262"/>
      <c r="L79" s="266">
        <v>2029</v>
      </c>
      <c r="M79" s="267">
        <f t="shared" si="19"/>
        <v>381421.2421875</v>
      </c>
      <c r="N79" s="268">
        <f t="shared" si="20"/>
        <v>-863521.77054851316</v>
      </c>
      <c r="O79" s="262"/>
      <c r="P79" s="262"/>
      <c r="Q79" s="262"/>
      <c r="U79">
        <v>2029</v>
      </c>
      <c r="V79" s="280">
        <f t="shared" si="21"/>
        <v>5142343.7695651669</v>
      </c>
      <c r="W79" s="280">
        <f t="shared" si="22"/>
        <v>4278821.9990166537</v>
      </c>
    </row>
    <row r="80" spans="1:25" x14ac:dyDescent="0.25">
      <c r="A80" s="266">
        <v>2030</v>
      </c>
      <c r="B80" s="267">
        <v>1152260.38671875</v>
      </c>
      <c r="C80" s="268">
        <v>5138208.2668082751</v>
      </c>
      <c r="D80" s="262"/>
      <c r="E80" s="262"/>
      <c r="F80" s="266">
        <v>2030</v>
      </c>
      <c r="G80" s="267">
        <v>1488487.4921875</v>
      </c>
      <c r="H80" s="268">
        <v>4132437.0577331423</v>
      </c>
      <c r="I80" s="262"/>
      <c r="J80" s="262"/>
      <c r="K80" s="262"/>
      <c r="L80" s="266">
        <v>2030</v>
      </c>
      <c r="M80" s="267">
        <f t="shared" si="19"/>
        <v>336227.10546875</v>
      </c>
      <c r="N80" s="268">
        <f t="shared" si="20"/>
        <v>-1005771.2090751329</v>
      </c>
      <c r="O80" s="262"/>
      <c r="P80" s="262"/>
      <c r="Q80" s="262"/>
      <c r="U80">
        <v>2030</v>
      </c>
      <c r="V80" s="280">
        <f t="shared" si="21"/>
        <v>5138208.2668082751</v>
      </c>
      <c r="W80" s="280">
        <f t="shared" si="22"/>
        <v>4132437.0577331423</v>
      </c>
      <c r="Y80">
        <f>W80/V80</f>
        <v>0.80425643398454683</v>
      </c>
    </row>
    <row r="81" spans="1:25" x14ac:dyDescent="0.25">
      <c r="A81" s="266">
        <v>2031</v>
      </c>
      <c r="B81" s="267">
        <v>1198106.9375</v>
      </c>
      <c r="C81" s="268">
        <v>5145535.6718754666</v>
      </c>
      <c r="D81" s="262"/>
      <c r="E81" s="262"/>
      <c r="F81" s="266">
        <v>2031</v>
      </c>
      <c r="G81" s="267">
        <v>1514318.5625</v>
      </c>
      <c r="H81" s="268">
        <v>3992013.7415842563</v>
      </c>
      <c r="I81" s="262"/>
      <c r="J81" s="262"/>
      <c r="K81" s="262"/>
      <c r="L81" s="266">
        <v>2031</v>
      </c>
      <c r="M81" s="267">
        <f t="shared" si="19"/>
        <v>316211.625</v>
      </c>
      <c r="N81" s="268">
        <f t="shared" si="20"/>
        <v>-1153521.9302912103</v>
      </c>
      <c r="O81" s="262"/>
      <c r="P81" s="262"/>
      <c r="Q81" s="262"/>
      <c r="U81">
        <v>2031</v>
      </c>
      <c r="V81" s="280">
        <f t="shared" si="21"/>
        <v>5145535.6718754666</v>
      </c>
      <c r="W81" s="280">
        <f t="shared" si="22"/>
        <v>3992013.7415842563</v>
      </c>
    </row>
    <row r="82" spans="1:25" x14ac:dyDescent="0.25">
      <c r="A82" s="266">
        <v>2032</v>
      </c>
      <c r="B82" s="267">
        <v>1288744.8515625</v>
      </c>
      <c r="C82" s="268">
        <v>5170285.273877997</v>
      </c>
      <c r="D82" s="262"/>
      <c r="E82" s="262"/>
      <c r="F82" s="266">
        <v>2032</v>
      </c>
      <c r="G82" s="267">
        <v>1558616.46875</v>
      </c>
      <c r="H82" s="268">
        <v>3850190.5813597483</v>
      </c>
      <c r="I82" s="262"/>
      <c r="J82" s="262"/>
      <c r="K82" s="262"/>
      <c r="L82" s="266">
        <v>2032</v>
      </c>
      <c r="M82" s="267">
        <f t="shared" si="19"/>
        <v>269871.6171875</v>
      </c>
      <c r="N82" s="268">
        <f t="shared" si="20"/>
        <v>-1320094.6925182487</v>
      </c>
      <c r="O82" s="262"/>
      <c r="P82" s="262"/>
      <c r="Q82" s="262"/>
      <c r="U82">
        <v>2032</v>
      </c>
      <c r="V82" s="280">
        <f t="shared" si="21"/>
        <v>5170285.273877997</v>
      </c>
      <c r="W82" s="280">
        <f t="shared" si="22"/>
        <v>3850190.5813597483</v>
      </c>
    </row>
    <row r="83" spans="1:25" x14ac:dyDescent="0.25">
      <c r="A83" s="266">
        <v>2033</v>
      </c>
      <c r="B83" s="267">
        <v>1284138.32421875</v>
      </c>
      <c r="C83" s="268">
        <v>5176909.1535709146</v>
      </c>
      <c r="D83" s="262"/>
      <c r="E83" s="262"/>
      <c r="F83" s="266">
        <v>2033</v>
      </c>
      <c r="G83" s="267">
        <v>1582801.9140625</v>
      </c>
      <c r="H83" s="268">
        <v>3670621.5028139185</v>
      </c>
      <c r="I83" s="262"/>
      <c r="J83" s="262"/>
      <c r="K83" s="262"/>
      <c r="L83" s="266">
        <v>2033</v>
      </c>
      <c r="M83" s="267">
        <f t="shared" si="19"/>
        <v>298663.58984375</v>
      </c>
      <c r="N83" s="268">
        <f t="shared" si="20"/>
        <v>-1506287.6507569961</v>
      </c>
      <c r="O83" s="262"/>
      <c r="P83" s="262"/>
      <c r="Q83" s="262"/>
      <c r="U83">
        <v>2033</v>
      </c>
      <c r="V83" s="280">
        <f t="shared" si="21"/>
        <v>5176909.1535709146</v>
      </c>
      <c r="W83" s="280">
        <f t="shared" si="22"/>
        <v>3670621.5028139185</v>
      </c>
    </row>
    <row r="84" spans="1:25" x14ac:dyDescent="0.25">
      <c r="A84" s="266">
        <v>2034</v>
      </c>
      <c r="B84" s="267">
        <v>1370187.46875</v>
      </c>
      <c r="C84" s="268">
        <v>5197753.194452608</v>
      </c>
      <c r="D84" s="262"/>
      <c r="E84" s="262"/>
      <c r="F84" s="266">
        <v>2034</v>
      </c>
      <c r="G84" s="267">
        <v>1590500.953125</v>
      </c>
      <c r="H84" s="268">
        <v>3499847.5427804757</v>
      </c>
      <c r="I84" s="262"/>
      <c r="J84" s="262"/>
      <c r="K84" s="262"/>
      <c r="L84" s="266">
        <v>2034</v>
      </c>
      <c r="M84" s="267">
        <f t="shared" si="19"/>
        <v>220313.484375</v>
      </c>
      <c r="N84" s="268">
        <f t="shared" si="20"/>
        <v>-1697905.6516721323</v>
      </c>
      <c r="O84" s="262"/>
      <c r="P84" s="262"/>
      <c r="Q84" s="262"/>
      <c r="U84">
        <v>2034</v>
      </c>
      <c r="V84" s="280">
        <f t="shared" si="21"/>
        <v>5197753.194452608</v>
      </c>
      <c r="W84" s="280">
        <f t="shared" si="22"/>
        <v>3499847.5427804757</v>
      </c>
    </row>
    <row r="85" spans="1:25" x14ac:dyDescent="0.25">
      <c r="A85" s="266">
        <v>2035</v>
      </c>
      <c r="B85" s="267">
        <v>1440415.5390625</v>
      </c>
      <c r="C85" s="268">
        <v>5222502.9112750608</v>
      </c>
      <c r="D85" s="262"/>
      <c r="E85" s="262"/>
      <c r="F85" s="266">
        <v>2035</v>
      </c>
      <c r="G85" s="267">
        <v>1602458.9609375</v>
      </c>
      <c r="H85" s="268">
        <v>3332669.9235132975</v>
      </c>
      <c r="I85" s="262"/>
      <c r="J85" s="262"/>
      <c r="K85" s="262"/>
      <c r="L85" s="266">
        <v>2035</v>
      </c>
      <c r="M85" s="267">
        <f t="shared" si="19"/>
        <v>162043.421875</v>
      </c>
      <c r="N85" s="268">
        <f t="shared" si="20"/>
        <v>-1889832.9877617634</v>
      </c>
      <c r="O85" s="262"/>
      <c r="P85" s="262"/>
      <c r="Q85" s="262"/>
      <c r="U85">
        <v>2035</v>
      </c>
      <c r="V85" s="280">
        <f t="shared" si="21"/>
        <v>5222502.9112750608</v>
      </c>
      <c r="W85" s="280">
        <f t="shared" si="22"/>
        <v>3332669.9235132975</v>
      </c>
    </row>
    <row r="86" spans="1:25" x14ac:dyDescent="0.25">
      <c r="A86" s="266">
        <v>2036</v>
      </c>
      <c r="B86" s="267">
        <v>1524277.578125</v>
      </c>
      <c r="C86" s="268">
        <v>5258713.4997197641</v>
      </c>
      <c r="D86" s="262"/>
      <c r="E86" s="262"/>
      <c r="F86" s="266">
        <v>2036</v>
      </c>
      <c r="G86" s="267">
        <v>1623557.6484375</v>
      </c>
      <c r="H86" s="268">
        <v>3171451.4855357832</v>
      </c>
      <c r="I86" s="262"/>
      <c r="J86" s="262"/>
      <c r="K86" s="262"/>
      <c r="L86" s="266">
        <v>2036</v>
      </c>
      <c r="M86" s="267">
        <f t="shared" si="19"/>
        <v>99280.0703125</v>
      </c>
      <c r="N86" s="268">
        <f t="shared" si="20"/>
        <v>-2087262.0141839809</v>
      </c>
      <c r="O86" s="262"/>
      <c r="P86" s="262"/>
      <c r="Q86" s="262"/>
      <c r="U86">
        <v>2036</v>
      </c>
      <c r="V86" s="280">
        <f t="shared" si="21"/>
        <v>5258713.4997197641</v>
      </c>
      <c r="W86" s="280">
        <f t="shared" si="22"/>
        <v>3171451.4855357832</v>
      </c>
    </row>
    <row r="87" spans="1:25" x14ac:dyDescent="0.25">
      <c r="A87" s="266">
        <v>2037</v>
      </c>
      <c r="B87" s="267">
        <v>1591707.796875</v>
      </c>
      <c r="C87" s="268">
        <v>5260110.8095025355</v>
      </c>
      <c r="D87" s="262"/>
      <c r="E87" s="262"/>
      <c r="F87" s="266">
        <v>2037</v>
      </c>
      <c r="G87" s="267">
        <v>1592989.796875</v>
      </c>
      <c r="H87" s="268">
        <v>3015881.379747537</v>
      </c>
      <c r="I87" s="262"/>
      <c r="J87" s="262"/>
      <c r="K87" s="262"/>
      <c r="L87" s="266">
        <v>2037</v>
      </c>
      <c r="M87" s="267">
        <f t="shared" si="19"/>
        <v>1282</v>
      </c>
      <c r="N87" s="268">
        <f t="shared" si="20"/>
        <v>-2244229.4297549985</v>
      </c>
      <c r="O87" s="262"/>
      <c r="P87" s="262"/>
      <c r="Q87" s="262"/>
      <c r="U87">
        <v>2037</v>
      </c>
      <c r="V87" s="280">
        <f t="shared" si="21"/>
        <v>5260110.8095025355</v>
      </c>
      <c r="W87" s="280">
        <f t="shared" si="22"/>
        <v>3015881.379747537</v>
      </c>
    </row>
    <row r="88" spans="1:25" x14ac:dyDescent="0.25">
      <c r="A88" s="266">
        <v>2038</v>
      </c>
      <c r="B88" s="267">
        <v>1619744.75</v>
      </c>
      <c r="C88" s="268">
        <v>5276029.1988748554</v>
      </c>
      <c r="D88" s="262"/>
      <c r="E88" s="262"/>
      <c r="F88" s="266">
        <v>2038</v>
      </c>
      <c r="G88" s="267">
        <v>1567849.7890625</v>
      </c>
      <c r="H88" s="268">
        <v>2837510.4011129262</v>
      </c>
      <c r="I88" s="262"/>
      <c r="J88" s="262"/>
      <c r="K88" s="262"/>
      <c r="L88" s="266">
        <v>2038</v>
      </c>
      <c r="M88" s="267">
        <f t="shared" si="19"/>
        <v>-51894.9609375</v>
      </c>
      <c r="N88" s="268">
        <f t="shared" si="20"/>
        <v>-2438518.7977619292</v>
      </c>
      <c r="O88" s="262"/>
      <c r="P88" s="262"/>
      <c r="Q88" s="262"/>
      <c r="U88">
        <v>2038</v>
      </c>
      <c r="V88" s="280">
        <f t="shared" si="21"/>
        <v>5276029.1988748554</v>
      </c>
      <c r="W88" s="280">
        <f t="shared" si="22"/>
        <v>2837510.4011129262</v>
      </c>
    </row>
    <row r="89" spans="1:25" x14ac:dyDescent="0.25">
      <c r="A89" s="266">
        <v>2039</v>
      </c>
      <c r="B89" s="267">
        <v>1708572.75</v>
      </c>
      <c r="C89" s="268">
        <v>5305151.7265751902</v>
      </c>
      <c r="D89" s="262"/>
      <c r="E89" s="262"/>
      <c r="F89" s="266">
        <v>2039</v>
      </c>
      <c r="G89" s="267">
        <v>1592621.984375</v>
      </c>
      <c r="H89" s="268">
        <v>2693305.8925018939</v>
      </c>
      <c r="I89" s="262"/>
      <c r="J89" s="262"/>
      <c r="K89" s="262"/>
      <c r="L89" s="266">
        <v>2039</v>
      </c>
      <c r="M89" s="267">
        <f t="shared" si="19"/>
        <v>-115950.765625</v>
      </c>
      <c r="N89" s="268">
        <f t="shared" si="20"/>
        <v>-2611845.8340732963</v>
      </c>
      <c r="O89" s="262"/>
      <c r="P89" s="262"/>
      <c r="Q89" s="262"/>
      <c r="U89">
        <v>2039</v>
      </c>
      <c r="V89" s="280">
        <f t="shared" si="21"/>
        <v>5305151.7265751902</v>
      </c>
      <c r="W89" s="280">
        <f t="shared" si="22"/>
        <v>2693305.8925018939</v>
      </c>
    </row>
    <row r="90" spans="1:25" x14ac:dyDescent="0.25">
      <c r="A90" s="266">
        <v>2040</v>
      </c>
      <c r="B90" s="267">
        <v>1807616.4296875</v>
      </c>
      <c r="C90" s="268">
        <v>5347771.2343380889</v>
      </c>
      <c r="D90" s="262"/>
      <c r="E90" s="262"/>
      <c r="F90" s="266">
        <v>2040</v>
      </c>
      <c r="G90" s="267">
        <v>1572570.7109375</v>
      </c>
      <c r="H90" s="268">
        <v>2537370.3814050118</v>
      </c>
      <c r="I90" s="262"/>
      <c r="J90" s="262"/>
      <c r="K90" s="262"/>
      <c r="L90" s="266">
        <v>2040</v>
      </c>
      <c r="M90" s="267">
        <f t="shared" si="19"/>
        <v>-235045.71875</v>
      </c>
      <c r="N90" s="268">
        <f t="shared" si="20"/>
        <v>-2810400.8529330771</v>
      </c>
      <c r="O90" s="262"/>
      <c r="P90" s="262"/>
      <c r="Q90" s="262"/>
      <c r="U90">
        <v>2040</v>
      </c>
      <c r="V90" s="280">
        <f t="shared" si="21"/>
        <v>5347771.2343380889</v>
      </c>
      <c r="W90" s="280">
        <f t="shared" si="22"/>
        <v>2537370.3814050118</v>
      </c>
      <c r="Y90">
        <f>W90/V90</f>
        <v>0.47447249895667432</v>
      </c>
    </row>
    <row r="91" spans="1:25" x14ac:dyDescent="0.25">
      <c r="A91" s="266">
        <v>2041</v>
      </c>
      <c r="B91" s="267">
        <v>1886669.3984375</v>
      </c>
      <c r="C91" s="268">
        <v>5368164.9291356625</v>
      </c>
      <c r="D91" s="262"/>
      <c r="E91" s="262"/>
      <c r="F91" s="266">
        <v>2041</v>
      </c>
      <c r="G91" s="267">
        <v>1550712.75</v>
      </c>
      <c r="H91" s="268">
        <v>2352403.304854691</v>
      </c>
      <c r="I91" s="262"/>
      <c r="J91" s="262"/>
      <c r="K91" s="262"/>
      <c r="L91" s="266">
        <v>2041</v>
      </c>
      <c r="M91" s="267">
        <f t="shared" si="19"/>
        <v>-335956.6484375</v>
      </c>
      <c r="N91" s="268">
        <f t="shared" si="20"/>
        <v>-3015761.6242809715</v>
      </c>
      <c r="O91" s="262"/>
      <c r="P91" s="262"/>
      <c r="Q91" s="262"/>
      <c r="U91">
        <v>2041</v>
      </c>
      <c r="V91" s="280">
        <f t="shared" si="21"/>
        <v>5368164.9291356625</v>
      </c>
      <c r="W91" s="280">
        <f t="shared" si="22"/>
        <v>2352403.304854691</v>
      </c>
      <c r="Y91">
        <f>W91/V91</f>
        <v>0.4382136793314686</v>
      </c>
    </row>
    <row r="92" spans="1:25" x14ac:dyDescent="0.25">
      <c r="A92" s="266">
        <v>2042</v>
      </c>
      <c r="B92" s="267">
        <f>(B91/B90)*B91</f>
        <v>1969179.6116369038</v>
      </c>
      <c r="C92" s="268">
        <v>5398589.0297185117</v>
      </c>
      <c r="D92" s="262"/>
      <c r="E92" s="262"/>
      <c r="F92" s="266">
        <v>2042</v>
      </c>
      <c r="G92" s="267">
        <f>(G91/G90)*G91</f>
        <v>1529158.6039898812</v>
      </c>
      <c r="H92" s="268">
        <v>2162889.2089914493</v>
      </c>
      <c r="I92" s="262"/>
      <c r="J92" s="262"/>
      <c r="K92" s="262"/>
      <c r="L92" s="266">
        <v>2042</v>
      </c>
      <c r="M92" s="267">
        <f t="shared" si="19"/>
        <v>-440021.0076470226</v>
      </c>
      <c r="N92" s="268">
        <f t="shared" si="20"/>
        <v>-3235699.8207270624</v>
      </c>
      <c r="O92" s="262"/>
      <c r="P92" s="262"/>
      <c r="Q92" s="262"/>
      <c r="V92" s="280"/>
      <c r="W92" s="280"/>
    </row>
    <row r="93" spans="1:25" x14ac:dyDescent="0.25">
      <c r="A93" s="266">
        <v>2043</v>
      </c>
      <c r="B93" s="267">
        <f t="shared" ref="B93:B95" si="23">(B92/B91)*B92</f>
        <v>2055298.2658741754</v>
      </c>
      <c r="C93" s="268">
        <v>5426952.7043614304</v>
      </c>
      <c r="D93" s="262"/>
      <c r="E93" s="262"/>
      <c r="F93" s="266">
        <v>2043</v>
      </c>
      <c r="G93" s="267">
        <f t="shared" ref="G93:G95" si="24">(G92/G91)*G92</f>
        <v>1507904.05002879</v>
      </c>
      <c r="H93" s="268">
        <v>1955720.3703789639</v>
      </c>
      <c r="I93" s="262"/>
      <c r="J93" s="262"/>
      <c r="K93" s="262"/>
      <c r="L93" s="266">
        <v>2043</v>
      </c>
      <c r="M93" s="267">
        <f t="shared" si="19"/>
        <v>-547394.21584538533</v>
      </c>
      <c r="N93" s="268">
        <f t="shared" si="20"/>
        <v>-3471232.3339824667</v>
      </c>
      <c r="O93" s="262"/>
      <c r="P93" s="262"/>
      <c r="Q93" s="262"/>
      <c r="V93" s="280"/>
      <c r="W93" s="280"/>
    </row>
    <row r="94" spans="1:25" x14ac:dyDescent="0.25">
      <c r="A94" s="266">
        <v>2044</v>
      </c>
      <c r="B94" s="267">
        <f t="shared" si="23"/>
        <v>2145183.170058283</v>
      </c>
      <c r="C94" s="268">
        <v>5466901.042575621</v>
      </c>
      <c r="D94" s="262"/>
      <c r="E94" s="262"/>
      <c r="F94" s="266">
        <v>2044</v>
      </c>
      <c r="G94" s="267">
        <f t="shared" si="24"/>
        <v>1486944.9239343088</v>
      </c>
      <c r="H94" s="268">
        <v>1743454.8181979677</v>
      </c>
      <c r="I94" s="262"/>
      <c r="J94" s="262"/>
      <c r="K94" s="262"/>
      <c r="L94" s="266">
        <v>2044</v>
      </c>
      <c r="M94" s="267">
        <f t="shared" si="19"/>
        <v>-658238.24612397421</v>
      </c>
      <c r="N94" s="268">
        <f t="shared" si="20"/>
        <v>-3723446.2243776536</v>
      </c>
      <c r="O94" s="262"/>
      <c r="P94" s="262"/>
      <c r="Q94" s="262"/>
      <c r="V94" s="280"/>
      <c r="W94" s="280"/>
    </row>
    <row r="95" spans="1:25" x14ac:dyDescent="0.25">
      <c r="A95" s="266">
        <v>2045</v>
      </c>
      <c r="B95" s="267">
        <f t="shared" si="23"/>
        <v>2238999.0345970672</v>
      </c>
      <c r="C95" s="268">
        <v>5479937.0311562689</v>
      </c>
      <c r="D95" s="262"/>
      <c r="E95" s="262"/>
      <c r="F95" s="266">
        <v>2045</v>
      </c>
      <c r="G95" s="267">
        <f t="shared" si="24"/>
        <v>1466277.1194041115</v>
      </c>
      <c r="H95" s="268">
        <v>1486433.5019884713</v>
      </c>
      <c r="I95" s="262"/>
      <c r="J95" s="262"/>
      <c r="K95" s="262"/>
      <c r="L95" s="266">
        <v>2045</v>
      </c>
      <c r="M95" s="267">
        <f t="shared" si="19"/>
        <v>-772721.91519295564</v>
      </c>
      <c r="N95" s="268">
        <f t="shared" si="20"/>
        <v>-3993503.5291677974</v>
      </c>
      <c r="O95" s="262"/>
      <c r="P95" s="262"/>
      <c r="Q95" s="262"/>
      <c r="V95" s="280"/>
      <c r="W95" s="280"/>
    </row>
    <row r="96" spans="1:25" x14ac:dyDescent="0.25">
      <c r="A96" s="262"/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V96" s="280">
        <f t="shared" si="21"/>
        <v>0</v>
      </c>
    </row>
    <row r="97" spans="1:22" x14ac:dyDescent="0.25">
      <c r="A97" s="262"/>
      <c r="B97" s="262"/>
      <c r="C97" s="262"/>
      <c r="D97" s="262"/>
      <c r="E97" s="262"/>
      <c r="F97" s="262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V97" s="280">
        <f t="shared" si="21"/>
        <v>0</v>
      </c>
    </row>
    <row r="98" spans="1:22" x14ac:dyDescent="0.25">
      <c r="A98" s="262"/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V98" s="280">
        <f t="shared" si="21"/>
        <v>0</v>
      </c>
    </row>
    <row r="99" spans="1:22" x14ac:dyDescent="0.25">
      <c r="A99" s="262"/>
      <c r="B99" s="262"/>
      <c r="C99" s="262"/>
      <c r="D99" s="262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F26"/>
  <sheetViews>
    <sheetView zoomScale="70" zoomScaleNormal="70" workbookViewId="0">
      <selection activeCell="J12" sqref="J12:N15"/>
    </sheetView>
  </sheetViews>
  <sheetFormatPr defaultRowHeight="15" x14ac:dyDescent="0.25"/>
  <cols>
    <col min="2" max="2" width="29" bestFit="1" customWidth="1"/>
    <col min="3" max="3" width="28.7109375" customWidth="1"/>
    <col min="4" max="6" width="14.85546875" bestFit="1" customWidth="1"/>
  </cols>
  <sheetData>
    <row r="1" spans="2:6" ht="21.75" thickBot="1" x14ac:dyDescent="0.4">
      <c r="B1" s="182" t="s">
        <v>100</v>
      </c>
      <c r="C1" s="183" t="s">
        <v>141</v>
      </c>
      <c r="D1" s="183" t="s">
        <v>138</v>
      </c>
      <c r="E1" s="183" t="s">
        <v>139</v>
      </c>
      <c r="F1" s="184" t="s">
        <v>140</v>
      </c>
    </row>
    <row r="2" spans="2:6" ht="21.75" x14ac:dyDescent="0.4">
      <c r="B2" s="178" t="s">
        <v>144</v>
      </c>
      <c r="C2" s="179" t="s">
        <v>83</v>
      </c>
      <c r="D2" s="180">
        <v>21</v>
      </c>
      <c r="E2" s="180">
        <v>53</v>
      </c>
      <c r="F2" s="181">
        <v>107</v>
      </c>
    </row>
    <row r="3" spans="2:6" ht="21.75" x14ac:dyDescent="0.4">
      <c r="B3" s="173" t="s">
        <v>102</v>
      </c>
      <c r="C3" s="170" t="s">
        <v>83</v>
      </c>
      <c r="D3" s="171">
        <v>21</v>
      </c>
      <c r="E3" s="171">
        <v>53</v>
      </c>
      <c r="F3" s="174">
        <v>107</v>
      </c>
    </row>
    <row r="4" spans="2:6" ht="21.75" x14ac:dyDescent="0.4">
      <c r="B4" s="282" t="s">
        <v>131</v>
      </c>
      <c r="C4" s="168" t="s">
        <v>83</v>
      </c>
      <c r="D4" s="169">
        <v>21</v>
      </c>
      <c r="E4" s="169">
        <v>53</v>
      </c>
      <c r="F4" s="172">
        <v>107</v>
      </c>
    </row>
    <row r="5" spans="2:6" ht="21.75" x14ac:dyDescent="0.4">
      <c r="B5" s="283"/>
      <c r="C5" s="168" t="s">
        <v>142</v>
      </c>
      <c r="D5" s="169">
        <v>15</v>
      </c>
      <c r="E5" s="169">
        <v>15</v>
      </c>
      <c r="F5" s="172">
        <v>15</v>
      </c>
    </row>
    <row r="6" spans="2:6" ht="21.75" x14ac:dyDescent="0.4">
      <c r="B6" s="283"/>
      <c r="C6" s="168" t="s">
        <v>14</v>
      </c>
      <c r="D6" s="169">
        <v>0</v>
      </c>
      <c r="E6" s="169">
        <v>0</v>
      </c>
      <c r="F6" s="172">
        <v>30</v>
      </c>
    </row>
    <row r="7" spans="2:6" ht="22.5" thickBot="1" x14ac:dyDescent="0.45">
      <c r="B7" s="284"/>
      <c r="C7" s="175" t="s">
        <v>143</v>
      </c>
      <c r="D7" s="176">
        <v>0</v>
      </c>
      <c r="E7" s="176">
        <v>0</v>
      </c>
      <c r="F7" s="177">
        <v>30</v>
      </c>
    </row>
    <row r="8" spans="2:6" ht="15.75" thickBot="1" x14ac:dyDescent="0.3"/>
    <row r="9" spans="2:6" ht="21.75" thickBot="1" x14ac:dyDescent="0.4">
      <c r="B9" s="182" t="s">
        <v>103</v>
      </c>
      <c r="C9" s="183" t="s">
        <v>141</v>
      </c>
      <c r="D9" s="183" t="s">
        <v>138</v>
      </c>
      <c r="E9" s="183" t="s">
        <v>139</v>
      </c>
      <c r="F9" s="184" t="s">
        <v>140</v>
      </c>
    </row>
    <row r="10" spans="2:6" ht="21.75" x14ac:dyDescent="0.4">
      <c r="B10" s="178" t="s">
        <v>145</v>
      </c>
      <c r="C10" s="179" t="s">
        <v>83</v>
      </c>
      <c r="D10" s="180">
        <v>29</v>
      </c>
      <c r="E10" s="180">
        <v>56</v>
      </c>
      <c r="F10" s="181">
        <v>107</v>
      </c>
    </row>
    <row r="11" spans="2:6" ht="21.75" x14ac:dyDescent="0.4">
      <c r="B11" s="173" t="s">
        <v>146</v>
      </c>
      <c r="C11" s="170" t="s">
        <v>83</v>
      </c>
      <c r="D11" s="171">
        <v>21</v>
      </c>
      <c r="E11" s="171">
        <v>53</v>
      </c>
      <c r="F11" s="174">
        <v>107</v>
      </c>
    </row>
    <row r="12" spans="2:6" ht="22.5" thickBot="1" x14ac:dyDescent="0.45">
      <c r="B12" s="188" t="s">
        <v>137</v>
      </c>
      <c r="C12" s="175" t="s">
        <v>83</v>
      </c>
      <c r="D12" s="176">
        <v>25</v>
      </c>
      <c r="E12" s="176">
        <v>62</v>
      </c>
      <c r="F12" s="177">
        <v>122</v>
      </c>
    </row>
    <row r="14" spans="2:6" ht="15.75" thickBot="1" x14ac:dyDescent="0.3"/>
    <row r="15" spans="2:6" ht="21.75" thickBot="1" x14ac:dyDescent="0.4">
      <c r="B15" s="182" t="s">
        <v>100</v>
      </c>
      <c r="C15" s="183" t="s">
        <v>141</v>
      </c>
      <c r="D15" s="183" t="s">
        <v>138</v>
      </c>
      <c r="E15" s="183" t="s">
        <v>139</v>
      </c>
      <c r="F15" s="184" t="s">
        <v>140</v>
      </c>
    </row>
    <row r="16" spans="2:6" ht="21.75" x14ac:dyDescent="0.4">
      <c r="B16" s="178" t="s">
        <v>144</v>
      </c>
      <c r="C16" s="179" t="s">
        <v>83</v>
      </c>
      <c r="D16" s="180">
        <v>21</v>
      </c>
      <c r="E16" s="180">
        <f>E2-D2</f>
        <v>32</v>
      </c>
      <c r="F16" s="181">
        <f>F2-E2</f>
        <v>54</v>
      </c>
    </row>
    <row r="17" spans="2:6" ht="21.75" x14ac:dyDescent="0.4">
      <c r="B17" s="173" t="s">
        <v>102</v>
      </c>
      <c r="C17" s="170" t="s">
        <v>83</v>
      </c>
      <c r="D17" s="171">
        <v>21</v>
      </c>
      <c r="E17" s="189">
        <f t="shared" ref="E17:F17" si="0">E3-D3</f>
        <v>32</v>
      </c>
      <c r="F17" s="190">
        <f t="shared" si="0"/>
        <v>54</v>
      </c>
    </row>
    <row r="18" spans="2:6" ht="21.75" x14ac:dyDescent="0.4">
      <c r="B18" s="282" t="s">
        <v>131</v>
      </c>
      <c r="C18" s="168" t="s">
        <v>83</v>
      </c>
      <c r="D18" s="169">
        <v>21</v>
      </c>
      <c r="E18" s="180">
        <f>E4-D4</f>
        <v>32</v>
      </c>
      <c r="F18" s="181">
        <f>F4-E4</f>
        <v>54</v>
      </c>
    </row>
    <row r="19" spans="2:6" ht="21.75" x14ac:dyDescent="0.4">
      <c r="B19" s="283"/>
      <c r="C19" s="168" t="s">
        <v>142</v>
      </c>
      <c r="D19" s="169">
        <v>15</v>
      </c>
      <c r="E19" s="169">
        <v>15</v>
      </c>
      <c r="F19" s="172">
        <v>15</v>
      </c>
    </row>
    <row r="20" spans="2:6" ht="21.75" x14ac:dyDescent="0.4">
      <c r="B20" s="283"/>
      <c r="C20" s="168" t="s">
        <v>14</v>
      </c>
      <c r="D20" s="169">
        <v>0</v>
      </c>
      <c r="E20" s="169">
        <v>0</v>
      </c>
      <c r="F20" s="172">
        <v>30</v>
      </c>
    </row>
    <row r="21" spans="2:6" ht="22.5" thickBot="1" x14ac:dyDescent="0.45">
      <c r="B21" s="284"/>
      <c r="C21" s="175" t="s">
        <v>143</v>
      </c>
      <c r="D21" s="176">
        <v>0</v>
      </c>
      <c r="E21" s="176">
        <v>0</v>
      </c>
      <c r="F21" s="177">
        <v>30</v>
      </c>
    </row>
    <row r="22" spans="2:6" ht="15.75" thickBot="1" x14ac:dyDescent="0.3"/>
    <row r="23" spans="2:6" ht="21.75" thickBot="1" x14ac:dyDescent="0.4">
      <c r="B23" s="182" t="s">
        <v>103</v>
      </c>
      <c r="C23" s="183" t="s">
        <v>141</v>
      </c>
      <c r="D23" s="183" t="s">
        <v>138</v>
      </c>
      <c r="E23" s="183" t="s">
        <v>139</v>
      </c>
      <c r="F23" s="184" t="s">
        <v>140</v>
      </c>
    </row>
    <row r="24" spans="2:6" ht="21.75" x14ac:dyDescent="0.4">
      <c r="B24" s="178" t="s">
        <v>145</v>
      </c>
      <c r="C24" s="179" t="s">
        <v>83</v>
      </c>
      <c r="D24" s="180">
        <v>29</v>
      </c>
      <c r="E24" s="180">
        <f t="shared" ref="E24:F26" si="1">E10-D10</f>
        <v>27</v>
      </c>
      <c r="F24" s="181">
        <f>F10-E10</f>
        <v>51</v>
      </c>
    </row>
    <row r="25" spans="2:6" ht="21.75" x14ac:dyDescent="0.4">
      <c r="B25" s="173" t="s">
        <v>146</v>
      </c>
      <c r="C25" s="170" t="s">
        <v>83</v>
      </c>
      <c r="D25" s="171">
        <v>21</v>
      </c>
      <c r="E25" s="171">
        <f t="shared" si="1"/>
        <v>32</v>
      </c>
      <c r="F25" s="174">
        <f t="shared" si="1"/>
        <v>54</v>
      </c>
    </row>
    <row r="26" spans="2:6" ht="22.5" thickBot="1" x14ac:dyDescent="0.45">
      <c r="B26" s="188" t="s">
        <v>137</v>
      </c>
      <c r="C26" s="175" t="s">
        <v>83</v>
      </c>
      <c r="D26" s="176">
        <v>25</v>
      </c>
      <c r="E26" s="176">
        <f t="shared" si="1"/>
        <v>37</v>
      </c>
      <c r="F26" s="177">
        <f t="shared" si="1"/>
        <v>60</v>
      </c>
    </row>
  </sheetData>
  <mergeCells count="2">
    <mergeCell ref="B4:B7"/>
    <mergeCell ref="B18:B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C1:G12"/>
  <sheetViews>
    <sheetView workbookViewId="0">
      <selection activeCell="F24" sqref="F24"/>
    </sheetView>
  </sheetViews>
  <sheetFormatPr defaultRowHeight="15" x14ac:dyDescent="0.25"/>
  <cols>
    <col min="3" max="3" width="25.7109375" customWidth="1"/>
  </cols>
  <sheetData>
    <row r="1" spans="3:7" ht="15.75" thickBot="1" x14ac:dyDescent="0.3"/>
    <row r="2" spans="3:7" x14ac:dyDescent="0.25">
      <c r="C2" s="288"/>
      <c r="D2" s="289"/>
      <c r="E2" s="285" t="s">
        <v>6</v>
      </c>
      <c r="F2" s="286"/>
      <c r="G2" s="287"/>
    </row>
    <row r="3" spans="3:7" x14ac:dyDescent="0.25">
      <c r="C3" s="238" t="s">
        <v>160</v>
      </c>
      <c r="D3" s="239" t="s">
        <v>29</v>
      </c>
      <c r="E3" s="240" t="s">
        <v>156</v>
      </c>
      <c r="F3" s="241" t="s">
        <v>157</v>
      </c>
      <c r="G3" s="242" t="s">
        <v>158</v>
      </c>
    </row>
    <row r="4" spans="3:7" ht="25.5" x14ac:dyDescent="0.25">
      <c r="C4" s="226" t="s">
        <v>19</v>
      </c>
      <c r="D4" s="227" t="s">
        <v>30</v>
      </c>
      <c r="E4" s="228" t="s">
        <v>82</v>
      </c>
      <c r="F4" s="75" t="s">
        <v>82</v>
      </c>
      <c r="G4" s="107" t="s">
        <v>82</v>
      </c>
    </row>
    <row r="5" spans="3:7" x14ac:dyDescent="0.25">
      <c r="C5" s="226" t="s">
        <v>21</v>
      </c>
      <c r="D5" s="227" t="s">
        <v>32</v>
      </c>
      <c r="E5" s="228" t="s">
        <v>82</v>
      </c>
      <c r="F5" s="75" t="s">
        <v>82</v>
      </c>
      <c r="G5" s="107" t="s">
        <v>82</v>
      </c>
    </row>
    <row r="6" spans="3:7" x14ac:dyDescent="0.25">
      <c r="C6" s="226" t="s">
        <v>85</v>
      </c>
      <c r="D6" s="227" t="s">
        <v>33</v>
      </c>
      <c r="E6" s="228" t="s">
        <v>82</v>
      </c>
      <c r="F6" s="75" t="s">
        <v>82</v>
      </c>
      <c r="G6" s="107" t="s">
        <v>82</v>
      </c>
    </row>
    <row r="7" spans="3:7" x14ac:dyDescent="0.25">
      <c r="C7" s="226" t="s">
        <v>22</v>
      </c>
      <c r="D7" s="227" t="s">
        <v>34</v>
      </c>
      <c r="E7" s="229" t="s">
        <v>82</v>
      </c>
      <c r="F7" s="80" t="s">
        <v>82</v>
      </c>
      <c r="G7" s="107" t="s">
        <v>82</v>
      </c>
    </row>
    <row r="8" spans="3:7" x14ac:dyDescent="0.25">
      <c r="C8" s="226" t="s">
        <v>23</v>
      </c>
      <c r="D8" s="227" t="s">
        <v>35</v>
      </c>
      <c r="E8" s="228" t="s">
        <v>82</v>
      </c>
      <c r="F8" s="230" t="s">
        <v>82</v>
      </c>
      <c r="G8" s="107" t="s">
        <v>82</v>
      </c>
    </row>
    <row r="9" spans="3:7" x14ac:dyDescent="0.25">
      <c r="C9" s="226" t="s">
        <v>24</v>
      </c>
      <c r="D9" s="227" t="s">
        <v>36</v>
      </c>
      <c r="E9" s="228" t="s">
        <v>82</v>
      </c>
      <c r="F9" s="75" t="s">
        <v>82</v>
      </c>
      <c r="G9" s="107" t="s">
        <v>82</v>
      </c>
    </row>
    <row r="10" spans="3:7" x14ac:dyDescent="0.25">
      <c r="C10" s="226" t="s">
        <v>14</v>
      </c>
      <c r="D10" s="227" t="s">
        <v>37</v>
      </c>
      <c r="E10" s="228" t="s">
        <v>82</v>
      </c>
      <c r="F10" s="75" t="s">
        <v>82</v>
      </c>
      <c r="G10" s="107" t="s">
        <v>82</v>
      </c>
    </row>
    <row r="11" spans="3:7" x14ac:dyDescent="0.25">
      <c r="C11" s="226" t="s">
        <v>83</v>
      </c>
      <c r="D11" s="232" t="s">
        <v>83</v>
      </c>
      <c r="E11" s="229">
        <v>21</v>
      </c>
      <c r="F11" s="80">
        <v>53</v>
      </c>
      <c r="G11" s="231">
        <v>107</v>
      </c>
    </row>
    <row r="12" spans="3:7" ht="15.75" thickBot="1" x14ac:dyDescent="0.3">
      <c r="C12" s="233" t="s">
        <v>159</v>
      </c>
      <c r="D12" s="234"/>
      <c r="E12" s="235">
        <f>SUM(E4:E11)</f>
        <v>21</v>
      </c>
      <c r="F12" s="236">
        <f>SUM(F4:F11)</f>
        <v>53</v>
      </c>
      <c r="G12" s="237">
        <f>SUM(G4:G11)</f>
        <v>107</v>
      </c>
    </row>
  </sheetData>
  <mergeCells count="2">
    <mergeCell ref="E2:G2"/>
    <mergeCell ref="C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3:C13"/>
  <sheetViews>
    <sheetView workbookViewId="0">
      <selection activeCell="F24" sqref="F24"/>
    </sheetView>
  </sheetViews>
  <sheetFormatPr defaultRowHeight="15" x14ac:dyDescent="0.25"/>
  <cols>
    <col min="2" max="2" width="30" customWidth="1"/>
    <col min="3" max="3" width="29.28515625" customWidth="1"/>
  </cols>
  <sheetData>
    <row r="3" spans="2:3" s="186" customFormat="1" ht="46.5" x14ac:dyDescent="0.35">
      <c r="B3" s="185" t="s">
        <v>103</v>
      </c>
      <c r="C3" s="187" t="s">
        <v>107</v>
      </c>
    </row>
    <row r="4" spans="2:3" ht="23.25" x14ac:dyDescent="0.35">
      <c r="B4" s="129" t="str">
        <f>'Total System Cost'!B1</f>
        <v>Mid with DSR</v>
      </c>
      <c r="C4" s="130">
        <f>'Total System Cost'!E23</f>
        <v>12.660135446470683</v>
      </c>
    </row>
    <row r="5" spans="2:3" ht="23.25" hidden="1" x14ac:dyDescent="0.35">
      <c r="B5" s="127" t="str">
        <f>'Total System Cost'!J1</f>
        <v>Mid with AR5</v>
      </c>
      <c r="C5" s="128">
        <f>'Total System Cost'!M23</f>
        <v>12.757737412204595</v>
      </c>
    </row>
    <row r="6" spans="2:3" ht="23.25" x14ac:dyDescent="0.35">
      <c r="B6" s="127" t="str">
        <f>'Total System Cost'!Q1</f>
        <v>Mid with 6 Year Ramp</v>
      </c>
      <c r="C6" s="128">
        <f>'Total System Cost'!T23</f>
        <v>12.623034078398481</v>
      </c>
    </row>
    <row r="7" spans="2:3" ht="23.25" x14ac:dyDescent="0.35">
      <c r="B7" s="127" t="str">
        <f>'Total System Cost'!Q25</f>
        <v>Mid with SDR</v>
      </c>
      <c r="C7" s="128">
        <f>'Total System Cost'!T47</f>
        <v>12.671156390406319</v>
      </c>
    </row>
    <row r="10" spans="2:3" s="186" customFormat="1" ht="46.5" x14ac:dyDescent="0.35">
      <c r="B10" s="185" t="s">
        <v>100</v>
      </c>
      <c r="C10" s="187" t="s">
        <v>107</v>
      </c>
    </row>
    <row r="11" spans="2:3" ht="23.25" x14ac:dyDescent="0.35">
      <c r="B11" s="127" t="str">
        <f>'Total System Cost'!J76</f>
        <v>Low w DSR</v>
      </c>
      <c r="C11" s="128">
        <f>'Total System Cost'!M98</f>
        <v>9.8991252036227806</v>
      </c>
    </row>
    <row r="12" spans="2:3" ht="23.25" x14ac:dyDescent="0.35">
      <c r="B12" s="127" t="str">
        <f>'Total System Cost'!J101</f>
        <v>Low No DSR</v>
      </c>
      <c r="C12" s="128">
        <f>'Total System Cost'!M123</f>
        <v>10.327417329222259</v>
      </c>
    </row>
    <row r="13" spans="2:3" ht="23.25" x14ac:dyDescent="0.35">
      <c r="B13" s="127" t="str">
        <f>'Total System Cost'!J126</f>
        <v>Low No Carbon</v>
      </c>
      <c r="C13" s="128">
        <f>'Total System Cost'!M148</f>
        <v>3.5739988458393306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64" zoomScaleNormal="64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 activeCell="C39" sqref="C39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1.85546875" customWidth="1"/>
    <col min="24" max="25" width="9.42578125" customWidth="1"/>
    <col min="26" max="26" width="9.7109375" customWidth="1"/>
    <col min="27" max="27" width="9.5703125" customWidth="1"/>
    <col min="28" max="28" width="8.85546875" customWidth="1"/>
    <col min="29" max="29" width="8.5703125" customWidth="1"/>
    <col min="30" max="30" width="10.42578125" customWidth="1"/>
    <col min="31" max="31" width="10.28515625" customWidth="1"/>
    <col min="32" max="32" width="9.28515625" customWidth="1"/>
    <col min="33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8"/>
      <c r="Y4" s="8"/>
      <c r="Z4" s="9"/>
      <c r="AA4" s="8"/>
      <c r="AB4" s="8"/>
      <c r="AE4" s="9"/>
    </row>
    <row r="5" spans="2:48" ht="19.5" thickBot="1" x14ac:dyDescent="0.35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13" t="s">
        <v>5</v>
      </c>
      <c r="AA5" s="14"/>
      <c r="AB5" s="14"/>
      <c r="AC5" s="15"/>
      <c r="AD5" s="15"/>
      <c r="AE5" s="9"/>
    </row>
    <row r="6" spans="2:48" ht="54.75" customHeight="1" thickBot="1" x14ac:dyDescent="0.3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94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Mid Demand Before DSR</v>
      </c>
      <c r="R6" s="16" t="s">
        <v>95</v>
      </c>
      <c r="S6" s="18" t="s">
        <v>18</v>
      </c>
      <c r="T6" s="10"/>
      <c r="V6" s="111" t="s">
        <v>6</v>
      </c>
      <c r="W6" s="101" t="s">
        <v>19</v>
      </c>
      <c r="X6" s="101" t="s">
        <v>21</v>
      </c>
      <c r="Y6" s="101" t="s">
        <v>85</v>
      </c>
      <c r="Z6" s="101" t="s">
        <v>22</v>
      </c>
      <c r="AA6" s="101" t="s">
        <v>23</v>
      </c>
      <c r="AB6" s="101" t="s">
        <v>24</v>
      </c>
      <c r="AC6" s="102" t="s">
        <v>14</v>
      </c>
      <c r="AD6" s="110" t="s">
        <v>101</v>
      </c>
      <c r="AE6" s="16" t="s">
        <v>25</v>
      </c>
      <c r="AF6" s="16" t="s">
        <v>26</v>
      </c>
      <c r="AI6" s="20" t="s">
        <v>73</v>
      </c>
      <c r="AJ6" s="16"/>
      <c r="AK6" s="16" t="s">
        <v>94</v>
      </c>
      <c r="AL6" s="65"/>
      <c r="AM6"/>
    </row>
    <row r="7" spans="2:48" ht="15.75" thickBot="1" x14ac:dyDescent="0.3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116" t="s">
        <v>29</v>
      </c>
      <c r="W7" s="117" t="s">
        <v>30</v>
      </c>
      <c r="X7" s="117" t="s">
        <v>32</v>
      </c>
      <c r="Y7" s="117" t="s">
        <v>33</v>
      </c>
      <c r="Z7" s="117" t="s">
        <v>34</v>
      </c>
      <c r="AA7" s="117" t="s">
        <v>35</v>
      </c>
      <c r="AB7" s="117" t="s">
        <v>36</v>
      </c>
      <c r="AC7" s="118" t="s">
        <v>37</v>
      </c>
      <c r="AD7" s="119" t="s">
        <v>83</v>
      </c>
      <c r="AE7" s="27"/>
      <c r="AF7" s="27"/>
      <c r="AL7" s="64"/>
      <c r="AM7"/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14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112" t="e">
        <f>#REF!</f>
        <v>#REF!</v>
      </c>
      <c r="W8" s="99"/>
      <c r="X8" s="99"/>
      <c r="Y8" s="99"/>
      <c r="Z8" s="100"/>
      <c r="AA8" s="99"/>
      <c r="AB8" s="99"/>
      <c r="AC8" s="103"/>
      <c r="AD8" s="120"/>
      <c r="AE8" s="38">
        <f t="shared" ref="AE8:AE33" si="1">SUM(W8:AC8)</f>
        <v>0</v>
      </c>
      <c r="AF8" s="37">
        <f>(H8+AE8)-I8</f>
        <v>-37.987134765585211</v>
      </c>
      <c r="AL8" s="64"/>
      <c r="AM8"/>
      <c r="AP8" s="39"/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113" t="str">
        <f>B8</f>
        <v>2015-16</v>
      </c>
      <c r="W9" s="74"/>
      <c r="X9" s="74"/>
      <c r="Y9" s="74"/>
      <c r="Z9" s="76"/>
      <c r="AA9" s="74"/>
      <c r="AB9" s="74"/>
      <c r="AC9" s="104"/>
      <c r="AD9" s="121"/>
      <c r="AE9" s="38">
        <f t="shared" si="1"/>
        <v>0</v>
      </c>
      <c r="AF9" s="37">
        <f>(H9+AE9)-I9</f>
        <v>11.37245977232817</v>
      </c>
      <c r="AL9" s="64"/>
      <c r="AM9"/>
      <c r="AO9" s="40"/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>I10</f>
        <v>1009.5326608132258</v>
      </c>
      <c r="R10" s="37">
        <f t="shared" ref="R10:R33" si="4">Q10-AD10</f>
        <v>1007.6380883417644</v>
      </c>
      <c r="S10" s="33">
        <f>H10-R10</f>
        <v>-15.181088341764394</v>
      </c>
      <c r="T10" s="10"/>
      <c r="V10" s="113" t="str">
        <f t="shared" ref="V10:V32" si="5">B10</f>
        <v>2018-19</v>
      </c>
      <c r="W10" s="77"/>
      <c r="X10" s="77"/>
      <c r="Y10" s="77"/>
      <c r="Z10" s="77"/>
      <c r="AA10" s="78"/>
      <c r="AB10" s="78"/>
      <c r="AC10" s="105"/>
      <c r="AD10" s="122">
        <v>1.8945724714614274</v>
      </c>
      <c r="AE10" s="41">
        <f t="shared" si="1"/>
        <v>0</v>
      </c>
      <c r="AF10" s="42">
        <f>(H10+AE10)-I10</f>
        <v>-17.075660813225795</v>
      </c>
      <c r="AH10" s="43"/>
      <c r="AI10" s="44"/>
      <c r="AJ10" s="45"/>
      <c r="AK10" s="43"/>
      <c r="AL10" s="64"/>
      <c r="AM10"/>
      <c r="AO10" s="46"/>
      <c r="AP10" s="43"/>
      <c r="AQ10" s="46"/>
      <c r="AR10" s="46"/>
      <c r="AU10" s="46"/>
      <c r="AV10" s="46"/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>I11</f>
        <v>1022.7918912094859</v>
      </c>
      <c r="R11" s="37">
        <f t="shared" si="4"/>
        <v>1016.7329343189342</v>
      </c>
      <c r="S11" s="33">
        <f>H11-R11</f>
        <v>25.224065681065667</v>
      </c>
      <c r="T11" s="10"/>
      <c r="V11" s="114" t="str">
        <f t="shared" si="5"/>
        <v>2019-20</v>
      </c>
      <c r="W11" s="77"/>
      <c r="X11" s="77"/>
      <c r="Y11" s="77"/>
      <c r="Z11" s="77"/>
      <c r="AA11" s="77"/>
      <c r="AB11" s="77"/>
      <c r="AC11" s="106"/>
      <c r="AD11" s="122">
        <v>6.0589568905517144</v>
      </c>
      <c r="AE11" s="41">
        <f t="shared" si="1"/>
        <v>0</v>
      </c>
      <c r="AF11" s="42">
        <f>(H11+AE11)-I11</f>
        <v>19.165108790513955</v>
      </c>
      <c r="AH11" s="43"/>
      <c r="AI11" s="44"/>
      <c r="AJ11" s="45"/>
      <c r="AK11" s="43"/>
      <c r="AL11" s="64"/>
      <c r="AM11"/>
      <c r="AO11" s="46"/>
      <c r="AP11" s="43"/>
      <c r="AQ11" s="46"/>
      <c r="AR11" s="46"/>
      <c r="AU11" s="46"/>
      <c r="AV11" s="46"/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AD13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>I12</f>
        <v>957.00229999999999</v>
      </c>
      <c r="R12" s="37">
        <f t="shared" si="4"/>
        <v>957.00229999999999</v>
      </c>
      <c r="S12" s="33">
        <f t="shared" ref="S12:S33" si="6">H12+P12-Q12</f>
        <v>-7.5889205675269977</v>
      </c>
      <c r="T12" s="10"/>
      <c r="V12" s="114" t="str">
        <f t="shared" si="5"/>
        <v>2020-21</v>
      </c>
      <c r="W12" s="80"/>
      <c r="X12" s="80"/>
      <c r="Y12" s="80"/>
      <c r="Z12" s="80"/>
      <c r="AA12" s="80"/>
      <c r="AB12" s="80"/>
      <c r="AC12" s="107"/>
      <c r="AD12" s="123">
        <v>0</v>
      </c>
      <c r="AE12" s="59">
        <f t="shared" si="1"/>
        <v>0</v>
      </c>
      <c r="AF12" s="32">
        <f>AE12+H12-I12</f>
        <v>35.454700000000003</v>
      </c>
      <c r="AH12" s="67"/>
      <c r="AI12" s="44">
        <v>1035.500620567527</v>
      </c>
      <c r="AJ12" s="45"/>
      <c r="AK12" s="43"/>
      <c r="AL12" s="66"/>
      <c r="AM12" s="52"/>
      <c r="AO12" s="46"/>
      <c r="AP12" s="43"/>
      <c r="AQ12" s="46"/>
      <c r="AR12" s="46"/>
      <c r="AU12" s="46"/>
      <c r="AV12" s="46"/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AD14</f>
        <v>4.6109774071628653</v>
      </c>
      <c r="M13" s="50"/>
      <c r="N13" s="51">
        <v>-3.1532888603364881</v>
      </c>
      <c r="O13" s="50"/>
      <c r="P13" s="32">
        <f t="shared" si="3"/>
        <v>1.4576885468263772</v>
      </c>
      <c r="Q13" s="37">
        <f>I13</f>
        <v>957.00229999999999</v>
      </c>
      <c r="R13" s="37">
        <f t="shared" si="4"/>
        <v>957.00229999999999</v>
      </c>
      <c r="S13" s="33">
        <f t="shared" si="6"/>
        <v>86.912388546826264</v>
      </c>
      <c r="T13" s="10"/>
      <c r="V13" s="114" t="str">
        <f t="shared" si="5"/>
        <v>2021-22</v>
      </c>
      <c r="W13" s="80"/>
      <c r="X13" s="80"/>
      <c r="Y13" s="80"/>
      <c r="Z13" s="80"/>
      <c r="AA13" s="80"/>
      <c r="AB13" s="80"/>
      <c r="AC13" s="107"/>
      <c r="AD13" s="124">
        <v>0</v>
      </c>
      <c r="AE13" s="59">
        <f t="shared" si="1"/>
        <v>0</v>
      </c>
      <c r="AF13" s="32">
        <f>AE13+H13-I13</f>
        <v>85.454699999999889</v>
      </c>
      <c r="AH13" s="67"/>
      <c r="AI13" s="44">
        <v>1045.6102888603364</v>
      </c>
      <c r="AJ13" s="45"/>
      <c r="AK13" s="43"/>
      <c r="AL13" s="66"/>
      <c r="AM13" s="52"/>
      <c r="AO13" s="46"/>
      <c r="AP13" s="43"/>
      <c r="AQ13" s="46"/>
      <c r="AR13" s="46"/>
      <c r="AU13" s="46"/>
      <c r="AV13" s="46"/>
    </row>
    <row r="14" spans="2:48" x14ac:dyDescent="0.25">
      <c r="B14" s="28" t="s">
        <v>47</v>
      </c>
      <c r="C14" s="29"/>
      <c r="D14" s="30">
        <f t="shared" ref="D14:D33" si="7">D$10-19</f>
        <v>523.9</v>
      </c>
      <c r="E14" s="30">
        <v>447.05700000000002</v>
      </c>
      <c r="F14" s="31">
        <v>2.5</v>
      </c>
      <c r="G14" s="48">
        <v>69</v>
      </c>
      <c r="H14" s="32">
        <f>SUM(D14:G14)</f>
        <v>1042.4569999999999</v>
      </c>
      <c r="I14" s="98">
        <v>966.56050000000005</v>
      </c>
      <c r="J14" s="33">
        <f t="shared" si="0"/>
        <v>75.896499999999833</v>
      </c>
      <c r="K14" s="34"/>
      <c r="L14" s="32">
        <f t="shared" ref="L14:L33" si="8">AD14</f>
        <v>4.6109774071628653</v>
      </c>
      <c r="M14" s="53"/>
      <c r="N14" s="54"/>
      <c r="O14" s="50"/>
      <c r="P14" s="32">
        <f t="shared" si="3"/>
        <v>4.6109774071628653</v>
      </c>
      <c r="Q14" s="37">
        <f>I14</f>
        <v>966.56050000000005</v>
      </c>
      <c r="R14" s="37">
        <f t="shared" si="4"/>
        <v>961.94952259283718</v>
      </c>
      <c r="S14" s="33">
        <f t="shared" si="6"/>
        <v>80.507477407162696</v>
      </c>
      <c r="T14" s="10"/>
      <c r="V14" s="114" t="str">
        <f t="shared" si="5"/>
        <v>2022-23</v>
      </c>
      <c r="W14" s="80" t="s">
        <v>82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107" t="s">
        <v>82</v>
      </c>
      <c r="AD14" s="122">
        <v>4.6109774071628653</v>
      </c>
      <c r="AE14" s="59">
        <f t="shared" si="1"/>
        <v>0</v>
      </c>
      <c r="AF14" s="32">
        <f t="shared" ref="AF14:AF33" si="9">H14+AD14-I14</f>
        <v>80.507477407162696</v>
      </c>
      <c r="AH14" s="67"/>
      <c r="AI14" s="44">
        <v>1053.5407413432795</v>
      </c>
      <c r="AJ14" s="45"/>
      <c r="AK14" s="43">
        <v>961561205.47094178</v>
      </c>
      <c r="AL14" s="66"/>
      <c r="AM14" s="52"/>
      <c r="AO14" s="46"/>
      <c r="AP14" s="43"/>
      <c r="AQ14" s="46"/>
      <c r="AR14" s="46"/>
      <c r="AU14" s="46"/>
      <c r="AV14" s="46"/>
    </row>
    <row r="15" spans="2:48" x14ac:dyDescent="0.25">
      <c r="B15" s="28" t="s">
        <v>48</v>
      </c>
      <c r="C15" s="29"/>
      <c r="D15" s="30">
        <f t="shared" si="7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98">
        <v>976.51042000000007</v>
      </c>
      <c r="J15" s="33">
        <f t="shared" ref="J15:J33" si="10">H15-I15</f>
        <v>65.946579999999813</v>
      </c>
      <c r="K15" s="34"/>
      <c r="L15" s="32">
        <f t="shared" si="8"/>
        <v>9.9162474076782825</v>
      </c>
      <c r="M15" s="53"/>
      <c r="N15" s="54"/>
      <c r="O15" s="50"/>
      <c r="P15" s="32">
        <f t="shared" si="3"/>
        <v>9.9162474076782825</v>
      </c>
      <c r="Q15" s="37">
        <f t="shared" ref="Q15:Q33" si="11">I15</f>
        <v>976.51042000000007</v>
      </c>
      <c r="R15" s="37">
        <f t="shared" si="4"/>
        <v>966.5941725923218</v>
      </c>
      <c r="S15" s="33">
        <f t="shared" si="6"/>
        <v>75.862827407678196</v>
      </c>
      <c r="T15" s="10"/>
      <c r="V15" s="114" t="str">
        <f t="shared" si="5"/>
        <v>2023-24</v>
      </c>
      <c r="W15" s="80" t="s">
        <v>82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107" t="s">
        <v>82</v>
      </c>
      <c r="AD15" s="122">
        <v>9.9162474076782825</v>
      </c>
      <c r="AE15" s="59">
        <f t="shared" si="1"/>
        <v>0</v>
      </c>
      <c r="AF15" s="32">
        <f t="shared" si="9"/>
        <v>75.862827407678196</v>
      </c>
      <c r="AH15" s="67"/>
      <c r="AI15" s="44">
        <v>1062.70947981108</v>
      </c>
      <c r="AJ15" s="45"/>
      <c r="AK15" s="43">
        <v>974089087.59519017</v>
      </c>
      <c r="AL15" s="66"/>
      <c r="AM15" s="52"/>
      <c r="AO15" s="46"/>
      <c r="AP15" s="43"/>
      <c r="AQ15" s="46"/>
      <c r="AR15" s="46"/>
      <c r="AU15" s="46"/>
      <c r="AV15" s="46"/>
    </row>
    <row r="16" spans="2:48" x14ac:dyDescent="0.25">
      <c r="B16" s="28" t="s">
        <v>49</v>
      </c>
      <c r="C16" s="29"/>
      <c r="D16" s="30">
        <f t="shared" si="7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98">
        <v>987.94945999999993</v>
      </c>
      <c r="J16" s="33">
        <f t="shared" si="10"/>
        <v>54.507539999999949</v>
      </c>
      <c r="K16" s="34"/>
      <c r="L16" s="32">
        <f t="shared" si="8"/>
        <v>15.476028784735377</v>
      </c>
      <c r="M16" s="53"/>
      <c r="N16" s="54"/>
      <c r="O16" s="50"/>
      <c r="P16" s="32">
        <f t="shared" si="3"/>
        <v>15.476028784735377</v>
      </c>
      <c r="Q16" s="37">
        <f t="shared" si="11"/>
        <v>987.94945999999993</v>
      </c>
      <c r="R16" s="37">
        <f t="shared" si="4"/>
        <v>972.47343121526455</v>
      </c>
      <c r="S16" s="33">
        <f t="shared" si="6"/>
        <v>69.983568784735212</v>
      </c>
      <c r="T16" s="10"/>
      <c r="V16" s="114" t="str">
        <f t="shared" si="5"/>
        <v>2024-25</v>
      </c>
      <c r="W16" s="80" t="s">
        <v>82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107" t="s">
        <v>82</v>
      </c>
      <c r="AD16" s="122">
        <v>15.476028784735377</v>
      </c>
      <c r="AE16" s="59">
        <f t="shared" si="1"/>
        <v>0</v>
      </c>
      <c r="AF16" s="32">
        <f t="shared" si="9"/>
        <v>69.983568784735212</v>
      </c>
      <c r="AH16" s="67"/>
      <c r="AI16" s="44">
        <v>1069.875394233997</v>
      </c>
      <c r="AJ16" s="45"/>
      <c r="AK16" s="43">
        <v>989633608.20641279</v>
      </c>
      <c r="AL16" s="66"/>
      <c r="AM16" s="52"/>
      <c r="AO16" s="46"/>
      <c r="AP16" s="43"/>
      <c r="AQ16" s="46"/>
      <c r="AR16" s="46"/>
      <c r="AU16" s="46"/>
      <c r="AV16" s="46"/>
    </row>
    <row r="17" spans="2:48" x14ac:dyDescent="0.25">
      <c r="B17" s="28" t="s">
        <v>50</v>
      </c>
      <c r="C17" s="29"/>
      <c r="D17" s="30">
        <f t="shared" si="7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98">
        <v>995.33915999999999</v>
      </c>
      <c r="J17" s="33">
        <f t="shared" si="10"/>
        <v>47.117839999999887</v>
      </c>
      <c r="K17" s="34"/>
      <c r="L17" s="32">
        <f t="shared" si="8"/>
        <v>21.139329931715892</v>
      </c>
      <c r="M17" s="53"/>
      <c r="N17" s="54"/>
      <c r="O17" s="50"/>
      <c r="P17" s="32">
        <f t="shared" si="3"/>
        <v>21.139329931715892</v>
      </c>
      <c r="Q17" s="37">
        <f t="shared" si="11"/>
        <v>995.33915999999999</v>
      </c>
      <c r="R17" s="37">
        <f t="shared" si="4"/>
        <v>974.19983006828409</v>
      </c>
      <c r="S17" s="33">
        <f t="shared" si="6"/>
        <v>68.25716993171568</v>
      </c>
      <c r="T17" s="10"/>
      <c r="V17" s="114" t="str">
        <f t="shared" si="5"/>
        <v>2025-26</v>
      </c>
      <c r="W17" s="80" t="s">
        <v>82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107" t="s">
        <v>82</v>
      </c>
      <c r="AD17" s="122">
        <v>21.139329931715892</v>
      </c>
      <c r="AE17" s="59">
        <f t="shared" si="1"/>
        <v>0</v>
      </c>
      <c r="AF17" s="32">
        <f t="shared" si="9"/>
        <v>68.25716993171568</v>
      </c>
      <c r="AH17" s="67"/>
      <c r="AI17" s="44">
        <v>1074.046576766304</v>
      </c>
      <c r="AJ17" s="45"/>
      <c r="AK17" s="43">
        <v>996530314.73947871</v>
      </c>
      <c r="AL17" s="66"/>
      <c r="AM17" s="52"/>
      <c r="AO17" s="46"/>
      <c r="AP17" s="43"/>
      <c r="AQ17" s="46"/>
      <c r="AR17" s="46"/>
      <c r="AU17" s="46"/>
      <c r="AV17" s="46"/>
    </row>
    <row r="18" spans="2:48" x14ac:dyDescent="0.25">
      <c r="B18" s="28" t="s">
        <v>51</v>
      </c>
      <c r="C18" s="29"/>
      <c r="D18" s="30">
        <f t="shared" si="7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98">
        <v>1003.3576700000001</v>
      </c>
      <c r="J18" s="33">
        <f t="shared" si="10"/>
        <v>39.099329999999782</v>
      </c>
      <c r="K18" s="34"/>
      <c r="L18" s="32">
        <f t="shared" si="8"/>
        <v>27.025804740285224</v>
      </c>
      <c r="M18" s="53"/>
      <c r="N18" s="54"/>
      <c r="O18" s="50"/>
      <c r="P18" s="32">
        <f t="shared" si="3"/>
        <v>27.025804740285224</v>
      </c>
      <c r="Q18" s="37">
        <f t="shared" si="11"/>
        <v>1003.3576700000001</v>
      </c>
      <c r="R18" s="37">
        <f t="shared" si="4"/>
        <v>976.33186525971485</v>
      </c>
      <c r="S18" s="33">
        <f t="shared" si="6"/>
        <v>66.125134740284921</v>
      </c>
      <c r="T18" s="10"/>
      <c r="V18" s="114" t="str">
        <f t="shared" si="5"/>
        <v>2026-27</v>
      </c>
      <c r="W18" s="80" t="s">
        <v>82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107" t="s">
        <v>82</v>
      </c>
      <c r="AD18" s="122">
        <v>27.025804740285224</v>
      </c>
      <c r="AE18" s="59">
        <f t="shared" si="1"/>
        <v>0</v>
      </c>
      <c r="AF18" s="32">
        <f t="shared" si="9"/>
        <v>66.125134740284921</v>
      </c>
      <c r="AH18" s="67"/>
      <c r="AI18" s="44">
        <v>1081.3726145732787</v>
      </c>
      <c r="AJ18" s="45"/>
      <c r="AK18" s="43">
        <v>1002590837.7454909</v>
      </c>
      <c r="AL18" s="66"/>
      <c r="AM18" s="52"/>
      <c r="AO18" s="46"/>
      <c r="AP18" s="43"/>
      <c r="AQ18" s="46"/>
      <c r="AR18" s="46"/>
      <c r="AU18" s="46"/>
      <c r="AV18" s="46"/>
    </row>
    <row r="19" spans="2:48" x14ac:dyDescent="0.25">
      <c r="B19" s="28" t="s">
        <v>52</v>
      </c>
      <c r="C19" s="29"/>
      <c r="D19" s="30">
        <f t="shared" si="7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98">
        <v>1011.2176899999998</v>
      </c>
      <c r="J19" s="33">
        <f t="shared" si="10"/>
        <v>31.239310000000046</v>
      </c>
      <c r="K19" s="34"/>
      <c r="L19" s="32">
        <f t="shared" si="8"/>
        <v>33.165863658378711</v>
      </c>
      <c r="M19" s="53"/>
      <c r="N19" s="54"/>
      <c r="O19" s="50"/>
      <c r="P19" s="32">
        <f t="shared" si="3"/>
        <v>33.165863658378711</v>
      </c>
      <c r="Q19" s="37">
        <f t="shared" si="11"/>
        <v>1011.2176899999998</v>
      </c>
      <c r="R19" s="37">
        <f t="shared" si="4"/>
        <v>978.05182634162111</v>
      </c>
      <c r="S19" s="33">
        <f t="shared" si="6"/>
        <v>64.405173658378658</v>
      </c>
      <c r="T19" s="10"/>
      <c r="V19" s="114" t="str">
        <f t="shared" si="5"/>
        <v>2027-28</v>
      </c>
      <c r="W19" s="80" t="s">
        <v>82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107" t="s">
        <v>82</v>
      </c>
      <c r="AD19" s="122">
        <v>33.165863658378711</v>
      </c>
      <c r="AE19" s="59">
        <f t="shared" si="1"/>
        <v>0</v>
      </c>
      <c r="AF19" s="32">
        <f t="shared" si="9"/>
        <v>64.405173658378658</v>
      </c>
      <c r="AH19" s="67"/>
      <c r="AI19" s="44">
        <v>1088.9478443321157</v>
      </c>
      <c r="AJ19" s="45"/>
      <c r="AK19" s="43">
        <v>1008155619.2685372</v>
      </c>
      <c r="AL19" s="66"/>
      <c r="AM19" s="52"/>
      <c r="AO19" s="46"/>
      <c r="AP19" s="43"/>
      <c r="AQ19" s="46"/>
      <c r="AR19" s="46"/>
      <c r="AU19" s="46"/>
      <c r="AV19" s="46"/>
    </row>
    <row r="20" spans="2:48" x14ac:dyDescent="0.25">
      <c r="B20" s="28" t="s">
        <v>53</v>
      </c>
      <c r="C20" s="29"/>
      <c r="D20" s="30">
        <f t="shared" si="7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98">
        <v>1020.75771</v>
      </c>
      <c r="J20" s="33">
        <f t="shared" si="10"/>
        <v>21.699289999999905</v>
      </c>
      <c r="K20" s="34"/>
      <c r="L20" s="32">
        <f t="shared" si="8"/>
        <v>39.560679463789029</v>
      </c>
      <c r="M20" s="53"/>
      <c r="N20" s="54"/>
      <c r="O20" s="50"/>
      <c r="P20" s="32">
        <f t="shared" si="3"/>
        <v>39.560679463789029</v>
      </c>
      <c r="Q20" s="37">
        <f t="shared" si="11"/>
        <v>1020.75771</v>
      </c>
      <c r="R20" s="37">
        <f t="shared" si="4"/>
        <v>981.19703053621095</v>
      </c>
      <c r="S20" s="33">
        <f t="shared" si="6"/>
        <v>61.259969463788934</v>
      </c>
      <c r="T20" s="10"/>
      <c r="V20" s="114" t="str">
        <f t="shared" si="5"/>
        <v>2028-29</v>
      </c>
      <c r="W20" s="80" t="s">
        <v>82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107" t="s">
        <v>82</v>
      </c>
      <c r="AD20" s="122">
        <v>39.560679463789029</v>
      </c>
      <c r="AE20" s="59">
        <f t="shared" si="1"/>
        <v>0</v>
      </c>
      <c r="AF20" s="32">
        <f t="shared" si="9"/>
        <v>61.259969463788934</v>
      </c>
      <c r="AH20" s="67"/>
      <c r="AI20" s="44">
        <v>1096.2966233757172</v>
      </c>
      <c r="AJ20" s="45"/>
      <c r="AK20" s="43">
        <v>1016814168.7074149</v>
      </c>
      <c r="AL20" s="66"/>
      <c r="AM20" s="52"/>
      <c r="AO20" s="46"/>
      <c r="AP20" s="43"/>
      <c r="AQ20" s="46"/>
      <c r="AR20" s="46"/>
      <c r="AU20" s="46"/>
      <c r="AV20" s="46"/>
    </row>
    <row r="21" spans="2:48" x14ac:dyDescent="0.25">
      <c r="B21" s="28" t="s">
        <v>54</v>
      </c>
      <c r="C21" s="29"/>
      <c r="D21" s="30">
        <f t="shared" si="7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98">
        <v>1027.3149399999998</v>
      </c>
      <c r="J21" s="33">
        <f t="shared" si="10"/>
        <v>15.142060000000129</v>
      </c>
      <c r="K21" s="34"/>
      <c r="L21" s="32">
        <f t="shared" si="8"/>
        <v>46.189227368028135</v>
      </c>
      <c r="M21" s="53"/>
      <c r="N21" s="54"/>
      <c r="O21" s="50"/>
      <c r="P21" s="32">
        <f t="shared" si="3"/>
        <v>46.189227368028135</v>
      </c>
      <c r="Q21" s="37">
        <f t="shared" si="11"/>
        <v>1027.3149399999998</v>
      </c>
      <c r="R21" s="37">
        <f t="shared" si="4"/>
        <v>981.12571263197162</v>
      </c>
      <c r="S21" s="33">
        <f t="shared" si="6"/>
        <v>61.33128736802837</v>
      </c>
      <c r="T21" s="10"/>
      <c r="V21" s="114" t="str">
        <f t="shared" si="5"/>
        <v>2029-30</v>
      </c>
      <c r="W21" s="80" t="s">
        <v>82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107" t="s">
        <v>82</v>
      </c>
      <c r="AD21" s="122">
        <v>46.189227368028135</v>
      </c>
      <c r="AE21" s="59">
        <f t="shared" si="1"/>
        <v>0</v>
      </c>
      <c r="AF21" s="32">
        <f t="shared" si="9"/>
        <v>61.33128736802837</v>
      </c>
      <c r="AH21" s="67"/>
      <c r="AI21" s="44">
        <v>1102.2936430343566</v>
      </c>
      <c r="AJ21" s="45"/>
      <c r="AK21" s="43">
        <v>1020478272.3146293</v>
      </c>
      <c r="AL21" s="66"/>
      <c r="AM21" s="52"/>
      <c r="AO21" s="46"/>
      <c r="AP21" s="43"/>
      <c r="AQ21" s="46"/>
      <c r="AR21" s="46"/>
      <c r="AU21" s="46"/>
      <c r="AV21" s="46"/>
    </row>
    <row r="22" spans="2:48" x14ac:dyDescent="0.25">
      <c r="B22" s="28" t="s">
        <v>55</v>
      </c>
      <c r="C22" s="29"/>
      <c r="D22" s="30">
        <f t="shared" si="7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98">
        <v>1035.65245</v>
      </c>
      <c r="J22" s="33">
        <f t="shared" si="10"/>
        <v>6.8045499999998356</v>
      </c>
      <c r="K22" s="34"/>
      <c r="L22" s="32">
        <f t="shared" si="8"/>
        <v>53.020257442777599</v>
      </c>
      <c r="M22" s="53"/>
      <c r="N22" s="54"/>
      <c r="O22" s="50"/>
      <c r="P22" s="32">
        <f t="shared" si="3"/>
        <v>53.020257442777599</v>
      </c>
      <c r="Q22" s="37">
        <f t="shared" si="11"/>
        <v>1035.65245</v>
      </c>
      <c r="R22" s="37">
        <f t="shared" si="4"/>
        <v>982.63219255722242</v>
      </c>
      <c r="S22" s="33">
        <f t="shared" si="6"/>
        <v>59.824807442777455</v>
      </c>
      <c r="T22" s="10"/>
      <c r="V22" s="114" t="str">
        <f t="shared" si="5"/>
        <v>2030-31</v>
      </c>
      <c r="W22" s="80" t="s">
        <v>82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107" t="s">
        <v>82</v>
      </c>
      <c r="AD22" s="122">
        <v>53.020257442777599</v>
      </c>
      <c r="AE22" s="59">
        <f t="shared" si="1"/>
        <v>0</v>
      </c>
      <c r="AF22" s="32">
        <f t="shared" si="9"/>
        <v>59.824807442777455</v>
      </c>
      <c r="AH22" s="67"/>
      <c r="AI22" s="44">
        <v>1110.8754963941149</v>
      </c>
      <c r="AJ22" s="45"/>
      <c r="AK22" s="43">
        <v>1027690868.016032</v>
      </c>
      <c r="AL22" s="66"/>
      <c r="AM22" s="52"/>
      <c r="AO22" s="46"/>
      <c r="AP22" s="43"/>
      <c r="AQ22" s="46"/>
      <c r="AR22" s="46"/>
      <c r="AU22" s="46"/>
      <c r="AV22" s="46"/>
    </row>
    <row r="23" spans="2:48" x14ac:dyDescent="0.25">
      <c r="B23" s="28" t="s">
        <v>56</v>
      </c>
      <c r="C23" s="29"/>
      <c r="D23" s="30">
        <f t="shared" si="7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98">
        <v>1044.54214</v>
      </c>
      <c r="J23" s="33">
        <f t="shared" si="10"/>
        <v>-2.0851400000001377</v>
      </c>
      <c r="K23" s="34"/>
      <c r="L23" s="32">
        <f t="shared" si="8"/>
        <v>60.096051823811081</v>
      </c>
      <c r="M23" s="53"/>
      <c r="N23" s="54"/>
      <c r="O23" s="50"/>
      <c r="P23" s="32">
        <f t="shared" si="3"/>
        <v>60.096051823811081</v>
      </c>
      <c r="Q23" s="37">
        <f t="shared" si="11"/>
        <v>1044.54214</v>
      </c>
      <c r="R23" s="37">
        <f t="shared" si="4"/>
        <v>984.44608817618894</v>
      </c>
      <c r="S23" s="33">
        <f t="shared" si="6"/>
        <v>58.010911823811057</v>
      </c>
      <c r="T23" s="10"/>
      <c r="V23" s="114" t="str">
        <f t="shared" si="5"/>
        <v>2031-32</v>
      </c>
      <c r="W23" s="80" t="s">
        <v>82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107" t="s">
        <v>82</v>
      </c>
      <c r="AD23" s="122">
        <v>60.096051823811081</v>
      </c>
      <c r="AE23" s="59">
        <f t="shared" si="1"/>
        <v>0</v>
      </c>
      <c r="AF23" s="32">
        <f t="shared" si="9"/>
        <v>58.010911823811057</v>
      </c>
      <c r="AH23" s="67"/>
      <c r="AI23" s="44">
        <v>1118.7950078327895</v>
      </c>
      <c r="AJ23" s="45"/>
      <c r="AK23" s="43">
        <v>1037403348.3767536</v>
      </c>
      <c r="AL23" s="66"/>
      <c r="AM23" s="52"/>
      <c r="AO23" s="46"/>
      <c r="AP23" s="43"/>
      <c r="AQ23" s="46"/>
      <c r="AR23" s="46"/>
      <c r="AU23" s="46"/>
      <c r="AV23" s="46"/>
    </row>
    <row r="24" spans="2:48" x14ac:dyDescent="0.25">
      <c r="B24" s="28" t="s">
        <v>57</v>
      </c>
      <c r="C24" s="29"/>
      <c r="D24" s="30">
        <f t="shared" si="7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98">
        <v>1054.7405199999998</v>
      </c>
      <c r="J24" s="33">
        <f t="shared" si="10"/>
        <v>-12.283519999999953</v>
      </c>
      <c r="K24" s="34"/>
      <c r="L24" s="32">
        <f t="shared" si="8"/>
        <v>64.493510880728138</v>
      </c>
      <c r="M24" s="53"/>
      <c r="N24" s="54"/>
      <c r="O24" s="50"/>
      <c r="P24" s="32">
        <f t="shared" si="3"/>
        <v>64.493510880728138</v>
      </c>
      <c r="Q24" s="37">
        <f t="shared" si="11"/>
        <v>1054.7405199999998</v>
      </c>
      <c r="R24" s="37">
        <f t="shared" si="4"/>
        <v>990.24700911927175</v>
      </c>
      <c r="S24" s="33">
        <f t="shared" si="6"/>
        <v>52.209990880728128</v>
      </c>
      <c r="T24" s="10"/>
      <c r="V24" s="114" t="str">
        <f t="shared" si="5"/>
        <v>2032-33</v>
      </c>
      <c r="W24" s="80" t="s">
        <v>82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107" t="s">
        <v>82</v>
      </c>
      <c r="AD24" s="122">
        <v>64.493510880728138</v>
      </c>
      <c r="AE24" s="59">
        <f t="shared" si="1"/>
        <v>0</v>
      </c>
      <c r="AF24" s="32">
        <f t="shared" si="9"/>
        <v>52.209990880728128</v>
      </c>
      <c r="AH24" s="67"/>
      <c r="AI24" s="44">
        <v>1128.6245193965246</v>
      </c>
      <c r="AJ24" s="45"/>
      <c r="AK24" s="43">
        <v>1048511521.4929857</v>
      </c>
      <c r="AL24" s="66"/>
      <c r="AM24" s="52"/>
      <c r="AO24" s="46"/>
      <c r="AP24" s="43"/>
      <c r="AQ24" s="46"/>
      <c r="AR24" s="46"/>
      <c r="AU24" s="46"/>
      <c r="AV24" s="46"/>
    </row>
    <row r="25" spans="2:48" x14ac:dyDescent="0.25">
      <c r="B25" s="28" t="s">
        <v>58</v>
      </c>
      <c r="C25" s="29"/>
      <c r="D25" s="30">
        <f t="shared" si="7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98">
        <v>1061.5890300000001</v>
      </c>
      <c r="J25" s="33">
        <f t="shared" si="10"/>
        <v>-19.132030000000213</v>
      </c>
      <c r="K25" s="34"/>
      <c r="L25" s="32">
        <f t="shared" si="8"/>
        <v>69.066897835315515</v>
      </c>
      <c r="M25" s="53"/>
      <c r="N25" s="54"/>
      <c r="O25" s="50"/>
      <c r="P25" s="32">
        <f t="shared" si="3"/>
        <v>69.066897835315515</v>
      </c>
      <c r="Q25" s="37">
        <f t="shared" si="11"/>
        <v>1061.5890300000001</v>
      </c>
      <c r="R25" s="37">
        <f t="shared" si="4"/>
        <v>992.52213216468454</v>
      </c>
      <c r="S25" s="33">
        <f t="shared" si="6"/>
        <v>49.934867835315345</v>
      </c>
      <c r="T25" s="10"/>
      <c r="V25" s="114" t="str">
        <f t="shared" si="5"/>
        <v>2033-34</v>
      </c>
      <c r="W25" s="80" t="s">
        <v>82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107" t="s">
        <v>82</v>
      </c>
      <c r="AD25" s="122">
        <v>69.066897835315515</v>
      </c>
      <c r="AE25" s="59">
        <f t="shared" si="1"/>
        <v>0</v>
      </c>
      <c r="AF25" s="32">
        <f t="shared" si="9"/>
        <v>49.934867835315345</v>
      </c>
      <c r="AH25" s="67"/>
      <c r="AI25" s="44">
        <v>1137.439360122042</v>
      </c>
      <c r="AJ25" s="45"/>
      <c r="AK25" s="43">
        <v>1053998986.9338676</v>
      </c>
      <c r="AL25" s="66"/>
      <c r="AM25" s="52"/>
      <c r="AO25" s="46"/>
      <c r="AP25" s="43"/>
      <c r="AQ25" s="46"/>
      <c r="AR25" s="46"/>
      <c r="AU25" s="46"/>
      <c r="AV25" s="46"/>
    </row>
    <row r="26" spans="2:48" x14ac:dyDescent="0.25">
      <c r="B26" s="28" t="s">
        <v>59</v>
      </c>
      <c r="C26" s="29"/>
      <c r="D26" s="30">
        <f t="shared" si="7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98">
        <v>1070.0812900000001</v>
      </c>
      <c r="J26" s="33">
        <f t="shared" si="10"/>
        <v>-27.624290000000201</v>
      </c>
      <c r="K26" s="34"/>
      <c r="L26" s="32">
        <f t="shared" si="8"/>
        <v>73.759030680977787</v>
      </c>
      <c r="M26" s="53"/>
      <c r="N26" s="54"/>
      <c r="O26" s="50"/>
      <c r="P26" s="32">
        <f t="shared" si="3"/>
        <v>73.759030680977787</v>
      </c>
      <c r="Q26" s="37">
        <f t="shared" si="11"/>
        <v>1070.0812900000001</v>
      </c>
      <c r="R26" s="37">
        <f t="shared" si="4"/>
        <v>996.32225931902235</v>
      </c>
      <c r="S26" s="33">
        <f t="shared" si="6"/>
        <v>46.134740680977529</v>
      </c>
      <c r="T26" s="10"/>
      <c r="V26" s="114" t="str">
        <f t="shared" si="5"/>
        <v>2034-35</v>
      </c>
      <c r="W26" s="80" t="s">
        <v>82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107" t="s">
        <v>82</v>
      </c>
      <c r="AD26" s="122">
        <v>73.759030680977787</v>
      </c>
      <c r="AE26" s="59">
        <f t="shared" si="1"/>
        <v>0</v>
      </c>
      <c r="AF26" s="32">
        <f t="shared" si="9"/>
        <v>46.134740680977529</v>
      </c>
      <c r="AH26" s="67"/>
      <c r="AI26" s="44">
        <v>1149.2166802752236</v>
      </c>
      <c r="AJ26" s="45"/>
      <c r="AK26" s="43">
        <v>1062474204.5490981</v>
      </c>
      <c r="AL26" s="66"/>
      <c r="AM26" s="52"/>
      <c r="AO26" s="46"/>
      <c r="AP26" s="43"/>
      <c r="AQ26" s="46"/>
      <c r="AR26" s="46"/>
      <c r="AU26" s="46"/>
      <c r="AV26" s="46"/>
    </row>
    <row r="27" spans="2:48" x14ac:dyDescent="0.25">
      <c r="B27" s="28" t="s">
        <v>60</v>
      </c>
      <c r="C27" s="29"/>
      <c r="D27" s="30">
        <f t="shared" si="7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98">
        <v>1078.7246899999998</v>
      </c>
      <c r="J27" s="33">
        <f t="shared" si="10"/>
        <v>-36.267689999999902</v>
      </c>
      <c r="K27" s="34"/>
      <c r="L27" s="32">
        <f t="shared" si="8"/>
        <v>78.537094865663107</v>
      </c>
      <c r="M27" s="53"/>
      <c r="N27" s="54"/>
      <c r="O27" s="50"/>
      <c r="P27" s="32">
        <f t="shared" si="3"/>
        <v>78.537094865663107</v>
      </c>
      <c r="Q27" s="37">
        <f t="shared" si="11"/>
        <v>1078.7246899999998</v>
      </c>
      <c r="R27" s="37">
        <f t="shared" si="4"/>
        <v>1000.1875951343367</v>
      </c>
      <c r="S27" s="33">
        <f t="shared" si="6"/>
        <v>42.269404865663319</v>
      </c>
      <c r="T27" s="10"/>
      <c r="V27" s="114" t="str">
        <f t="shared" si="5"/>
        <v>2035-36</v>
      </c>
      <c r="W27" s="80" t="s">
        <v>82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107" t="s">
        <v>82</v>
      </c>
      <c r="AD27" s="122">
        <v>78.537094865663107</v>
      </c>
      <c r="AE27" s="59">
        <f t="shared" si="1"/>
        <v>0</v>
      </c>
      <c r="AF27" s="32">
        <f t="shared" si="9"/>
        <v>42.269404865663319</v>
      </c>
      <c r="AH27" s="67"/>
      <c r="AI27" s="44">
        <v>1160.2287308284001</v>
      </c>
      <c r="AJ27" s="45"/>
      <c r="AK27" s="43">
        <v>1071950188.9879758</v>
      </c>
      <c r="AL27" s="66"/>
      <c r="AM27" s="52"/>
      <c r="AO27" s="46"/>
      <c r="AP27" s="43"/>
      <c r="AQ27" s="46"/>
      <c r="AR27" s="46"/>
      <c r="AU27" s="46"/>
      <c r="AV27" s="46"/>
    </row>
    <row r="28" spans="2:48" x14ac:dyDescent="0.25">
      <c r="B28" s="28" t="s">
        <v>61</v>
      </c>
      <c r="C28" s="29"/>
      <c r="D28" s="30">
        <f t="shared" si="7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98">
        <v>1088.9309900000001</v>
      </c>
      <c r="J28" s="33">
        <f t="shared" si="10"/>
        <v>-46.473990000000185</v>
      </c>
      <c r="K28" s="34"/>
      <c r="L28" s="32">
        <f t="shared" si="8"/>
        <v>83.23648514650499</v>
      </c>
      <c r="M28" s="53"/>
      <c r="N28" s="54"/>
      <c r="O28" s="50"/>
      <c r="P28" s="32">
        <f t="shared" si="3"/>
        <v>83.23648514650499</v>
      </c>
      <c r="Q28" s="37">
        <f t="shared" si="11"/>
        <v>1088.9309900000001</v>
      </c>
      <c r="R28" s="37">
        <f t="shared" si="4"/>
        <v>1005.6945048534951</v>
      </c>
      <c r="S28" s="33">
        <f t="shared" si="6"/>
        <v>36.762495146504762</v>
      </c>
      <c r="T28" s="10"/>
      <c r="V28" s="114" t="str">
        <f t="shared" si="5"/>
        <v>2036-37</v>
      </c>
      <c r="W28" s="80" t="s">
        <v>82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107" t="s">
        <v>82</v>
      </c>
      <c r="AD28" s="122">
        <v>83.23648514650499</v>
      </c>
      <c r="AE28" s="59">
        <f t="shared" si="1"/>
        <v>0</v>
      </c>
      <c r="AF28" s="32">
        <f t="shared" si="9"/>
        <v>36.762495146504762</v>
      </c>
      <c r="AH28" s="67"/>
      <c r="AI28" s="44">
        <v>1172.9807565724554</v>
      </c>
      <c r="AJ28" s="45"/>
      <c r="AK28" s="43">
        <v>1083629670.3607213</v>
      </c>
      <c r="AL28" s="66"/>
      <c r="AM28" s="52"/>
      <c r="AO28" s="46"/>
      <c r="AP28" s="43"/>
      <c r="AQ28" s="46"/>
      <c r="AR28" s="46"/>
      <c r="AU28" s="46"/>
      <c r="AV28" s="46"/>
    </row>
    <row r="29" spans="2:48" x14ac:dyDescent="0.25">
      <c r="B29" s="28" t="s">
        <v>62</v>
      </c>
      <c r="C29" s="29"/>
      <c r="D29" s="30">
        <f t="shared" si="7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98">
        <v>1095.51595</v>
      </c>
      <c r="J29" s="33">
        <f t="shared" si="10"/>
        <v>-53.058950000000095</v>
      </c>
      <c r="K29" s="34"/>
      <c r="L29" s="32">
        <f t="shared" si="8"/>
        <v>87.983643456225266</v>
      </c>
      <c r="M29" s="53"/>
      <c r="N29" s="54"/>
      <c r="O29" s="50"/>
      <c r="P29" s="32">
        <f>SUM(L29:O29)</f>
        <v>87.983643456225266</v>
      </c>
      <c r="Q29" s="37">
        <f t="shared" si="11"/>
        <v>1095.51595</v>
      </c>
      <c r="R29" s="37">
        <f t="shared" si="4"/>
        <v>1007.5323065437747</v>
      </c>
      <c r="S29" s="33">
        <f t="shared" si="6"/>
        <v>34.924693456225214</v>
      </c>
      <c r="T29" s="10"/>
      <c r="V29" s="114" t="str">
        <f t="shared" si="5"/>
        <v>2037-38</v>
      </c>
      <c r="W29" s="80" t="s">
        <v>82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107" t="s">
        <v>82</v>
      </c>
      <c r="AD29" s="122">
        <v>87.983643456225266</v>
      </c>
      <c r="AE29" s="59">
        <f t="shared" si="1"/>
        <v>0</v>
      </c>
      <c r="AF29" s="32">
        <f t="shared" si="9"/>
        <v>34.924693456225214</v>
      </c>
      <c r="AH29" s="67"/>
      <c r="AI29" s="44">
        <v>1184.6688191641585</v>
      </c>
      <c r="AJ29" s="45"/>
      <c r="AK29" s="43">
        <v>1088947847.0941885</v>
      </c>
      <c r="AL29" s="66"/>
      <c r="AM29" s="52"/>
      <c r="AO29" s="46"/>
      <c r="AP29" s="43"/>
      <c r="AQ29" s="46"/>
      <c r="AR29" s="46"/>
      <c r="AU29" s="46"/>
      <c r="AV29" s="46"/>
    </row>
    <row r="30" spans="2:48" x14ac:dyDescent="0.25">
      <c r="B30" s="28" t="s">
        <v>63</v>
      </c>
      <c r="C30" s="29"/>
      <c r="D30" s="30">
        <f t="shared" si="7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98">
        <v>1103.7608200000002</v>
      </c>
      <c r="J30" s="33">
        <f t="shared" si="10"/>
        <v>-61.303820000000314</v>
      </c>
      <c r="K30" s="34"/>
      <c r="L30" s="32">
        <f t="shared" si="8"/>
        <v>92.732386239685624</v>
      </c>
      <c r="M30" s="53"/>
      <c r="N30" s="54"/>
      <c r="O30" s="50"/>
      <c r="P30" s="32">
        <f>SUM(L30:O30)</f>
        <v>92.732386239685624</v>
      </c>
      <c r="Q30" s="37">
        <f t="shared" si="11"/>
        <v>1103.7608200000002</v>
      </c>
      <c r="R30" s="37">
        <f t="shared" si="4"/>
        <v>1011.0284337603146</v>
      </c>
      <c r="S30" s="33">
        <f t="shared" si="6"/>
        <v>31.428566239685324</v>
      </c>
      <c r="T30" s="10"/>
      <c r="V30" s="114" t="str">
        <f t="shared" si="5"/>
        <v>2038-39</v>
      </c>
      <c r="W30" s="80" t="s">
        <v>82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107" t="s">
        <v>82</v>
      </c>
      <c r="AD30" s="122">
        <v>92.732386239685624</v>
      </c>
      <c r="AE30" s="59">
        <f t="shared" si="1"/>
        <v>0</v>
      </c>
      <c r="AF30" s="32">
        <f t="shared" si="9"/>
        <v>31.428566239685324</v>
      </c>
      <c r="AH30" s="67"/>
      <c r="AI30" s="44">
        <v>1200.0978356738965</v>
      </c>
      <c r="AJ30" s="45"/>
      <c r="AK30" s="43">
        <v>1097079347.6653306</v>
      </c>
      <c r="AL30" s="66"/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7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98">
        <v>1112.5185900000001</v>
      </c>
      <c r="J31" s="33">
        <f t="shared" si="10"/>
        <v>-70.061590000000251</v>
      </c>
      <c r="K31" s="34"/>
      <c r="L31" s="32">
        <f t="shared" si="8"/>
        <v>97.473753069677372</v>
      </c>
      <c r="M31" s="53"/>
      <c r="N31" s="54"/>
      <c r="O31" s="50"/>
      <c r="P31" s="32">
        <f>SUM(L31:O31)</f>
        <v>97.473753069677372</v>
      </c>
      <c r="Q31" s="37">
        <f t="shared" si="11"/>
        <v>1112.5185900000001</v>
      </c>
      <c r="R31" s="37">
        <f t="shared" si="4"/>
        <v>1015.0448369303227</v>
      </c>
      <c r="S31" s="33">
        <f t="shared" si="6"/>
        <v>27.412163069677035</v>
      </c>
      <c r="T31" s="10"/>
      <c r="V31" s="114" t="str">
        <f t="shared" si="5"/>
        <v>2039-40</v>
      </c>
      <c r="W31" s="80" t="s">
        <v>82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107" t="s">
        <v>82</v>
      </c>
      <c r="AD31" s="122">
        <v>97.473753069677372</v>
      </c>
      <c r="AE31" s="59">
        <f t="shared" si="1"/>
        <v>0</v>
      </c>
      <c r="AF31" s="32">
        <f t="shared" si="9"/>
        <v>27.412163069677035</v>
      </c>
      <c r="AH31" s="67"/>
      <c r="AI31" s="44">
        <v>1214.5413742702863</v>
      </c>
      <c r="AJ31" s="45"/>
      <c r="AK31" s="43">
        <v>1107696432.6252508</v>
      </c>
      <c r="AL31" s="66"/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7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98">
        <v>1122.97398</v>
      </c>
      <c r="J32" s="33">
        <f t="shared" si="10"/>
        <v>-80.516980000000103</v>
      </c>
      <c r="K32" s="34"/>
      <c r="L32" s="32">
        <f t="shared" si="8"/>
        <v>102.18072579408177</v>
      </c>
      <c r="M32" s="53"/>
      <c r="N32" s="54"/>
      <c r="O32" s="50"/>
      <c r="P32" s="32">
        <f t="shared" ref="P32:P33" si="12">SUM(L32:O32)</f>
        <v>102.18072579408177</v>
      </c>
      <c r="Q32" s="37">
        <f t="shared" si="11"/>
        <v>1122.97398</v>
      </c>
      <c r="R32" s="37">
        <f t="shared" si="4"/>
        <v>1020.7932542059182</v>
      </c>
      <c r="S32" s="33">
        <f t="shared" si="6"/>
        <v>21.663745794081706</v>
      </c>
      <c r="T32" s="10"/>
      <c r="V32" s="114" t="str">
        <f t="shared" si="5"/>
        <v>2040-41</v>
      </c>
      <c r="W32" s="80" t="s">
        <v>82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107" t="s">
        <v>82</v>
      </c>
      <c r="AD32" s="122">
        <v>102.18072579408177</v>
      </c>
      <c r="AE32" s="59">
        <f t="shared" si="1"/>
        <v>0</v>
      </c>
      <c r="AF32" s="32">
        <f t="shared" si="9"/>
        <v>21.663745794081706</v>
      </c>
      <c r="AH32" s="67"/>
      <c r="AK32" s="43">
        <v>1120732951.7034068</v>
      </c>
      <c r="AL32" s="66"/>
      <c r="AM32" s="52"/>
    </row>
    <row r="33" spans="2:43" ht="15.75" thickBot="1" x14ac:dyDescent="0.3">
      <c r="B33" s="28" t="s">
        <v>81</v>
      </c>
      <c r="C33" s="29"/>
      <c r="D33" s="30">
        <f t="shared" si="7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98">
        <v>1130.08322</v>
      </c>
      <c r="J33" s="33">
        <f t="shared" si="10"/>
        <v>-87.626220000000103</v>
      </c>
      <c r="K33" s="34"/>
      <c r="L33" s="32">
        <f t="shared" si="8"/>
        <v>106.76440392371885</v>
      </c>
      <c r="M33" s="53"/>
      <c r="N33" s="54"/>
      <c r="O33" s="50"/>
      <c r="P33" s="32">
        <f t="shared" si="12"/>
        <v>106.76440392371885</v>
      </c>
      <c r="Q33" s="37">
        <f t="shared" si="11"/>
        <v>1130.08322</v>
      </c>
      <c r="R33" s="37">
        <f t="shared" si="4"/>
        <v>1023.3188160762811</v>
      </c>
      <c r="S33" s="33">
        <f t="shared" si="6"/>
        <v>19.138183923718771</v>
      </c>
      <c r="T33" s="10"/>
      <c r="U33" s="55"/>
      <c r="V33" s="115" t="str">
        <f>B33</f>
        <v>2041-42</v>
      </c>
      <c r="W33" s="108" t="s">
        <v>82</v>
      </c>
      <c r="X33" s="108" t="s">
        <v>82</v>
      </c>
      <c r="Y33" s="108" t="s">
        <v>82</v>
      </c>
      <c r="Z33" s="108" t="s">
        <v>82</v>
      </c>
      <c r="AA33" s="108" t="s">
        <v>82</v>
      </c>
      <c r="AB33" s="108" t="s">
        <v>82</v>
      </c>
      <c r="AC33" s="109" t="s">
        <v>82</v>
      </c>
      <c r="AD33" s="125">
        <v>106.76440392371885</v>
      </c>
      <c r="AE33" s="59">
        <f t="shared" si="1"/>
        <v>0</v>
      </c>
      <c r="AF33" s="32">
        <f t="shared" si="9"/>
        <v>19.138183923718771</v>
      </c>
      <c r="AH33" s="67"/>
      <c r="AK33">
        <v>1129182922.4849699</v>
      </c>
      <c r="AL33" s="64"/>
      <c r="AM33"/>
      <c r="AO33" s="40"/>
      <c r="AP33" s="43"/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8"/>
      <c r="AE34" s="59"/>
      <c r="AF34" s="55"/>
      <c r="AK34">
        <v>1139772500.761523</v>
      </c>
      <c r="AL34" s="64"/>
      <c r="AM34"/>
      <c r="AO34" s="40"/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8"/>
      <c r="AE35" s="59"/>
      <c r="AF35" s="55"/>
      <c r="AK35">
        <v>1150161799.3186374</v>
      </c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8"/>
      <c r="AE36" s="59"/>
      <c r="AF36" s="59"/>
      <c r="AK36">
        <v>1163040787.8056111</v>
      </c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8"/>
      <c r="AE37" s="59"/>
      <c r="AF37" s="59"/>
      <c r="AK37">
        <v>1171202737.8156314</v>
      </c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8"/>
      <c r="AE38" s="59"/>
      <c r="AF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8"/>
      <c r="AE39" s="59"/>
      <c r="AF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8"/>
      <c r="AE40" s="59"/>
      <c r="AF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8"/>
      <c r="AE41" s="59"/>
      <c r="AF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8"/>
      <c r="AE42" s="59"/>
      <c r="AF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8"/>
      <c r="AE43" s="59"/>
      <c r="AF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8"/>
      <c r="AE44" s="59"/>
      <c r="AF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9"/>
      <c r="AF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9"/>
      <c r="AF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9"/>
      <c r="AF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9"/>
      <c r="AF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9"/>
      <c r="AF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9"/>
      <c r="AF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9"/>
      <c r="AF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9"/>
      <c r="AF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9"/>
      <c r="AF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9"/>
      <c r="AF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9"/>
      <c r="AF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9"/>
      <c r="AF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9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55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0" orientation="landscape" r:id="rId1"/>
  <headerFooter>
    <oddHeader>&amp;L&amp;Z&amp;F</oddHeader>
    <oddFooter>&amp;R&amp;A
&amp;D&amp;T
&amp;Z&amp;F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V98"/>
  <sheetViews>
    <sheetView zoomScale="110" zoomScaleNormal="110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1.85546875" customWidth="1"/>
    <col min="24" max="25" width="9.42578125" customWidth="1"/>
    <col min="26" max="26" width="9.7109375" customWidth="1"/>
    <col min="27" max="27" width="9.5703125" customWidth="1"/>
    <col min="28" max="28" width="8.85546875" customWidth="1"/>
    <col min="29" max="29" width="8.5703125" customWidth="1"/>
    <col min="30" max="30" width="10.42578125" customWidth="1"/>
    <col min="31" max="31" width="10.28515625" customWidth="1"/>
    <col min="32" max="32" width="9.28515625" customWidth="1"/>
    <col min="33" max="34" width="14.28515625" customWidth="1"/>
    <col min="36" max="36" width="12.42578125" customWidth="1"/>
    <col min="37" max="37" width="13.42578125" customWidth="1"/>
    <col min="38" max="38" width="10.5703125" customWidth="1"/>
    <col min="39" max="39" width="12.5703125" style="64" customWidth="1"/>
    <col min="42" max="42" width="10.5703125" customWidth="1"/>
  </cols>
  <sheetData>
    <row r="1" spans="2:48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3"/>
    </row>
    <row r="2" spans="2:48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</row>
    <row r="3" spans="2:48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</row>
    <row r="4" spans="2:48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8"/>
      <c r="Y4" s="8"/>
      <c r="Z4" s="9"/>
      <c r="AA4" s="8"/>
      <c r="AB4" s="8"/>
      <c r="AE4" s="9"/>
    </row>
    <row r="5" spans="2:48" ht="19.5" thickBot="1" x14ac:dyDescent="0.35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13" t="s">
        <v>5</v>
      </c>
      <c r="AA5" s="14"/>
      <c r="AB5" s="14"/>
      <c r="AC5" s="15"/>
      <c r="AD5" s="15"/>
      <c r="AE5" s="9"/>
    </row>
    <row r="6" spans="2:48" ht="54.75" customHeight="1" thickBot="1" x14ac:dyDescent="0.3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94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Mid Demand Before DSR</v>
      </c>
      <c r="R6" s="16" t="s">
        <v>95</v>
      </c>
      <c r="S6" s="18" t="s">
        <v>18</v>
      </c>
      <c r="T6" s="10"/>
      <c r="V6" s="111" t="s">
        <v>6</v>
      </c>
      <c r="W6" s="101" t="s">
        <v>19</v>
      </c>
      <c r="X6" s="101" t="s">
        <v>21</v>
      </c>
      <c r="Y6" s="101" t="s">
        <v>85</v>
      </c>
      <c r="Z6" s="101" t="s">
        <v>22</v>
      </c>
      <c r="AA6" s="101" t="s">
        <v>23</v>
      </c>
      <c r="AB6" s="101" t="s">
        <v>24</v>
      </c>
      <c r="AC6" s="102" t="s">
        <v>14</v>
      </c>
      <c r="AD6" s="110" t="s">
        <v>101</v>
      </c>
      <c r="AE6" s="16" t="s">
        <v>25</v>
      </c>
      <c r="AF6" s="16" t="s">
        <v>26</v>
      </c>
      <c r="AG6" s="16" t="s">
        <v>155</v>
      </c>
      <c r="AI6" s="20" t="s">
        <v>73</v>
      </c>
      <c r="AJ6" s="16" t="s">
        <v>27</v>
      </c>
      <c r="AK6" s="21" t="s">
        <v>28</v>
      </c>
      <c r="AL6" s="65" t="s">
        <v>71</v>
      </c>
      <c r="AM6"/>
    </row>
    <row r="7" spans="2:48" ht="15.75" thickBot="1" x14ac:dyDescent="0.3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116" t="s">
        <v>29</v>
      </c>
      <c r="W7" s="117" t="s">
        <v>30</v>
      </c>
      <c r="X7" s="117" t="s">
        <v>32</v>
      </c>
      <c r="Y7" s="117" t="s">
        <v>33</v>
      </c>
      <c r="Z7" s="117" t="s">
        <v>34</v>
      </c>
      <c r="AA7" s="117" t="s">
        <v>35</v>
      </c>
      <c r="AB7" s="117" t="s">
        <v>36</v>
      </c>
      <c r="AC7" s="118" t="s">
        <v>37</v>
      </c>
      <c r="AD7" s="119" t="s">
        <v>83</v>
      </c>
      <c r="AE7" s="27"/>
      <c r="AF7" s="27"/>
      <c r="AL7" s="64"/>
      <c r="AM7"/>
      <c r="AO7" t="s">
        <v>38</v>
      </c>
      <c r="AP7" t="s">
        <v>39</v>
      </c>
    </row>
    <row r="8" spans="2:48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33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112" t="e">
        <f>#REF!</f>
        <v>#REF!</v>
      </c>
      <c r="W8" s="99"/>
      <c r="X8" s="99"/>
      <c r="Y8" s="99"/>
      <c r="Z8" s="100"/>
      <c r="AA8" s="99"/>
      <c r="AB8" s="99"/>
      <c r="AC8" s="103"/>
      <c r="AD8" s="120"/>
      <c r="AE8" s="192">
        <f t="shared" ref="AE8:AE33" si="1">SUM(W8:AC8)</f>
        <v>0</v>
      </c>
      <c r="AF8" s="37">
        <f>(H8+AE8)-I8</f>
        <v>-37.987134765585211</v>
      </c>
      <c r="AL8" s="64"/>
      <c r="AM8"/>
      <c r="AO8" t="s">
        <v>41</v>
      </c>
      <c r="AP8" s="39">
        <v>1229.76</v>
      </c>
    </row>
    <row r="9" spans="2:48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113" t="str">
        <f>B8</f>
        <v>2015-16</v>
      </c>
      <c r="W9" s="74"/>
      <c r="X9" s="74"/>
      <c r="Y9" s="74"/>
      <c r="Z9" s="76"/>
      <c r="AA9" s="74"/>
      <c r="AB9" s="74"/>
      <c r="AC9" s="104"/>
      <c r="AD9" s="121"/>
      <c r="AE9" s="192">
        <f t="shared" si="1"/>
        <v>0</v>
      </c>
      <c r="AF9" s="37">
        <f>(H9+AE9)-I9</f>
        <v>11.37245977232817</v>
      </c>
      <c r="AL9" s="64"/>
      <c r="AM9"/>
      <c r="AO9" s="40">
        <v>43460</v>
      </c>
      <c r="AP9">
        <v>978.27978515625</v>
      </c>
    </row>
    <row r="10" spans="2:48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>I10</f>
        <v>1009.5326608132258</v>
      </c>
      <c r="R10" s="37">
        <f t="shared" ref="R10:R33" si="4">Q10-AD10</f>
        <v>1007.6380883417644</v>
      </c>
      <c r="S10" s="33">
        <f>H10-R10</f>
        <v>-15.181088341764394</v>
      </c>
      <c r="T10" s="10"/>
      <c r="V10" s="113" t="str">
        <f t="shared" ref="V10:V32" si="5">B10</f>
        <v>2018-19</v>
      </c>
      <c r="W10" s="77"/>
      <c r="X10" s="77"/>
      <c r="Y10" s="77"/>
      <c r="Z10" s="77"/>
      <c r="AA10" s="78"/>
      <c r="AB10" s="78"/>
      <c r="AC10" s="105"/>
      <c r="AD10" s="122">
        <v>1.8945724714614274</v>
      </c>
      <c r="AE10" s="41">
        <f t="shared" si="1"/>
        <v>0</v>
      </c>
      <c r="AF10" s="42">
        <f>(H10+AE10)-I10</f>
        <v>-17.075660813225795</v>
      </c>
      <c r="AH10" s="43"/>
      <c r="AI10" s="44"/>
      <c r="AJ10" s="45"/>
      <c r="AK10" s="43"/>
      <c r="AL10" s="64"/>
      <c r="AM10"/>
      <c r="AO10" s="46">
        <v>43825</v>
      </c>
      <c r="AP10" s="43">
        <v>1016.7286491394</v>
      </c>
      <c r="AQ10" s="46">
        <f>1008.2798538208+1.23</f>
        <v>1009.5098538208</v>
      </c>
      <c r="AR10" s="46">
        <f>AQ10-I10</f>
        <v>-2.2806992425785211E-2</v>
      </c>
      <c r="AT10">
        <v>1007.59009361267</v>
      </c>
      <c r="AU10" s="46">
        <f>AD10</f>
        <v>1.8945724714614274</v>
      </c>
      <c r="AV10" s="46">
        <f>AT10+AU10</f>
        <v>1009.4846660841314</v>
      </c>
    </row>
    <row r="11" spans="2:48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>I11</f>
        <v>1022.7918912094859</v>
      </c>
      <c r="R11" s="37">
        <f t="shared" si="4"/>
        <v>1016.7329343189342</v>
      </c>
      <c r="S11" s="33">
        <f>H11-R11</f>
        <v>25.224065681065667</v>
      </c>
      <c r="T11" s="10"/>
      <c r="V11" s="114" t="str">
        <f t="shared" si="5"/>
        <v>2019-20</v>
      </c>
      <c r="W11" s="77"/>
      <c r="X11" s="77"/>
      <c r="Y11" s="77"/>
      <c r="Z11" s="77"/>
      <c r="AA11" s="77"/>
      <c r="AB11" s="77"/>
      <c r="AC11" s="106"/>
      <c r="AD11" s="122">
        <v>6.0589568905517144</v>
      </c>
      <c r="AE11" s="41">
        <f t="shared" si="1"/>
        <v>0</v>
      </c>
      <c r="AF11" s="42">
        <f>(H11+AE11)-I11</f>
        <v>19.165108790513955</v>
      </c>
      <c r="AH11" s="43"/>
      <c r="AI11" s="44"/>
      <c r="AJ11" s="45"/>
      <c r="AK11" s="43"/>
      <c r="AL11" s="64"/>
      <c r="AM11"/>
      <c r="AO11" s="46">
        <v>44191</v>
      </c>
      <c r="AP11" s="43">
        <v>1026.0346183776901</v>
      </c>
      <c r="AQ11" s="46">
        <v>1022.76654434204</v>
      </c>
      <c r="AR11" s="46">
        <f>AQ11-I11</f>
        <v>-2.534686744593273E-2</v>
      </c>
      <c r="AT11">
        <v>1016.63834762573</v>
      </c>
      <c r="AU11" s="46">
        <f>AD11</f>
        <v>6.0589568905517144</v>
      </c>
      <c r="AV11" s="46">
        <f t="shared" ref="AV11:AV28" si="6">AT11+AU11</f>
        <v>1022.6973045162817</v>
      </c>
    </row>
    <row r="12" spans="2:48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AD13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>I12</f>
        <v>957.00229999999999</v>
      </c>
      <c r="R12" s="37">
        <f t="shared" si="4"/>
        <v>957.00229999999999</v>
      </c>
      <c r="S12" s="33">
        <f t="shared" ref="S12:S33" si="7">H12+P12-Q12</f>
        <v>-7.5889205675269977</v>
      </c>
      <c r="T12" s="10"/>
      <c r="V12" s="114" t="str">
        <f t="shared" si="5"/>
        <v>2020-21</v>
      </c>
      <c r="W12" s="80"/>
      <c r="X12" s="80"/>
      <c r="Y12" s="80"/>
      <c r="Z12" s="80"/>
      <c r="AA12" s="80"/>
      <c r="AB12" s="80"/>
      <c r="AC12" s="107"/>
      <c r="AD12" s="123">
        <v>0</v>
      </c>
      <c r="AE12" s="59">
        <f t="shared" si="1"/>
        <v>0</v>
      </c>
      <c r="AF12" s="32">
        <f>AE12+H12-I12</f>
        <v>35.454700000000003</v>
      </c>
      <c r="AH12" s="67"/>
      <c r="AI12" s="44">
        <v>1035.500620567527</v>
      </c>
      <c r="AJ12" s="45">
        <f>I12-AI12</f>
        <v>-78.498320567527003</v>
      </c>
      <c r="AK12" s="43">
        <f t="shared" ref="AK12:AK32" si="8">J12</f>
        <v>35.454700000000003</v>
      </c>
      <c r="AL12" s="66">
        <f t="shared" ref="AL12:AL32" si="9">AK12-G12</f>
        <v>35.454700000000003</v>
      </c>
      <c r="AM12" s="52"/>
      <c r="AO12" s="46">
        <v>44556</v>
      </c>
      <c r="AP12" s="43">
        <v>1034.9512290954599</v>
      </c>
      <c r="AQ12" s="46">
        <v>1036.2975330352799</v>
      </c>
      <c r="AR12" s="46">
        <f>AQ12-I12</f>
        <v>79.295233035279921</v>
      </c>
      <c r="AT12">
        <v>1025.8805351257299</v>
      </c>
      <c r="AU12" s="46">
        <f t="shared" ref="AU12:AU29" si="10">AD13</f>
        <v>0</v>
      </c>
      <c r="AV12" s="46">
        <f t="shared" si="6"/>
        <v>1025.8805351257299</v>
      </c>
    </row>
    <row r="13" spans="2:48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AD14</f>
        <v>2.0731147302717452</v>
      </c>
      <c r="M13" s="50"/>
      <c r="N13" s="51">
        <v>-3.1532888603364881</v>
      </c>
      <c r="O13" s="50"/>
      <c r="P13" s="32">
        <f t="shared" si="3"/>
        <v>-1.0801741300647429</v>
      </c>
      <c r="Q13" s="37">
        <f>I13</f>
        <v>957.00229999999999</v>
      </c>
      <c r="R13" s="37">
        <f t="shared" si="4"/>
        <v>957.00229999999999</v>
      </c>
      <c r="S13" s="33">
        <f t="shared" si="7"/>
        <v>84.374525869935155</v>
      </c>
      <c r="T13" s="10"/>
      <c r="V13" s="114" t="str">
        <f t="shared" si="5"/>
        <v>2021-22</v>
      </c>
      <c r="W13" s="80"/>
      <c r="X13" s="80"/>
      <c r="Y13" s="80"/>
      <c r="Z13" s="80"/>
      <c r="AA13" s="80"/>
      <c r="AB13" s="80"/>
      <c r="AC13" s="107"/>
      <c r="AD13" s="124">
        <v>0</v>
      </c>
      <c r="AE13" s="59">
        <f t="shared" si="1"/>
        <v>0</v>
      </c>
      <c r="AF13" s="32">
        <f>AE13+H13-I13</f>
        <v>85.454699999999889</v>
      </c>
      <c r="AH13" s="67"/>
      <c r="AI13" s="44">
        <v>1045.6102888603364</v>
      </c>
      <c r="AJ13" s="45">
        <f>I13-AI13</f>
        <v>-88.607988860336377</v>
      </c>
      <c r="AK13" s="43">
        <f t="shared" si="8"/>
        <v>85.454699999999889</v>
      </c>
      <c r="AL13" s="66">
        <f t="shared" si="9"/>
        <v>16.454699999999889</v>
      </c>
      <c r="AM13" s="52"/>
      <c r="AO13" s="46">
        <v>44921</v>
      </c>
      <c r="AP13" s="43">
        <v>1039.3834762573199</v>
      </c>
      <c r="AQ13" s="46">
        <v>1049.18494415283</v>
      </c>
      <c r="AR13" s="46">
        <f>AQ13-I13</f>
        <v>92.182644152829994</v>
      </c>
      <c r="AT13">
        <v>1034.72814559937</v>
      </c>
      <c r="AU13" s="46">
        <f t="shared" si="10"/>
        <v>2.0731147302717452</v>
      </c>
      <c r="AV13" s="46">
        <f t="shared" si="6"/>
        <v>1036.8012603296418</v>
      </c>
    </row>
    <row r="14" spans="2:48" x14ac:dyDescent="0.25">
      <c r="B14" s="28" t="s">
        <v>47</v>
      </c>
      <c r="C14" s="29"/>
      <c r="D14" s="30">
        <f t="shared" ref="D14:D33" si="11">D$10-19</f>
        <v>523.9</v>
      </c>
      <c r="E14" s="30">
        <v>447.05700000000002</v>
      </c>
      <c r="F14" s="31">
        <v>2.5</v>
      </c>
      <c r="G14" s="48">
        <v>69</v>
      </c>
      <c r="H14" s="32">
        <f>SUM(D14:G14)</f>
        <v>1042.4569999999999</v>
      </c>
      <c r="I14" s="98">
        <v>966.56050000000005</v>
      </c>
      <c r="J14" s="33">
        <f t="shared" si="0"/>
        <v>75.896499999999833</v>
      </c>
      <c r="K14" s="34"/>
      <c r="L14" s="32">
        <f t="shared" ref="L14:L33" si="12">AD14</f>
        <v>2.0731147302717452</v>
      </c>
      <c r="M14" s="53"/>
      <c r="N14" s="54"/>
      <c r="O14" s="50"/>
      <c r="P14" s="32">
        <f t="shared" si="3"/>
        <v>2.0731147302717452</v>
      </c>
      <c r="Q14" s="37">
        <f>I14</f>
        <v>966.56050000000005</v>
      </c>
      <c r="R14" s="37">
        <f t="shared" si="4"/>
        <v>964.48738526972829</v>
      </c>
      <c r="S14" s="33">
        <f t="shared" si="7"/>
        <v>77.969614730271587</v>
      </c>
      <c r="T14" s="10"/>
      <c r="V14" s="114" t="str">
        <f t="shared" si="5"/>
        <v>2022-23</v>
      </c>
      <c r="W14" s="80" t="s">
        <v>82</v>
      </c>
      <c r="X14" s="80" t="s">
        <v>82</v>
      </c>
      <c r="Y14" s="80" t="s">
        <v>82</v>
      </c>
      <c r="Z14" s="80" t="s">
        <v>82</v>
      </c>
      <c r="AA14" s="80" t="s">
        <v>82</v>
      </c>
      <c r="AB14" s="80" t="s">
        <v>82</v>
      </c>
      <c r="AC14" s="107" t="s">
        <v>82</v>
      </c>
      <c r="AD14" s="122">
        <v>2.0731147302717452</v>
      </c>
      <c r="AE14" s="59">
        <f t="shared" si="1"/>
        <v>0</v>
      </c>
      <c r="AF14" s="32">
        <f t="shared" ref="AF14:AF33" si="13">H14+AD14-I14</f>
        <v>77.969614730271587</v>
      </c>
      <c r="AG14" s="43">
        <f>Q14-AD14</f>
        <v>964.48738526972829</v>
      </c>
      <c r="AH14" s="67"/>
      <c r="AI14" s="44">
        <v>1053.5407413432795</v>
      </c>
      <c r="AJ14" s="45"/>
      <c r="AK14" s="43">
        <f t="shared" si="8"/>
        <v>75.896499999999833</v>
      </c>
      <c r="AL14" s="66">
        <f t="shared" si="9"/>
        <v>6.8964999999998327</v>
      </c>
      <c r="AM14" s="52"/>
      <c r="AO14" s="46">
        <v>45286</v>
      </c>
      <c r="AP14" s="43">
        <v>1051.6916141510001</v>
      </c>
      <c r="AQ14" s="46">
        <v>1057.5920944213899</v>
      </c>
      <c r="AR14" s="46"/>
      <c r="AT14">
        <v>1039.08507537842</v>
      </c>
      <c r="AU14" s="46">
        <f t="shared" si="10"/>
        <v>4.3926506208157132</v>
      </c>
      <c r="AV14" s="46">
        <f t="shared" si="6"/>
        <v>1043.4777259992356</v>
      </c>
    </row>
    <row r="15" spans="2:48" x14ac:dyDescent="0.25">
      <c r="B15" s="28" t="s">
        <v>48</v>
      </c>
      <c r="C15" s="29"/>
      <c r="D15" s="30">
        <f t="shared" si="11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98">
        <v>976.51042000000007</v>
      </c>
      <c r="J15" s="33">
        <f t="shared" si="0"/>
        <v>65.946579999999813</v>
      </c>
      <c r="K15" s="34"/>
      <c r="L15" s="32">
        <f t="shared" si="12"/>
        <v>4.3926506208157132</v>
      </c>
      <c r="M15" s="53"/>
      <c r="N15" s="54"/>
      <c r="O15" s="50"/>
      <c r="P15" s="32">
        <f t="shared" si="3"/>
        <v>4.3926506208157132</v>
      </c>
      <c r="Q15" s="37">
        <f t="shared" ref="Q15:Q33" si="14">I15</f>
        <v>976.51042000000007</v>
      </c>
      <c r="R15" s="37">
        <f t="shared" si="4"/>
        <v>972.11776937918432</v>
      </c>
      <c r="S15" s="33">
        <f t="shared" si="7"/>
        <v>70.339230620815442</v>
      </c>
      <c r="T15" s="10"/>
      <c r="V15" s="114" t="str">
        <f t="shared" si="5"/>
        <v>2023-24</v>
      </c>
      <c r="W15" s="80" t="s">
        <v>82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107" t="s">
        <v>82</v>
      </c>
      <c r="AD15" s="122">
        <v>4.3926506208157132</v>
      </c>
      <c r="AE15" s="59">
        <f t="shared" si="1"/>
        <v>0</v>
      </c>
      <c r="AF15" s="32">
        <f t="shared" si="13"/>
        <v>70.339230620815442</v>
      </c>
      <c r="AG15" s="43">
        <f t="shared" ref="AG15:AG33" si="15">Q15-AD15</f>
        <v>972.11776937918432</v>
      </c>
      <c r="AH15" s="67"/>
      <c r="AI15" s="44">
        <v>1062.70947981108</v>
      </c>
      <c r="AJ15" s="45">
        <v>-100.91264584635496</v>
      </c>
      <c r="AK15" s="43">
        <f t="shared" si="8"/>
        <v>65.946579999999813</v>
      </c>
      <c r="AL15" s="66">
        <f t="shared" si="9"/>
        <v>-3.0534200000001874</v>
      </c>
      <c r="AM15" s="52"/>
      <c r="AO15" s="46">
        <v>45652</v>
      </c>
      <c r="AP15" s="43">
        <v>1061.69411087036</v>
      </c>
      <c r="AQ15" s="46">
        <v>1073.9486598968499</v>
      </c>
      <c r="AR15" s="46">
        <v>112.15182593212489</v>
      </c>
      <c r="AT15">
        <v>1051.30883216858</v>
      </c>
      <c r="AU15" s="46">
        <f t="shared" si="10"/>
        <v>6.674823869128252</v>
      </c>
      <c r="AV15" s="46">
        <f t="shared" si="6"/>
        <v>1057.9836560377082</v>
      </c>
    </row>
    <row r="16" spans="2:48" x14ac:dyDescent="0.25">
      <c r="B16" s="28" t="s">
        <v>49</v>
      </c>
      <c r="C16" s="29"/>
      <c r="D16" s="30">
        <f t="shared" si="11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98">
        <v>987.94945999999993</v>
      </c>
      <c r="J16" s="33">
        <f t="shared" si="0"/>
        <v>54.507539999999949</v>
      </c>
      <c r="K16" s="34"/>
      <c r="L16" s="32">
        <f t="shared" si="12"/>
        <v>6.674823869128252</v>
      </c>
      <c r="M16" s="53"/>
      <c r="N16" s="54"/>
      <c r="O16" s="50"/>
      <c r="P16" s="32">
        <f t="shared" si="3"/>
        <v>6.674823869128252</v>
      </c>
      <c r="Q16" s="37">
        <f t="shared" si="14"/>
        <v>987.94945999999993</v>
      </c>
      <c r="R16" s="37">
        <f t="shared" si="4"/>
        <v>981.27463613087173</v>
      </c>
      <c r="S16" s="33">
        <f t="shared" si="7"/>
        <v>61.182363869128153</v>
      </c>
      <c r="T16" s="10"/>
      <c r="V16" s="114" t="str">
        <f t="shared" si="5"/>
        <v>2024-25</v>
      </c>
      <c r="W16" s="80" t="s">
        <v>82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107" t="s">
        <v>82</v>
      </c>
      <c r="AD16" s="122">
        <v>6.674823869128252</v>
      </c>
      <c r="AE16" s="59">
        <f t="shared" si="1"/>
        <v>0</v>
      </c>
      <c r="AF16" s="32">
        <f t="shared" si="13"/>
        <v>61.182363869128153</v>
      </c>
      <c r="AG16" s="43">
        <f t="shared" si="15"/>
        <v>981.27463613087173</v>
      </c>
      <c r="AH16" s="67"/>
      <c r="AI16" s="44">
        <v>1069.875394233997</v>
      </c>
      <c r="AJ16" s="45">
        <v>-989.24322819872191</v>
      </c>
      <c r="AK16" s="43">
        <f t="shared" si="8"/>
        <v>54.507539999999949</v>
      </c>
      <c r="AL16" s="66">
        <f t="shared" si="9"/>
        <v>-14.492460000000051</v>
      </c>
      <c r="AM16" s="52"/>
      <c r="AO16" s="46">
        <v>46017</v>
      </c>
      <c r="AP16" s="43">
        <v>1068.4566287994401</v>
      </c>
      <c r="AQ16" s="46">
        <v>1088.2765007019</v>
      </c>
      <c r="AR16" s="46">
        <v>1007.6443346666249</v>
      </c>
      <c r="AT16">
        <v>1061.2161140441899</v>
      </c>
      <c r="AU16" s="46">
        <f t="shared" si="10"/>
        <v>8.7956641372372921</v>
      </c>
      <c r="AV16" s="46">
        <f t="shared" si="6"/>
        <v>1070.0117781814272</v>
      </c>
    </row>
    <row r="17" spans="2:48" x14ac:dyDescent="0.25">
      <c r="B17" s="28" t="s">
        <v>50</v>
      </c>
      <c r="C17" s="29"/>
      <c r="D17" s="30">
        <f t="shared" si="11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98">
        <v>995.33915999999999</v>
      </c>
      <c r="J17" s="33">
        <f t="shared" si="0"/>
        <v>47.117839999999887</v>
      </c>
      <c r="K17" s="34"/>
      <c r="L17" s="32">
        <f t="shared" si="12"/>
        <v>8.7956641372372921</v>
      </c>
      <c r="M17" s="53"/>
      <c r="N17" s="54"/>
      <c r="O17" s="50"/>
      <c r="P17" s="32">
        <f t="shared" si="3"/>
        <v>8.7956641372372921</v>
      </c>
      <c r="Q17" s="37">
        <f t="shared" si="14"/>
        <v>995.33915999999999</v>
      </c>
      <c r="R17" s="37">
        <f t="shared" si="4"/>
        <v>986.54349586276271</v>
      </c>
      <c r="S17" s="33">
        <f t="shared" si="7"/>
        <v>55.913504137237169</v>
      </c>
      <c r="T17" s="10"/>
      <c r="V17" s="114" t="str">
        <f t="shared" si="5"/>
        <v>2025-26</v>
      </c>
      <c r="W17" s="80" t="s">
        <v>82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107" t="s">
        <v>82</v>
      </c>
      <c r="AD17" s="122">
        <v>8.7956641372372921</v>
      </c>
      <c r="AE17" s="59">
        <f t="shared" si="1"/>
        <v>0</v>
      </c>
      <c r="AF17" s="32">
        <f t="shared" si="13"/>
        <v>55.913504137237169</v>
      </c>
      <c r="AG17" s="43">
        <f t="shared" si="15"/>
        <v>986.54349586276271</v>
      </c>
      <c r="AH17" s="67"/>
      <c r="AI17" s="44">
        <v>1074.046576766304</v>
      </c>
      <c r="AJ17" s="45">
        <v>-1074.046576766304</v>
      </c>
      <c r="AK17" s="43">
        <f t="shared" si="8"/>
        <v>47.117839999999887</v>
      </c>
      <c r="AL17" s="66">
        <f t="shared" si="9"/>
        <v>-21.882160000000113</v>
      </c>
      <c r="AM17" s="52"/>
      <c r="AO17" s="46">
        <v>46382</v>
      </c>
      <c r="AP17" s="43">
        <v>1077.6138305664099</v>
      </c>
      <c r="AQ17" s="46">
        <v>1099.434425354</v>
      </c>
      <c r="AR17" s="46">
        <v>1099.434425354</v>
      </c>
      <c r="AT17">
        <v>1067.8715152740499</v>
      </c>
      <c r="AU17" s="46">
        <f t="shared" si="10"/>
        <v>10.923092903751758</v>
      </c>
      <c r="AV17" s="46">
        <f t="shared" si="6"/>
        <v>1078.7946081778016</v>
      </c>
    </row>
    <row r="18" spans="2:48" x14ac:dyDescent="0.25">
      <c r="B18" s="28" t="s">
        <v>51</v>
      </c>
      <c r="C18" s="29"/>
      <c r="D18" s="30">
        <f t="shared" si="11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98">
        <v>1003.3576700000001</v>
      </c>
      <c r="J18" s="33">
        <f t="shared" si="0"/>
        <v>39.099329999999782</v>
      </c>
      <c r="K18" s="34"/>
      <c r="L18" s="32">
        <f t="shared" si="12"/>
        <v>10.923092903751758</v>
      </c>
      <c r="M18" s="53"/>
      <c r="N18" s="54"/>
      <c r="O18" s="50"/>
      <c r="P18" s="32">
        <f t="shared" si="3"/>
        <v>10.923092903751758</v>
      </c>
      <c r="Q18" s="37">
        <f t="shared" si="14"/>
        <v>1003.3576700000001</v>
      </c>
      <c r="R18" s="37">
        <f t="shared" si="4"/>
        <v>992.43457709624829</v>
      </c>
      <c r="S18" s="33">
        <f t="shared" si="7"/>
        <v>50.022422903751476</v>
      </c>
      <c r="T18" s="10"/>
      <c r="V18" s="114" t="str">
        <f t="shared" si="5"/>
        <v>2026-27</v>
      </c>
      <c r="W18" s="80" t="s">
        <v>82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107" t="s">
        <v>82</v>
      </c>
      <c r="AD18" s="122">
        <v>10.923092903751758</v>
      </c>
      <c r="AE18" s="59">
        <f t="shared" si="1"/>
        <v>0</v>
      </c>
      <c r="AF18" s="32">
        <f t="shared" si="13"/>
        <v>50.022422903751476</v>
      </c>
      <c r="AG18" s="43">
        <f t="shared" si="15"/>
        <v>992.43457709624829</v>
      </c>
      <c r="AH18" s="67"/>
      <c r="AI18" s="44">
        <v>1081.3726145732787</v>
      </c>
      <c r="AJ18" s="45">
        <v>-1081.3726145732787</v>
      </c>
      <c r="AK18" s="43">
        <f t="shared" si="8"/>
        <v>39.099329999999782</v>
      </c>
      <c r="AL18" s="66">
        <f t="shared" si="9"/>
        <v>-29.900670000000218</v>
      </c>
      <c r="AM18" s="52"/>
      <c r="AO18" s="46">
        <v>46747</v>
      </c>
      <c r="AP18" s="43">
        <v>1083.91345024109</v>
      </c>
      <c r="AQ18" s="46">
        <v>1112.8700542449999</v>
      </c>
      <c r="AR18" s="46">
        <v>1112.8700542449999</v>
      </c>
      <c r="AT18">
        <v>1076.90893554688</v>
      </c>
      <c r="AU18" s="46">
        <f t="shared" si="10"/>
        <v>13.111735189562115</v>
      </c>
      <c r="AV18" s="46">
        <f t="shared" si="6"/>
        <v>1090.0206707364421</v>
      </c>
    </row>
    <row r="19" spans="2:48" x14ac:dyDescent="0.25">
      <c r="B19" s="28" t="s">
        <v>52</v>
      </c>
      <c r="C19" s="29"/>
      <c r="D19" s="30">
        <f t="shared" si="11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98">
        <v>1011.2176899999998</v>
      </c>
      <c r="J19" s="33">
        <f t="shared" si="0"/>
        <v>31.239310000000046</v>
      </c>
      <c r="K19" s="34"/>
      <c r="L19" s="32">
        <f t="shared" si="12"/>
        <v>13.111735189562115</v>
      </c>
      <c r="M19" s="53"/>
      <c r="N19" s="54"/>
      <c r="O19" s="50"/>
      <c r="P19" s="32">
        <f t="shared" si="3"/>
        <v>13.111735189562115</v>
      </c>
      <c r="Q19" s="37">
        <f t="shared" si="14"/>
        <v>1011.2176899999998</v>
      </c>
      <c r="R19" s="37">
        <f t="shared" si="4"/>
        <v>998.10595481043777</v>
      </c>
      <c r="S19" s="33">
        <f t="shared" si="7"/>
        <v>44.351045189562115</v>
      </c>
      <c r="T19" s="10"/>
      <c r="V19" s="114" t="str">
        <f t="shared" si="5"/>
        <v>2027-28</v>
      </c>
      <c r="W19" s="80" t="s">
        <v>82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107" t="s">
        <v>82</v>
      </c>
      <c r="AD19" s="122">
        <v>13.111735189562115</v>
      </c>
      <c r="AE19" s="59">
        <f t="shared" si="1"/>
        <v>0</v>
      </c>
      <c r="AF19" s="32">
        <f t="shared" si="13"/>
        <v>44.351045189562115</v>
      </c>
      <c r="AG19" s="43">
        <f t="shared" si="15"/>
        <v>998.10595481043777</v>
      </c>
      <c r="AH19" s="67"/>
      <c r="AI19" s="44">
        <v>1088.9478443321157</v>
      </c>
      <c r="AJ19" s="45">
        <v>-1088.9478443321157</v>
      </c>
      <c r="AK19" s="43">
        <f t="shared" si="8"/>
        <v>31.239310000000046</v>
      </c>
      <c r="AL19" s="66">
        <f t="shared" si="9"/>
        <v>-37.760689999999954</v>
      </c>
      <c r="AM19" s="52"/>
      <c r="AO19" s="46">
        <v>47113</v>
      </c>
      <c r="AP19" s="43">
        <v>1092.7315940856899</v>
      </c>
      <c r="AQ19" s="46">
        <v>1123.43689346313</v>
      </c>
      <c r="AR19" s="46">
        <v>1123.43689346313</v>
      </c>
      <c r="AT19">
        <v>1083.0756511688201</v>
      </c>
      <c r="AU19" s="46">
        <f t="shared" si="10"/>
        <v>15.365711604962861</v>
      </c>
      <c r="AV19" s="46">
        <f t="shared" si="6"/>
        <v>1098.4413627737829</v>
      </c>
    </row>
    <row r="20" spans="2:48" x14ac:dyDescent="0.25">
      <c r="B20" s="28" t="s">
        <v>53</v>
      </c>
      <c r="C20" s="29"/>
      <c r="D20" s="30">
        <f t="shared" si="11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98">
        <v>1020.75771</v>
      </c>
      <c r="J20" s="33">
        <f t="shared" si="0"/>
        <v>21.699289999999905</v>
      </c>
      <c r="K20" s="34"/>
      <c r="L20" s="32">
        <f t="shared" si="12"/>
        <v>15.365711604962861</v>
      </c>
      <c r="M20" s="53"/>
      <c r="N20" s="54"/>
      <c r="O20" s="50"/>
      <c r="P20" s="32">
        <f t="shared" si="3"/>
        <v>15.365711604962861</v>
      </c>
      <c r="Q20" s="37">
        <f t="shared" si="14"/>
        <v>1020.75771</v>
      </c>
      <c r="R20" s="37">
        <f t="shared" si="4"/>
        <v>1005.3919983950371</v>
      </c>
      <c r="S20" s="33">
        <f t="shared" si="7"/>
        <v>37.065001604962731</v>
      </c>
      <c r="T20" s="10"/>
      <c r="V20" s="114" t="str">
        <f t="shared" si="5"/>
        <v>2028-29</v>
      </c>
      <c r="W20" s="80" t="s">
        <v>82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107" t="s">
        <v>82</v>
      </c>
      <c r="AD20" s="122">
        <v>15.365711604962861</v>
      </c>
      <c r="AE20" s="59">
        <f t="shared" si="1"/>
        <v>0</v>
      </c>
      <c r="AF20" s="32">
        <f t="shared" si="13"/>
        <v>37.065001604962731</v>
      </c>
      <c r="AG20" s="43">
        <f t="shared" si="15"/>
        <v>1005.3919983950371</v>
      </c>
      <c r="AH20" s="67"/>
      <c r="AI20" s="44">
        <v>1096.2966233757172</v>
      </c>
      <c r="AJ20" s="45">
        <v>-1096.2966233757172</v>
      </c>
      <c r="AK20" s="43">
        <f t="shared" si="8"/>
        <v>21.699289999999905</v>
      </c>
      <c r="AL20" s="66">
        <f t="shared" si="9"/>
        <v>-47.300710000000095</v>
      </c>
      <c r="AM20" s="52"/>
      <c r="AO20" s="46">
        <v>47478</v>
      </c>
      <c r="AP20" s="43">
        <v>1106.82481765747</v>
      </c>
      <c r="AQ20" s="46">
        <v>1136.34985542297</v>
      </c>
      <c r="AR20" s="46">
        <v>1136.34985542297</v>
      </c>
      <c r="AT20">
        <v>1091.7492027282699</v>
      </c>
      <c r="AU20" s="46">
        <f t="shared" si="10"/>
        <v>17.744082096633413</v>
      </c>
      <c r="AV20" s="46">
        <f t="shared" si="6"/>
        <v>1109.4932848249034</v>
      </c>
    </row>
    <row r="21" spans="2:48" x14ac:dyDescent="0.25">
      <c r="B21" s="28" t="s">
        <v>54</v>
      </c>
      <c r="C21" s="29"/>
      <c r="D21" s="30">
        <f t="shared" si="11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98">
        <v>1027.3149399999998</v>
      </c>
      <c r="J21" s="33">
        <f t="shared" si="0"/>
        <v>15.142060000000129</v>
      </c>
      <c r="K21" s="34"/>
      <c r="L21" s="32">
        <f t="shared" si="12"/>
        <v>17.744082096633413</v>
      </c>
      <c r="M21" s="53"/>
      <c r="N21" s="54"/>
      <c r="O21" s="50"/>
      <c r="P21" s="32">
        <f t="shared" si="3"/>
        <v>17.744082096633413</v>
      </c>
      <c r="Q21" s="37">
        <f t="shared" si="14"/>
        <v>1027.3149399999998</v>
      </c>
      <c r="R21" s="37">
        <f t="shared" si="4"/>
        <v>1009.5708579033663</v>
      </c>
      <c r="S21" s="33">
        <f t="shared" si="7"/>
        <v>32.886142096633648</v>
      </c>
      <c r="T21" s="10"/>
      <c r="V21" s="114" t="str">
        <f t="shared" si="5"/>
        <v>2029-30</v>
      </c>
      <c r="W21" s="80" t="s">
        <v>82</v>
      </c>
      <c r="X21" s="80" t="s">
        <v>82</v>
      </c>
      <c r="Y21" s="80" t="s">
        <v>82</v>
      </c>
      <c r="Z21" s="80" t="s">
        <v>82</v>
      </c>
      <c r="AA21" s="80" t="s">
        <v>82</v>
      </c>
      <c r="AB21" s="80" t="s">
        <v>82</v>
      </c>
      <c r="AC21" s="107" t="s">
        <v>82</v>
      </c>
      <c r="AD21" s="122">
        <v>17.744082096633413</v>
      </c>
      <c r="AE21" s="59">
        <f t="shared" si="1"/>
        <v>0</v>
      </c>
      <c r="AF21" s="32">
        <f t="shared" si="13"/>
        <v>32.886142096633648</v>
      </c>
      <c r="AG21" s="43">
        <f t="shared" si="15"/>
        <v>1009.5708579033663</v>
      </c>
      <c r="AH21" s="67"/>
      <c r="AI21" s="44">
        <v>1102.2936430343566</v>
      </c>
      <c r="AJ21" s="45">
        <v>-1102.2936430343566</v>
      </c>
      <c r="AK21" s="43">
        <f t="shared" si="8"/>
        <v>15.142060000000129</v>
      </c>
      <c r="AL21" s="66">
        <f t="shared" si="9"/>
        <v>-53.857939999999871</v>
      </c>
      <c r="AM21" s="52"/>
      <c r="AO21" s="46">
        <v>47843</v>
      </c>
      <c r="AP21" s="43">
        <v>1120.82166290283</v>
      </c>
      <c r="AQ21" s="46">
        <v>1154.4859790802</v>
      </c>
      <c r="AR21" s="46">
        <v>1154.4859790802</v>
      </c>
      <c r="AT21">
        <v>1105.69041824341</v>
      </c>
      <c r="AU21" s="46">
        <f t="shared" si="10"/>
        <v>20.232058803668238</v>
      </c>
      <c r="AV21" s="46">
        <f t="shared" si="6"/>
        <v>1125.9224770470782</v>
      </c>
    </row>
    <row r="22" spans="2:48" x14ac:dyDescent="0.25">
      <c r="B22" s="28" t="s">
        <v>55</v>
      </c>
      <c r="C22" s="29"/>
      <c r="D22" s="30">
        <f t="shared" si="11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98">
        <v>1035.65245</v>
      </c>
      <c r="J22" s="33">
        <f t="shared" si="0"/>
        <v>6.8045499999998356</v>
      </c>
      <c r="K22" s="34"/>
      <c r="L22" s="32">
        <f t="shared" si="12"/>
        <v>20.232058803668238</v>
      </c>
      <c r="M22" s="53"/>
      <c r="N22" s="54"/>
      <c r="O22" s="50"/>
      <c r="P22" s="32">
        <f t="shared" si="3"/>
        <v>20.232058803668238</v>
      </c>
      <c r="Q22" s="37">
        <f t="shared" si="14"/>
        <v>1035.65245</v>
      </c>
      <c r="R22" s="37">
        <f t="shared" si="4"/>
        <v>1015.4203911963318</v>
      </c>
      <c r="S22" s="33">
        <f t="shared" si="7"/>
        <v>27.036608803668059</v>
      </c>
      <c r="T22" s="10"/>
      <c r="V22" s="114" t="str">
        <f t="shared" si="5"/>
        <v>2030-31</v>
      </c>
      <c r="W22" s="80" t="s">
        <v>82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107" t="s">
        <v>82</v>
      </c>
      <c r="AD22" s="122">
        <v>20.232058803668238</v>
      </c>
      <c r="AE22" s="59">
        <f t="shared" si="1"/>
        <v>0</v>
      </c>
      <c r="AF22" s="32">
        <f t="shared" si="13"/>
        <v>27.036608803668059</v>
      </c>
      <c r="AG22" s="43">
        <f t="shared" si="15"/>
        <v>1015.4203911963318</v>
      </c>
      <c r="AH22" s="67"/>
      <c r="AI22" s="44">
        <v>1110.8754963941149</v>
      </c>
      <c r="AJ22" s="45">
        <v>-1110.8754963941149</v>
      </c>
      <c r="AK22" s="43">
        <f t="shared" si="8"/>
        <v>6.8045499999998356</v>
      </c>
      <c r="AL22" s="66">
        <f t="shared" si="9"/>
        <v>-62.195450000000164</v>
      </c>
      <c r="AM22" s="52"/>
      <c r="AO22" s="46">
        <v>48208</v>
      </c>
      <c r="AP22" s="43">
        <v>1135.16237449646</v>
      </c>
      <c r="AQ22" s="46">
        <v>1172.75867652893</v>
      </c>
      <c r="AR22" s="46">
        <v>1172.75867652893</v>
      </c>
      <c r="AT22">
        <v>1119.53256988525</v>
      </c>
      <c r="AU22" s="46">
        <f t="shared" si="10"/>
        <v>22.844695228926135</v>
      </c>
      <c r="AV22" s="46">
        <f t="shared" si="6"/>
        <v>1142.3772651141762</v>
      </c>
    </row>
    <row r="23" spans="2:48" x14ac:dyDescent="0.25">
      <c r="B23" s="28" t="s">
        <v>56</v>
      </c>
      <c r="C23" s="29"/>
      <c r="D23" s="30">
        <f t="shared" si="11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98">
        <v>1044.54214</v>
      </c>
      <c r="J23" s="33">
        <f t="shared" si="0"/>
        <v>-2.0851400000001377</v>
      </c>
      <c r="K23" s="34"/>
      <c r="L23" s="32">
        <f t="shared" si="12"/>
        <v>22.844695228926135</v>
      </c>
      <c r="M23" s="53"/>
      <c r="N23" s="54"/>
      <c r="O23" s="50"/>
      <c r="P23" s="32">
        <f t="shared" si="3"/>
        <v>22.844695228926135</v>
      </c>
      <c r="Q23" s="37">
        <f t="shared" si="14"/>
        <v>1044.54214</v>
      </c>
      <c r="R23" s="37">
        <f t="shared" si="4"/>
        <v>1021.6974447710738</v>
      </c>
      <c r="S23" s="33">
        <f t="shared" si="7"/>
        <v>20.759555228926047</v>
      </c>
      <c r="T23" s="10"/>
      <c r="V23" s="114" t="str">
        <f t="shared" si="5"/>
        <v>2031-32</v>
      </c>
      <c r="W23" s="80" t="s">
        <v>82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107" t="s">
        <v>82</v>
      </c>
      <c r="AD23" s="122">
        <v>22.844695228926135</v>
      </c>
      <c r="AE23" s="59">
        <f t="shared" si="1"/>
        <v>0</v>
      </c>
      <c r="AF23" s="32">
        <f t="shared" si="13"/>
        <v>20.759555228926047</v>
      </c>
      <c r="AG23" s="43">
        <f t="shared" si="15"/>
        <v>1021.6974447710738</v>
      </c>
      <c r="AH23" s="67"/>
      <c r="AI23" s="44">
        <v>1118.7950078327895</v>
      </c>
      <c r="AJ23" s="45">
        <v>-1118.7950078327895</v>
      </c>
      <c r="AK23" s="43">
        <f t="shared" si="8"/>
        <v>-2.0851400000001377</v>
      </c>
      <c r="AL23" s="66">
        <f t="shared" si="9"/>
        <v>-71.085140000000138</v>
      </c>
      <c r="AM23" s="52"/>
      <c r="AO23" s="46">
        <v>48574</v>
      </c>
      <c r="AP23" s="43">
        <v>1150.0301227569601</v>
      </c>
      <c r="AQ23" s="46">
        <v>1191.45956802368</v>
      </c>
      <c r="AR23" s="46">
        <v>1191.45956802368</v>
      </c>
      <c r="AT23">
        <v>1133.72337913513</v>
      </c>
      <c r="AU23" s="46">
        <f t="shared" si="10"/>
        <v>24.609264941737038</v>
      </c>
      <c r="AV23" s="46">
        <f t="shared" si="6"/>
        <v>1158.3326440768672</v>
      </c>
    </row>
    <row r="24" spans="2:48" x14ac:dyDescent="0.25">
      <c r="B24" s="28" t="s">
        <v>57</v>
      </c>
      <c r="C24" s="29"/>
      <c r="D24" s="30">
        <f t="shared" si="11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98">
        <v>1054.7405199999998</v>
      </c>
      <c r="J24" s="33">
        <f t="shared" si="0"/>
        <v>-12.283519999999953</v>
      </c>
      <c r="K24" s="34"/>
      <c r="L24" s="32">
        <f t="shared" si="12"/>
        <v>24.609264941737038</v>
      </c>
      <c r="M24" s="53"/>
      <c r="N24" s="54"/>
      <c r="O24" s="50"/>
      <c r="P24" s="32">
        <f t="shared" si="3"/>
        <v>24.609264941737038</v>
      </c>
      <c r="Q24" s="37">
        <f t="shared" si="14"/>
        <v>1054.7405199999998</v>
      </c>
      <c r="R24" s="37">
        <f t="shared" si="4"/>
        <v>1030.1312550582627</v>
      </c>
      <c r="S24" s="33">
        <f t="shared" si="7"/>
        <v>12.325744941737184</v>
      </c>
      <c r="T24" s="10"/>
      <c r="V24" s="114" t="str">
        <f t="shared" si="5"/>
        <v>2032-33</v>
      </c>
      <c r="W24" s="80" t="s">
        <v>82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107" t="s">
        <v>82</v>
      </c>
      <c r="AD24" s="122">
        <v>24.609264941737038</v>
      </c>
      <c r="AE24" s="59">
        <f t="shared" si="1"/>
        <v>0</v>
      </c>
      <c r="AF24" s="32">
        <f t="shared" si="13"/>
        <v>12.325744941737184</v>
      </c>
      <c r="AG24" s="43">
        <f t="shared" si="15"/>
        <v>1030.1312550582627</v>
      </c>
      <c r="AH24" s="67"/>
      <c r="AI24" s="44">
        <v>1128.6245193965246</v>
      </c>
      <c r="AJ24" s="45">
        <v>-1128.6245193965246</v>
      </c>
      <c r="AK24" s="43">
        <f t="shared" si="8"/>
        <v>-12.283519999999953</v>
      </c>
      <c r="AL24" s="66">
        <f t="shared" si="9"/>
        <v>-81.283519999999953</v>
      </c>
      <c r="AM24" s="52"/>
      <c r="AO24" s="46">
        <v>48939</v>
      </c>
      <c r="AP24" s="43">
        <v>1164.92650032043</v>
      </c>
      <c r="AQ24" s="46">
        <v>1210.66847038269</v>
      </c>
      <c r="AR24" s="46">
        <v>1210.66847038269</v>
      </c>
      <c r="AT24">
        <v>1148.4505329132101</v>
      </c>
      <c r="AU24" s="46">
        <f t="shared" si="10"/>
        <v>26.489332968610686</v>
      </c>
      <c r="AV24" s="46">
        <f t="shared" si="6"/>
        <v>1174.9398658818207</v>
      </c>
    </row>
    <row r="25" spans="2:48" x14ac:dyDescent="0.25">
      <c r="B25" s="28" t="s">
        <v>58</v>
      </c>
      <c r="C25" s="29"/>
      <c r="D25" s="30">
        <f t="shared" si="11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98">
        <v>1061.5890300000001</v>
      </c>
      <c r="J25" s="33">
        <f t="shared" si="0"/>
        <v>-19.132030000000213</v>
      </c>
      <c r="K25" s="34"/>
      <c r="L25" s="32">
        <f t="shared" si="12"/>
        <v>26.489332968610686</v>
      </c>
      <c r="M25" s="53"/>
      <c r="N25" s="54"/>
      <c r="O25" s="50"/>
      <c r="P25" s="32">
        <f t="shared" si="3"/>
        <v>26.489332968610686</v>
      </c>
      <c r="Q25" s="37">
        <f t="shared" si="14"/>
        <v>1061.5890300000001</v>
      </c>
      <c r="R25" s="37">
        <f t="shared" si="4"/>
        <v>1035.0996970313895</v>
      </c>
      <c r="S25" s="33">
        <f t="shared" si="7"/>
        <v>7.3573029686103837</v>
      </c>
      <c r="T25" s="10"/>
      <c r="V25" s="114" t="str">
        <f t="shared" si="5"/>
        <v>2033-34</v>
      </c>
      <c r="W25" s="80" t="s">
        <v>82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107" t="s">
        <v>82</v>
      </c>
      <c r="AD25" s="122">
        <v>26.489332968610686</v>
      </c>
      <c r="AE25" s="59">
        <f t="shared" si="1"/>
        <v>0</v>
      </c>
      <c r="AF25" s="32">
        <f t="shared" si="13"/>
        <v>7.3573029686103837</v>
      </c>
      <c r="AG25" s="43">
        <f t="shared" si="15"/>
        <v>1035.0996970313895</v>
      </c>
      <c r="AH25" s="67"/>
      <c r="AI25" s="44">
        <v>1137.439360122042</v>
      </c>
      <c r="AJ25" s="45">
        <v>-1137.439360122042</v>
      </c>
      <c r="AK25" s="43">
        <f t="shared" si="8"/>
        <v>-19.132030000000213</v>
      </c>
      <c r="AL25" s="66">
        <f t="shared" si="9"/>
        <v>-88.132030000000213</v>
      </c>
      <c r="AM25" s="52"/>
      <c r="AO25" s="46">
        <v>49304</v>
      </c>
      <c r="AP25" s="43">
        <v>1179.42799949646</v>
      </c>
      <c r="AQ25" s="46">
        <v>1229.8649024963399</v>
      </c>
      <c r="AR25" s="46">
        <v>1229.8649024963399</v>
      </c>
      <c r="AT25">
        <v>1163.2176990508999</v>
      </c>
      <c r="AU25" s="46">
        <f t="shared" si="10"/>
        <v>28.434509987697812</v>
      </c>
      <c r="AV25" s="46">
        <f t="shared" si="6"/>
        <v>1191.6522090385977</v>
      </c>
    </row>
    <row r="26" spans="2:48" x14ac:dyDescent="0.25">
      <c r="B26" s="28" t="s">
        <v>59</v>
      </c>
      <c r="C26" s="29"/>
      <c r="D26" s="30">
        <f t="shared" si="11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98">
        <v>1070.0812900000001</v>
      </c>
      <c r="J26" s="33">
        <f t="shared" si="0"/>
        <v>-27.624290000000201</v>
      </c>
      <c r="K26" s="34"/>
      <c r="L26" s="32">
        <f t="shared" si="12"/>
        <v>28.434509987697812</v>
      </c>
      <c r="M26" s="53"/>
      <c r="N26" s="54"/>
      <c r="O26" s="50"/>
      <c r="P26" s="32">
        <f t="shared" si="3"/>
        <v>28.434509987697812</v>
      </c>
      <c r="Q26" s="37">
        <f t="shared" si="14"/>
        <v>1070.0812900000001</v>
      </c>
      <c r="R26" s="37">
        <f t="shared" si="4"/>
        <v>1041.6467800123023</v>
      </c>
      <c r="S26" s="33">
        <f t="shared" si="7"/>
        <v>0.81021998769756465</v>
      </c>
      <c r="T26" s="10"/>
      <c r="V26" s="114" t="str">
        <f t="shared" si="5"/>
        <v>2034-35</v>
      </c>
      <c r="W26" s="80" t="s">
        <v>82</v>
      </c>
      <c r="X26" s="80" t="s">
        <v>82</v>
      </c>
      <c r="Y26" s="80" t="s">
        <v>82</v>
      </c>
      <c r="Z26" s="80" t="s">
        <v>82</v>
      </c>
      <c r="AA26" s="80" t="s">
        <v>82</v>
      </c>
      <c r="AB26" s="80" t="s">
        <v>82</v>
      </c>
      <c r="AC26" s="107" t="s">
        <v>82</v>
      </c>
      <c r="AD26" s="122">
        <v>28.434509987697812</v>
      </c>
      <c r="AE26" s="59">
        <f t="shared" si="1"/>
        <v>0</v>
      </c>
      <c r="AF26" s="32">
        <f t="shared" si="13"/>
        <v>0.81021998769756465</v>
      </c>
      <c r="AG26" s="43">
        <f t="shared" si="15"/>
        <v>1041.6467800123023</v>
      </c>
      <c r="AH26" s="67"/>
      <c r="AI26" s="44">
        <v>1149.2166802752236</v>
      </c>
      <c r="AJ26" s="45">
        <v>-1149.2166802752236</v>
      </c>
      <c r="AK26" s="43">
        <f t="shared" si="8"/>
        <v>-27.624290000000201</v>
      </c>
      <c r="AL26" s="66">
        <f t="shared" si="9"/>
        <v>-96.624290000000201</v>
      </c>
      <c r="AM26" s="52"/>
      <c r="AO26" s="46">
        <v>49669</v>
      </c>
      <c r="AP26" s="43">
        <v>1195.84828567505</v>
      </c>
      <c r="AQ26" s="46">
        <v>1248.54808998108</v>
      </c>
      <c r="AR26" s="46">
        <v>1248.54808998108</v>
      </c>
      <c r="AT26">
        <v>1177.60448265076</v>
      </c>
      <c r="AU26" s="46">
        <f t="shared" si="10"/>
        <v>30.442676853145084</v>
      </c>
      <c r="AV26" s="46">
        <f t="shared" si="6"/>
        <v>1208.047159503905</v>
      </c>
    </row>
    <row r="27" spans="2:48" x14ac:dyDescent="0.25">
      <c r="B27" s="28" t="s">
        <v>60</v>
      </c>
      <c r="C27" s="29"/>
      <c r="D27" s="30">
        <f t="shared" si="11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98">
        <v>1078.7246899999998</v>
      </c>
      <c r="J27" s="33">
        <f t="shared" si="0"/>
        <v>-36.267689999999902</v>
      </c>
      <c r="K27" s="34"/>
      <c r="L27" s="32">
        <f t="shared" si="12"/>
        <v>30.442676853145084</v>
      </c>
      <c r="M27" s="53"/>
      <c r="N27" s="54"/>
      <c r="O27" s="50"/>
      <c r="P27" s="32">
        <f t="shared" si="3"/>
        <v>30.442676853145084</v>
      </c>
      <c r="Q27" s="37">
        <f t="shared" si="14"/>
        <v>1078.7246899999998</v>
      </c>
      <c r="R27" s="37">
        <f t="shared" si="4"/>
        <v>1048.2820131468548</v>
      </c>
      <c r="S27" s="33">
        <f t="shared" si="7"/>
        <v>-5.8250131468548716</v>
      </c>
      <c r="T27" s="10"/>
      <c r="V27" s="114" t="str">
        <f t="shared" si="5"/>
        <v>2035-36</v>
      </c>
      <c r="W27" s="80" t="s">
        <v>82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 t="s">
        <v>82</v>
      </c>
      <c r="AC27" s="107" t="s">
        <v>82</v>
      </c>
      <c r="AD27" s="122">
        <v>30.442676853145084</v>
      </c>
      <c r="AE27" s="59">
        <f t="shared" si="1"/>
        <v>0</v>
      </c>
      <c r="AF27" s="32">
        <f t="shared" si="13"/>
        <v>-5.8250131468548716</v>
      </c>
      <c r="AG27" s="43">
        <f t="shared" si="15"/>
        <v>1048.2820131468548</v>
      </c>
      <c r="AH27" s="67"/>
      <c r="AI27" s="44">
        <v>1160.2287308284001</v>
      </c>
      <c r="AJ27" s="45">
        <v>-1160.2287308284001</v>
      </c>
      <c r="AK27" s="43">
        <f t="shared" si="8"/>
        <v>-36.267689999999902</v>
      </c>
      <c r="AL27" s="66">
        <f t="shared" si="9"/>
        <v>-105.2676899999999</v>
      </c>
      <c r="AM27" s="52"/>
      <c r="AO27" s="46">
        <v>50035</v>
      </c>
      <c r="AP27" s="43">
        <v>1213.4271640777599</v>
      </c>
      <c r="AQ27" s="46">
        <v>1269.04686546326</v>
      </c>
      <c r="AR27" s="46">
        <v>1269.04686546326</v>
      </c>
      <c r="AT27">
        <v>1193.9249763488799</v>
      </c>
      <c r="AU27" s="46">
        <f t="shared" si="10"/>
        <v>32.351224791579021</v>
      </c>
      <c r="AV27" s="46">
        <f t="shared" si="6"/>
        <v>1226.2762011404589</v>
      </c>
    </row>
    <row r="28" spans="2:48" x14ac:dyDescent="0.25">
      <c r="B28" s="28" t="s">
        <v>61</v>
      </c>
      <c r="C28" s="29"/>
      <c r="D28" s="30">
        <f t="shared" si="11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98">
        <v>1088.9309900000001</v>
      </c>
      <c r="J28" s="33">
        <f t="shared" si="0"/>
        <v>-46.473990000000185</v>
      </c>
      <c r="K28" s="34"/>
      <c r="L28" s="32">
        <f t="shared" si="12"/>
        <v>32.351224791579021</v>
      </c>
      <c r="M28" s="53"/>
      <c r="N28" s="54"/>
      <c r="O28" s="50"/>
      <c r="P28" s="32">
        <f t="shared" si="3"/>
        <v>32.351224791579021</v>
      </c>
      <c r="Q28" s="37">
        <f t="shared" si="14"/>
        <v>1088.9309900000001</v>
      </c>
      <c r="R28" s="37">
        <f t="shared" si="4"/>
        <v>1056.5797652084211</v>
      </c>
      <c r="S28" s="33">
        <f t="shared" si="7"/>
        <v>-14.122765208421242</v>
      </c>
      <c r="T28" s="10"/>
      <c r="V28" s="114" t="str">
        <f t="shared" si="5"/>
        <v>2036-37</v>
      </c>
      <c r="W28" s="80" t="s">
        <v>82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 t="s">
        <v>82</v>
      </c>
      <c r="AC28" s="107" t="s">
        <v>82</v>
      </c>
      <c r="AD28" s="122">
        <v>32.351224791579021</v>
      </c>
      <c r="AE28" s="59">
        <f t="shared" si="1"/>
        <v>0</v>
      </c>
      <c r="AF28" s="32">
        <f t="shared" si="13"/>
        <v>-14.122765208421242</v>
      </c>
      <c r="AG28" s="43">
        <f t="shared" si="15"/>
        <v>1056.5797652084211</v>
      </c>
      <c r="AH28" s="67"/>
      <c r="AI28" s="44">
        <v>1172.9807565724554</v>
      </c>
      <c r="AJ28" s="45">
        <v>-1172.9807565724554</v>
      </c>
      <c r="AK28" s="43">
        <f t="shared" si="8"/>
        <v>-46.473990000000185</v>
      </c>
      <c r="AL28" s="66">
        <f t="shared" si="9"/>
        <v>-115.47399000000019</v>
      </c>
      <c r="AM28" s="52"/>
      <c r="AO28" s="46">
        <v>50400</v>
      </c>
      <c r="AP28" s="43">
        <v>1229.75672721863</v>
      </c>
      <c r="AQ28" s="46">
        <v>1290.7052478790299</v>
      </c>
      <c r="AR28" s="46">
        <v>1290.7052478790299</v>
      </c>
      <c r="AT28">
        <v>1211.41736793518</v>
      </c>
      <c r="AU28" s="46">
        <f t="shared" si="10"/>
        <v>34.286992048866594</v>
      </c>
      <c r="AV28" s="46">
        <f t="shared" si="6"/>
        <v>1245.7043599840465</v>
      </c>
    </row>
    <row r="29" spans="2:48" x14ac:dyDescent="0.25">
      <c r="B29" s="28" t="s">
        <v>62</v>
      </c>
      <c r="C29" s="29"/>
      <c r="D29" s="30">
        <f t="shared" si="11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98">
        <v>1095.51595</v>
      </c>
      <c r="J29" s="33">
        <f t="shared" si="0"/>
        <v>-53.058950000000095</v>
      </c>
      <c r="K29" s="34"/>
      <c r="L29" s="32">
        <f t="shared" si="12"/>
        <v>34.286992048866594</v>
      </c>
      <c r="M29" s="53"/>
      <c r="N29" s="54"/>
      <c r="O29" s="50"/>
      <c r="P29" s="32">
        <f>SUM(L29:O29)</f>
        <v>34.286992048866594</v>
      </c>
      <c r="Q29" s="37">
        <f t="shared" si="14"/>
        <v>1095.51595</v>
      </c>
      <c r="R29" s="37">
        <f t="shared" si="4"/>
        <v>1061.2289579511335</v>
      </c>
      <c r="S29" s="33">
        <f t="shared" si="7"/>
        <v>-18.771957951133572</v>
      </c>
      <c r="T29" s="10"/>
      <c r="V29" s="114" t="str">
        <f t="shared" si="5"/>
        <v>2037-38</v>
      </c>
      <c r="W29" s="80" t="s">
        <v>82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 t="s">
        <v>82</v>
      </c>
      <c r="AC29" s="107" t="s">
        <v>82</v>
      </c>
      <c r="AD29" s="122">
        <v>34.286992048866594</v>
      </c>
      <c r="AE29" s="59">
        <f t="shared" si="1"/>
        <v>0</v>
      </c>
      <c r="AF29" s="32">
        <f t="shared" si="13"/>
        <v>-18.771957951133572</v>
      </c>
      <c r="AG29" s="43">
        <f t="shared" si="15"/>
        <v>1061.2289579511335</v>
      </c>
      <c r="AH29" s="67"/>
      <c r="AI29" s="44">
        <v>1184.6688191641585</v>
      </c>
      <c r="AJ29" s="45">
        <v>-1184.6688191641585</v>
      </c>
      <c r="AK29" s="43">
        <f t="shared" si="8"/>
        <v>-53.058950000000095</v>
      </c>
      <c r="AL29" s="66">
        <f t="shared" si="9"/>
        <v>-122.0589500000001</v>
      </c>
      <c r="AM29" s="52"/>
      <c r="AO29" s="46">
        <v>49669</v>
      </c>
      <c r="AP29" s="43">
        <v>1195.84828567505</v>
      </c>
      <c r="AQ29" s="46">
        <v>1311.1700935363799</v>
      </c>
      <c r="AR29" s="46">
        <v>1311.1700935363799</v>
      </c>
      <c r="AT29">
        <v>1227.67112541199</v>
      </c>
      <c r="AU29" s="46">
        <f t="shared" si="10"/>
        <v>36.209268947514673</v>
      </c>
      <c r="AV29" s="46">
        <f>AT29+AU29</f>
        <v>1263.8803943595046</v>
      </c>
    </row>
    <row r="30" spans="2:48" x14ac:dyDescent="0.25">
      <c r="B30" s="28" t="s">
        <v>63</v>
      </c>
      <c r="C30" s="29"/>
      <c r="D30" s="30">
        <f t="shared" si="11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98">
        <v>1103.7608200000002</v>
      </c>
      <c r="J30" s="33">
        <f t="shared" si="0"/>
        <v>-61.303820000000314</v>
      </c>
      <c r="K30" s="34"/>
      <c r="L30" s="32">
        <f t="shared" si="12"/>
        <v>36.209268947514673</v>
      </c>
      <c r="M30" s="53"/>
      <c r="N30" s="54"/>
      <c r="O30" s="50"/>
      <c r="P30" s="32">
        <f>SUM(L30:O30)</f>
        <v>36.209268947514673</v>
      </c>
      <c r="Q30" s="37">
        <f t="shared" si="14"/>
        <v>1103.7608200000002</v>
      </c>
      <c r="R30" s="37">
        <f t="shared" si="4"/>
        <v>1067.5515510524856</v>
      </c>
      <c r="S30" s="33">
        <f t="shared" si="7"/>
        <v>-25.094551052485713</v>
      </c>
      <c r="T30" s="10"/>
      <c r="V30" s="114" t="str">
        <f t="shared" si="5"/>
        <v>2038-39</v>
      </c>
      <c r="W30" s="80" t="s">
        <v>82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 t="s">
        <v>82</v>
      </c>
      <c r="AC30" s="107" t="s">
        <v>82</v>
      </c>
      <c r="AD30" s="122">
        <v>36.209268947514673</v>
      </c>
      <c r="AE30" s="59">
        <f t="shared" si="1"/>
        <v>0</v>
      </c>
      <c r="AF30" s="32">
        <f t="shared" si="13"/>
        <v>-25.094551052485713</v>
      </c>
      <c r="AG30" s="43">
        <f t="shared" si="15"/>
        <v>1067.5515510524856</v>
      </c>
      <c r="AH30" s="67"/>
      <c r="AI30" s="44">
        <v>1200.0978356738965</v>
      </c>
      <c r="AJ30" s="45"/>
      <c r="AK30" s="43">
        <f t="shared" si="8"/>
        <v>-61.303820000000314</v>
      </c>
      <c r="AL30" s="66">
        <f t="shared" si="9"/>
        <v>-130.30382000000031</v>
      </c>
      <c r="AM30" s="52"/>
      <c r="AO30" s="46"/>
      <c r="AP30" s="43"/>
      <c r="AQ30" s="46"/>
      <c r="AR30" s="46"/>
      <c r="AU30" s="46"/>
      <c r="AV30" s="46"/>
    </row>
    <row r="31" spans="2:48" x14ac:dyDescent="0.25">
      <c r="B31" s="28" t="s">
        <v>64</v>
      </c>
      <c r="C31" s="29"/>
      <c r="D31" s="30">
        <f t="shared" si="11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98">
        <v>1112.5185900000001</v>
      </c>
      <c r="J31" s="33">
        <f t="shared" si="0"/>
        <v>-70.061590000000251</v>
      </c>
      <c r="K31" s="34"/>
      <c r="L31" s="32">
        <f t="shared" si="12"/>
        <v>38.131407980203022</v>
      </c>
      <c r="M31" s="53"/>
      <c r="N31" s="54"/>
      <c r="O31" s="50"/>
      <c r="P31" s="32">
        <f>SUM(L31:O31)</f>
        <v>38.131407980203022</v>
      </c>
      <c r="Q31" s="37">
        <f t="shared" si="14"/>
        <v>1112.5185900000001</v>
      </c>
      <c r="R31" s="37">
        <f t="shared" si="4"/>
        <v>1074.3871820197971</v>
      </c>
      <c r="S31" s="33">
        <f t="shared" si="7"/>
        <v>-31.930182019797257</v>
      </c>
      <c r="T31" s="10"/>
      <c r="V31" s="114" t="str">
        <f t="shared" si="5"/>
        <v>2039-40</v>
      </c>
      <c r="W31" s="80" t="s">
        <v>82</v>
      </c>
      <c r="X31" s="80" t="s">
        <v>82</v>
      </c>
      <c r="Y31" s="80" t="s">
        <v>82</v>
      </c>
      <c r="Z31" s="80" t="s">
        <v>82</v>
      </c>
      <c r="AA31" s="80" t="s">
        <v>82</v>
      </c>
      <c r="AB31" s="80" t="s">
        <v>82</v>
      </c>
      <c r="AC31" s="107" t="s">
        <v>82</v>
      </c>
      <c r="AD31" s="122">
        <v>38.131407980203022</v>
      </c>
      <c r="AE31" s="59">
        <f t="shared" si="1"/>
        <v>0</v>
      </c>
      <c r="AF31" s="32">
        <f t="shared" si="13"/>
        <v>-31.930182019797257</v>
      </c>
      <c r="AG31" s="43">
        <f t="shared" si="15"/>
        <v>1074.3871820197971</v>
      </c>
      <c r="AH31" s="67"/>
      <c r="AI31" s="44">
        <v>1214.5413742702863</v>
      </c>
      <c r="AJ31" s="45"/>
      <c r="AK31" s="43">
        <f t="shared" si="8"/>
        <v>-70.061590000000251</v>
      </c>
      <c r="AL31" s="66">
        <f t="shared" si="9"/>
        <v>-139.06159000000025</v>
      </c>
      <c r="AM31" s="52"/>
      <c r="AO31" s="46"/>
      <c r="AP31" s="43"/>
      <c r="AQ31" s="46"/>
      <c r="AR31" s="46"/>
      <c r="AU31" s="46"/>
      <c r="AV31" s="46"/>
    </row>
    <row r="32" spans="2:48" x14ac:dyDescent="0.25">
      <c r="B32" s="28" t="s">
        <v>65</v>
      </c>
      <c r="C32" s="29"/>
      <c r="D32" s="30">
        <f t="shared" si="11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98">
        <v>1122.97398</v>
      </c>
      <c r="J32" s="33">
        <f t="shared" si="0"/>
        <v>-80.516980000000103</v>
      </c>
      <c r="K32" s="34"/>
      <c r="L32" s="32">
        <f t="shared" si="12"/>
        <v>40.029337786272727</v>
      </c>
      <c r="M32" s="53"/>
      <c r="N32" s="54"/>
      <c r="O32" s="50"/>
      <c r="P32" s="32">
        <f t="shared" ref="P32:P33" si="16">SUM(L32:O32)</f>
        <v>40.029337786272727</v>
      </c>
      <c r="Q32" s="37">
        <f t="shared" si="14"/>
        <v>1122.97398</v>
      </c>
      <c r="R32" s="37">
        <f t="shared" si="4"/>
        <v>1082.9446422137273</v>
      </c>
      <c r="S32" s="33">
        <f t="shared" si="7"/>
        <v>-40.48764221372744</v>
      </c>
      <c r="T32" s="10"/>
      <c r="V32" s="114" t="str">
        <f t="shared" si="5"/>
        <v>2040-41</v>
      </c>
      <c r="W32" s="80" t="s">
        <v>82</v>
      </c>
      <c r="X32" s="80" t="s">
        <v>82</v>
      </c>
      <c r="Y32" s="80" t="s">
        <v>82</v>
      </c>
      <c r="Z32" s="80" t="s">
        <v>82</v>
      </c>
      <c r="AA32" s="80" t="s">
        <v>82</v>
      </c>
      <c r="AB32" s="80" t="s">
        <v>82</v>
      </c>
      <c r="AC32" s="107" t="s">
        <v>82</v>
      </c>
      <c r="AD32" s="122">
        <v>40.029337786272727</v>
      </c>
      <c r="AE32" s="59">
        <f t="shared" si="1"/>
        <v>0</v>
      </c>
      <c r="AF32" s="32">
        <f t="shared" si="13"/>
        <v>-40.48764221372744</v>
      </c>
      <c r="AG32" s="43">
        <f t="shared" si="15"/>
        <v>1082.9446422137273</v>
      </c>
      <c r="AH32" s="67"/>
      <c r="AK32" s="43">
        <f t="shared" si="8"/>
        <v>-80.516980000000103</v>
      </c>
      <c r="AL32" s="66">
        <f t="shared" si="9"/>
        <v>-149.5169800000001</v>
      </c>
      <c r="AM32" s="52"/>
    </row>
    <row r="33" spans="2:43" ht="15.75" thickBot="1" x14ac:dyDescent="0.3">
      <c r="B33" s="28" t="s">
        <v>81</v>
      </c>
      <c r="C33" s="29"/>
      <c r="D33" s="30">
        <f t="shared" si="11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98">
        <v>1130.08322</v>
      </c>
      <c r="J33" s="33">
        <f t="shared" si="0"/>
        <v>-87.626220000000103</v>
      </c>
      <c r="K33" s="34"/>
      <c r="L33" s="32">
        <f t="shared" si="12"/>
        <v>41.978214736770973</v>
      </c>
      <c r="M33" s="53"/>
      <c r="N33" s="54"/>
      <c r="O33" s="50"/>
      <c r="P33" s="32">
        <f t="shared" si="16"/>
        <v>41.978214736770973</v>
      </c>
      <c r="Q33" s="37">
        <f t="shared" si="14"/>
        <v>1130.08322</v>
      </c>
      <c r="R33" s="37">
        <f t="shared" si="4"/>
        <v>1088.105005263229</v>
      </c>
      <c r="S33" s="33">
        <f t="shared" si="7"/>
        <v>-45.648005263229152</v>
      </c>
      <c r="T33" s="10"/>
      <c r="U33" s="55"/>
      <c r="V33" s="115" t="str">
        <f>B33</f>
        <v>2041-42</v>
      </c>
      <c r="W33" s="108" t="s">
        <v>82</v>
      </c>
      <c r="X33" s="108" t="s">
        <v>82</v>
      </c>
      <c r="Y33" s="108" t="s">
        <v>82</v>
      </c>
      <c r="Z33" s="108" t="s">
        <v>82</v>
      </c>
      <c r="AA33" s="108" t="s">
        <v>82</v>
      </c>
      <c r="AB33" s="108" t="s">
        <v>82</v>
      </c>
      <c r="AC33" s="109" t="s">
        <v>82</v>
      </c>
      <c r="AD33" s="125">
        <v>41.978214736770973</v>
      </c>
      <c r="AE33" s="59">
        <f t="shared" si="1"/>
        <v>0</v>
      </c>
      <c r="AF33" s="32">
        <f t="shared" si="13"/>
        <v>-45.648005263229152</v>
      </c>
      <c r="AG33" s="43">
        <f t="shared" si="15"/>
        <v>1088.105005263229</v>
      </c>
      <c r="AH33" s="67"/>
      <c r="AL33" s="64"/>
      <c r="AM33"/>
      <c r="AO33" s="40">
        <v>50035</v>
      </c>
      <c r="AP33" s="43">
        <v>1213.4271640777599</v>
      </c>
      <c r="AQ33" s="46"/>
    </row>
    <row r="34" spans="2:43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8"/>
      <c r="AE34" s="59"/>
      <c r="AF34" s="55"/>
      <c r="AL34" s="64"/>
      <c r="AM34"/>
      <c r="AO34" s="40">
        <v>50400</v>
      </c>
      <c r="AP34">
        <v>1229.75672721863</v>
      </c>
    </row>
    <row r="35" spans="2:43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8"/>
      <c r="AE35" s="59"/>
      <c r="AF35" s="55"/>
      <c r="AL35" s="64"/>
      <c r="AM35"/>
    </row>
    <row r="36" spans="2:43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8"/>
      <c r="AE36" s="59"/>
      <c r="AF36" s="59"/>
      <c r="AL36" s="64"/>
      <c r="AM36"/>
    </row>
    <row r="37" spans="2:43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8"/>
      <c r="AE37" s="59"/>
      <c r="AF37" s="59"/>
      <c r="AL37" s="64"/>
      <c r="AM37"/>
    </row>
    <row r="38" spans="2:43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8"/>
      <c r="AE38" s="59"/>
      <c r="AF38" s="59"/>
      <c r="AL38" s="64"/>
      <c r="AM38"/>
    </row>
    <row r="39" spans="2:43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8"/>
      <c r="AE39" s="59"/>
      <c r="AF39" s="59"/>
      <c r="AL39" s="64"/>
      <c r="AM39"/>
    </row>
    <row r="40" spans="2:43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8"/>
      <c r="AE40" s="59"/>
      <c r="AF40" s="59"/>
      <c r="AL40" s="64"/>
      <c r="AM40"/>
    </row>
    <row r="41" spans="2:43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8"/>
      <c r="AE41" s="59"/>
      <c r="AF41" s="59"/>
      <c r="AL41" s="64"/>
      <c r="AM41"/>
    </row>
    <row r="42" spans="2:43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8"/>
      <c r="AE42" s="59"/>
      <c r="AF42" s="59"/>
      <c r="AL42" s="64"/>
      <c r="AM42"/>
    </row>
    <row r="43" spans="2:43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8"/>
      <c r="AE43" s="59"/>
      <c r="AF43" s="59"/>
      <c r="AL43" s="64"/>
      <c r="AM43"/>
    </row>
    <row r="44" spans="2:43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8"/>
      <c r="AE44" s="59"/>
      <c r="AF44" s="59"/>
      <c r="AL44" s="64"/>
      <c r="AM44"/>
    </row>
    <row r="45" spans="2:43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9"/>
      <c r="AF45" s="59"/>
      <c r="AL45" s="64"/>
      <c r="AM45"/>
    </row>
    <row r="46" spans="2:43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9"/>
      <c r="AF46" s="59"/>
      <c r="AL46" s="64"/>
      <c r="AM46"/>
    </row>
    <row r="47" spans="2:43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9"/>
      <c r="AF47" s="59"/>
      <c r="AL47" s="64"/>
      <c r="AM47"/>
    </row>
    <row r="48" spans="2:43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9"/>
      <c r="AF48" s="59"/>
      <c r="AL48" s="64"/>
      <c r="AM48"/>
    </row>
    <row r="49" spans="8:39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9"/>
      <c r="AF49" s="59"/>
      <c r="AL49" s="64"/>
      <c r="AM49"/>
    </row>
    <row r="50" spans="8:39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9"/>
      <c r="AF50" s="59"/>
      <c r="AL50" s="64"/>
      <c r="AM50"/>
    </row>
    <row r="51" spans="8:39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9"/>
      <c r="AF51" s="59"/>
      <c r="AL51" s="64"/>
      <c r="AM51"/>
    </row>
    <row r="52" spans="8:39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9"/>
      <c r="AF52" s="59"/>
      <c r="AL52" s="64"/>
      <c r="AM52"/>
    </row>
    <row r="53" spans="8:39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9"/>
      <c r="AF53" s="59"/>
      <c r="AL53" s="64"/>
      <c r="AM53"/>
    </row>
    <row r="54" spans="8:39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9"/>
      <c r="AF54" s="59"/>
      <c r="AL54" s="64"/>
      <c r="AM54"/>
    </row>
    <row r="55" spans="8:39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9"/>
      <c r="AF55" s="59"/>
      <c r="AL55" s="64"/>
      <c r="AM55"/>
    </row>
    <row r="56" spans="8:39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9"/>
      <c r="AF56" s="59"/>
      <c r="AL56" s="64"/>
      <c r="AM56"/>
    </row>
    <row r="57" spans="8:39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9"/>
      <c r="AF57" s="59"/>
      <c r="AG57" s="59"/>
      <c r="AH57" s="59"/>
    </row>
    <row r="58" spans="8:39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</row>
    <row r="59" spans="8:39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</row>
    <row r="60" spans="8:39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</row>
    <row r="61" spans="8:39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55"/>
      <c r="AF61" s="55"/>
      <c r="AG61" s="55"/>
      <c r="AH61" s="55"/>
    </row>
    <row r="62" spans="8:39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8:39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</row>
    <row r="64" spans="8:39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</row>
    <row r="65" spans="22:34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</row>
    <row r="66" spans="22:34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</row>
    <row r="67" spans="22:34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</row>
    <row r="68" spans="22:34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</row>
    <row r="69" spans="22:34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</row>
    <row r="70" spans="22:34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</row>
    <row r="71" spans="22:34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</row>
    <row r="72" spans="22:34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22:34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</row>
    <row r="74" spans="22:34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</row>
    <row r="75" spans="22:34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</row>
    <row r="76" spans="22:34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</row>
    <row r="77" spans="22:34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</row>
    <row r="78" spans="22:34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</row>
    <row r="79" spans="22:34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</row>
    <row r="80" spans="22:34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</row>
    <row r="81" spans="22:34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</row>
    <row r="82" spans="22:34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</row>
    <row r="83" spans="22:34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</row>
    <row r="84" spans="22:34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</row>
    <row r="85" spans="22:34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</row>
    <row r="86" spans="22:34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</row>
    <row r="87" spans="22:34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</row>
    <row r="88" spans="22:34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</row>
    <row r="89" spans="22:34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</row>
    <row r="90" spans="22:34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</row>
    <row r="91" spans="22:34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</row>
    <row r="92" spans="22:34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</row>
    <row r="93" spans="22:34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</row>
    <row r="94" spans="22:34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</row>
    <row r="95" spans="22:34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</row>
    <row r="96" spans="22:34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</row>
    <row r="97" spans="22:34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</row>
    <row r="98" spans="22:34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</row>
  </sheetData>
  <mergeCells count="1">
    <mergeCell ref="M5:S5"/>
  </mergeCells>
  <pageMargins left="0" right="0" top="0.75" bottom="0.75" header="0.3" footer="0.3"/>
  <pageSetup scale="40" orientation="landscape" r:id="rId1"/>
  <headerFooter>
    <oddHeader>&amp;L&amp;Z&amp;F</oddHeader>
    <oddFooter>&amp;R&amp;A
&amp;D&amp;T
&amp;Z&amp;F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W98"/>
  <sheetViews>
    <sheetView zoomScale="110" zoomScaleNormal="110" zoomScaleSheetLayoutView="90" workbookViewId="0">
      <pane xSplit="3" ySplit="7" topLeftCell="D8" activePane="bottomRight" state="frozen"/>
      <selection activeCell="C39" sqref="C39"/>
      <selection pane="topRight" activeCell="C39" sqref="C39"/>
      <selection pane="bottomLeft" activeCell="C39" sqref="C39"/>
      <selection pane="bottomRight"/>
    </sheetView>
  </sheetViews>
  <sheetFormatPr defaultRowHeight="15" outlineLevelRow="1" x14ac:dyDescent="0.25"/>
  <cols>
    <col min="2" max="2" width="10" customWidth="1"/>
    <col min="3" max="3" width="8" customWidth="1"/>
    <col min="4" max="4" width="9.5703125" customWidth="1"/>
    <col min="5" max="5" width="12.5703125" customWidth="1"/>
    <col min="6" max="7" width="10" customWidth="1"/>
    <col min="8" max="8" width="10.28515625" customWidth="1"/>
    <col min="9" max="9" width="11.28515625" customWidth="1"/>
    <col min="10" max="10" width="11.7109375" customWidth="1"/>
    <col min="11" max="11" width="1" customWidth="1"/>
    <col min="12" max="12" width="14.42578125" customWidth="1"/>
    <col min="13" max="13" width="6.42578125" customWidth="1"/>
    <col min="14" max="15" width="11.7109375" customWidth="1"/>
    <col min="16" max="16" width="11" customWidth="1"/>
    <col min="17" max="17" width="11.28515625" customWidth="1"/>
    <col min="18" max="19" width="12.42578125" customWidth="1"/>
    <col min="20" max="20" width="1.140625" customWidth="1"/>
    <col min="21" max="21" width="1" customWidth="1"/>
    <col min="22" max="22" width="8.28515625" customWidth="1"/>
    <col min="23" max="23" width="11.85546875" customWidth="1"/>
    <col min="24" max="24" width="10.7109375" customWidth="1"/>
    <col min="25" max="26" width="9.42578125" customWidth="1"/>
    <col min="27" max="27" width="9.7109375" customWidth="1"/>
    <col min="28" max="28" width="9.5703125" customWidth="1"/>
    <col min="29" max="29" width="8.85546875" customWidth="1"/>
    <col min="30" max="31" width="8.5703125" customWidth="1"/>
    <col min="32" max="32" width="10.28515625" customWidth="1"/>
    <col min="33" max="33" width="9.28515625" customWidth="1"/>
    <col min="34" max="35" width="14.28515625" customWidth="1"/>
    <col min="37" max="37" width="12.42578125" customWidth="1"/>
    <col min="38" max="38" width="13.42578125" customWidth="1"/>
    <col min="39" max="39" width="10.5703125" customWidth="1"/>
    <col min="40" max="40" width="12.5703125" style="64" customWidth="1"/>
    <col min="43" max="43" width="10.5703125" customWidth="1"/>
  </cols>
  <sheetData>
    <row r="1" spans="2:49" ht="15.75" thickBot="1" x14ac:dyDescent="0.3">
      <c r="D1" s="1" t="s">
        <v>0</v>
      </c>
      <c r="E1" s="2"/>
      <c r="F1" s="2"/>
      <c r="G1" s="2"/>
      <c r="H1" s="2"/>
      <c r="I1" s="3"/>
      <c r="W1" s="1" t="s">
        <v>0</v>
      </c>
      <c r="X1" s="2"/>
      <c r="Y1" s="2"/>
      <c r="Z1" s="2"/>
      <c r="AA1" s="2"/>
      <c r="AB1" s="2"/>
      <c r="AC1" s="2"/>
      <c r="AD1" s="2"/>
      <c r="AE1" s="3"/>
    </row>
    <row r="2" spans="2:49" x14ac:dyDescent="0.25">
      <c r="B2" s="4" t="s">
        <v>1</v>
      </c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X2" s="5"/>
      <c r="Y2" s="5"/>
      <c r="Z2" s="5"/>
      <c r="AA2" s="5"/>
      <c r="AB2" s="5"/>
      <c r="AC2" s="5"/>
    </row>
    <row r="3" spans="2:49" ht="15.75" x14ac:dyDescent="0.25">
      <c r="B3" s="7" t="s">
        <v>2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X3" s="8"/>
      <c r="Y3" s="8"/>
      <c r="Z3" s="8"/>
      <c r="AA3" s="8"/>
      <c r="AB3" s="8"/>
      <c r="AC3" s="8"/>
    </row>
    <row r="4" spans="2:49" x14ac:dyDescent="0.25">
      <c r="B4" s="8" t="s">
        <v>3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X4" s="9"/>
      <c r="Y4" s="8"/>
      <c r="Z4" s="8"/>
      <c r="AA4" s="9"/>
      <c r="AB4" s="8"/>
      <c r="AC4" s="8"/>
      <c r="AF4" s="9"/>
    </row>
    <row r="5" spans="2:49" ht="19.5" thickBot="1" x14ac:dyDescent="0.35">
      <c r="B5" s="8"/>
      <c r="C5" s="10"/>
      <c r="D5" s="11" t="s">
        <v>4</v>
      </c>
      <c r="E5" s="12"/>
      <c r="F5" s="12"/>
      <c r="G5" s="12"/>
      <c r="H5" s="12"/>
      <c r="I5" s="12"/>
      <c r="J5" s="12"/>
      <c r="K5" s="10"/>
      <c r="L5" s="8"/>
      <c r="M5" s="290"/>
      <c r="N5" s="290"/>
      <c r="O5" s="290"/>
      <c r="P5" s="291"/>
      <c r="Q5" s="291"/>
      <c r="R5" s="291"/>
      <c r="S5" s="291"/>
      <c r="T5" s="10"/>
      <c r="W5" s="9"/>
      <c r="X5" s="9"/>
      <c r="Y5" s="9"/>
      <c r="Z5" s="9"/>
      <c r="AA5" s="13" t="s">
        <v>5</v>
      </c>
      <c r="AB5" s="14"/>
      <c r="AC5" s="14"/>
      <c r="AD5" s="15"/>
      <c r="AE5" s="15"/>
      <c r="AF5" s="9"/>
    </row>
    <row r="6" spans="2:49" ht="54.75" customHeight="1" thickBot="1" x14ac:dyDescent="0.3">
      <c r="B6" s="16" t="s">
        <v>6</v>
      </c>
      <c r="C6" s="17"/>
      <c r="D6" s="16" t="s">
        <v>7</v>
      </c>
      <c r="E6" s="16" t="s">
        <v>8</v>
      </c>
      <c r="F6" s="16" t="s">
        <v>9</v>
      </c>
      <c r="G6" s="16" t="s">
        <v>10</v>
      </c>
      <c r="H6" s="18" t="s">
        <v>11</v>
      </c>
      <c r="I6" s="16" t="s">
        <v>94</v>
      </c>
      <c r="J6" s="18" t="s">
        <v>12</v>
      </c>
      <c r="K6" s="19"/>
      <c r="L6" s="18" t="s">
        <v>13</v>
      </c>
      <c r="M6" s="16" t="s">
        <v>14</v>
      </c>
      <c r="N6" s="16" t="s">
        <v>15</v>
      </c>
      <c r="O6" s="16" t="s">
        <v>16</v>
      </c>
      <c r="P6" s="18" t="s">
        <v>17</v>
      </c>
      <c r="Q6" s="16" t="str">
        <f>I6</f>
        <v>2021 IRP Mid Demand Before DSR</v>
      </c>
      <c r="R6" s="16" t="s">
        <v>95</v>
      </c>
      <c r="S6" s="18" t="s">
        <v>18</v>
      </c>
      <c r="T6" s="10"/>
      <c r="V6" s="111" t="s">
        <v>6</v>
      </c>
      <c r="W6" s="110" t="s">
        <v>101</v>
      </c>
      <c r="X6" s="101" t="s">
        <v>19</v>
      </c>
      <c r="Y6" s="101" t="s">
        <v>20</v>
      </c>
      <c r="Z6" s="101" t="s">
        <v>21</v>
      </c>
      <c r="AA6" s="101" t="s">
        <v>85</v>
      </c>
      <c r="AB6" s="101" t="s">
        <v>22</v>
      </c>
      <c r="AC6" s="101" t="s">
        <v>23</v>
      </c>
      <c r="AD6" s="101" t="s">
        <v>24</v>
      </c>
      <c r="AE6" s="102" t="s">
        <v>14</v>
      </c>
      <c r="AF6" s="16" t="s">
        <v>25</v>
      </c>
      <c r="AG6" s="16" t="s">
        <v>26</v>
      </c>
      <c r="AJ6" s="20" t="s">
        <v>73</v>
      </c>
      <c r="AK6" s="16" t="s">
        <v>27</v>
      </c>
      <c r="AL6" s="21" t="s">
        <v>28</v>
      </c>
      <c r="AM6" s="65" t="s">
        <v>71</v>
      </c>
      <c r="AN6"/>
    </row>
    <row r="7" spans="2:49" ht="15.75" thickBot="1" x14ac:dyDescent="0.3">
      <c r="B7" s="22"/>
      <c r="C7" s="23"/>
      <c r="D7" s="24"/>
      <c r="E7" s="24"/>
      <c r="F7" s="24"/>
      <c r="G7" s="22"/>
      <c r="H7" s="24"/>
      <c r="I7" s="22"/>
      <c r="J7" s="25"/>
      <c r="K7" s="26"/>
      <c r="L7" s="24"/>
      <c r="M7" s="22"/>
      <c r="N7" s="22"/>
      <c r="O7" s="24"/>
      <c r="P7" s="24"/>
      <c r="Q7" s="27"/>
      <c r="R7" s="27"/>
      <c r="S7" s="25"/>
      <c r="T7" s="10"/>
      <c r="V7" s="116" t="s">
        <v>29</v>
      </c>
      <c r="W7" s="147" t="s">
        <v>83</v>
      </c>
      <c r="X7" s="117" t="s">
        <v>30</v>
      </c>
      <c r="Y7" s="117" t="s">
        <v>31</v>
      </c>
      <c r="Z7" s="117" t="s">
        <v>32</v>
      </c>
      <c r="AA7" s="117" t="s">
        <v>33</v>
      </c>
      <c r="AB7" s="117" t="s">
        <v>34</v>
      </c>
      <c r="AC7" s="117" t="s">
        <v>35</v>
      </c>
      <c r="AD7" s="117" t="s">
        <v>36</v>
      </c>
      <c r="AE7" s="118" t="s">
        <v>37</v>
      </c>
      <c r="AF7" s="27"/>
      <c r="AG7" s="27"/>
      <c r="AM7" s="64"/>
      <c r="AN7"/>
      <c r="AP7" t="s">
        <v>38</v>
      </c>
      <c r="AQ7" t="s">
        <v>39</v>
      </c>
    </row>
    <row r="8" spans="2:49" ht="14.45" hidden="1" customHeight="1" outlineLevel="1" x14ac:dyDescent="0.25">
      <c r="B8" s="28" t="s">
        <v>40</v>
      </c>
      <c r="C8" s="29"/>
      <c r="D8" s="30">
        <v>532.87199999999996</v>
      </c>
      <c r="E8" s="30">
        <v>432.05700000000002</v>
      </c>
      <c r="F8" s="31">
        <v>2.5</v>
      </c>
      <c r="G8" s="31"/>
      <c r="H8" s="32">
        <f>SUM(D8:G8)</f>
        <v>967.42899999999997</v>
      </c>
      <c r="I8" s="32">
        <v>1005.4161347655852</v>
      </c>
      <c r="J8" s="33">
        <f t="shared" ref="J8:J33" si="0">H8-I8</f>
        <v>-37.987134765585211</v>
      </c>
      <c r="K8" s="34"/>
      <c r="L8" s="32">
        <v>0</v>
      </c>
      <c r="M8" s="35"/>
      <c r="N8" s="31"/>
      <c r="O8" s="36"/>
      <c r="P8" s="32">
        <f>SUM(L8:N8)</f>
        <v>0</v>
      </c>
      <c r="Q8" s="37">
        <f>I8+O8</f>
        <v>1005.4161347655852</v>
      </c>
      <c r="R8" s="37">
        <f>Q8-L8</f>
        <v>1005.4161347655852</v>
      </c>
      <c r="S8" s="33">
        <f>H8+P8-Q8</f>
        <v>-37.987134765585211</v>
      </c>
      <c r="T8" s="10"/>
      <c r="V8" s="112" t="e">
        <f>#REF!</f>
        <v>#REF!</v>
      </c>
      <c r="W8" s="148"/>
      <c r="X8" s="99"/>
      <c r="Y8" s="99"/>
      <c r="Z8" s="99"/>
      <c r="AA8" s="99"/>
      <c r="AB8" s="100"/>
      <c r="AC8" s="99"/>
      <c r="AD8" s="99"/>
      <c r="AE8" s="103"/>
      <c r="AF8" s="133">
        <f t="shared" ref="AF8:AF13" si="1">SUM(X8:AE8)</f>
        <v>0</v>
      </c>
      <c r="AG8" s="37">
        <f>(H8+AF8)-I8</f>
        <v>-37.987134765585211</v>
      </c>
      <c r="AM8" s="64"/>
      <c r="AN8"/>
      <c r="AP8" t="s">
        <v>41</v>
      </c>
      <c r="AQ8" s="39">
        <v>1229.76</v>
      </c>
    </row>
    <row r="9" spans="2:49" ht="14.45" hidden="1" customHeight="1" outlineLevel="1" x14ac:dyDescent="0.25">
      <c r="B9" s="28" t="s">
        <v>42</v>
      </c>
      <c r="C9" s="29"/>
      <c r="D9" s="30">
        <v>542.87199999999996</v>
      </c>
      <c r="E9" s="30">
        <v>447.05700000000002</v>
      </c>
      <c r="F9" s="31">
        <v>2.5</v>
      </c>
      <c r="G9" s="31"/>
      <c r="H9" s="32">
        <f>SUM(D9:G9)</f>
        <v>992.42899999999997</v>
      </c>
      <c r="I9" s="32">
        <v>981.0565402276718</v>
      </c>
      <c r="J9" s="33">
        <f t="shared" si="0"/>
        <v>11.37245977232817</v>
      </c>
      <c r="K9" s="34"/>
      <c r="L9" s="32">
        <v>0</v>
      </c>
      <c r="M9" s="35"/>
      <c r="N9" s="31"/>
      <c r="O9" s="36"/>
      <c r="P9" s="32">
        <f>SUM(L9:N9)</f>
        <v>0</v>
      </c>
      <c r="Q9" s="37">
        <f>I9+O9</f>
        <v>981.0565402276718</v>
      </c>
      <c r="R9" s="37">
        <f>Q9-L9</f>
        <v>981.0565402276718</v>
      </c>
      <c r="S9" s="33">
        <f>H9+P9-Q9</f>
        <v>11.37245977232817</v>
      </c>
      <c r="T9" s="10"/>
      <c r="V9" s="113" t="str">
        <f>B8</f>
        <v>2015-16</v>
      </c>
      <c r="W9" s="149"/>
      <c r="X9" s="74"/>
      <c r="Y9" s="74"/>
      <c r="Z9" s="74"/>
      <c r="AA9" s="74"/>
      <c r="AB9" s="76"/>
      <c r="AC9" s="74"/>
      <c r="AD9" s="74"/>
      <c r="AE9" s="104"/>
      <c r="AF9" s="133">
        <f t="shared" si="1"/>
        <v>0</v>
      </c>
      <c r="AG9" s="37">
        <f>(H9+AF9)-I9</f>
        <v>11.37245977232817</v>
      </c>
      <c r="AM9" s="64"/>
      <c r="AN9"/>
      <c r="AP9" s="40">
        <v>43460</v>
      </c>
      <c r="AQ9">
        <v>978.27978515625</v>
      </c>
    </row>
    <row r="10" spans="2:49" hidden="1" outlineLevel="1" x14ac:dyDescent="0.25">
      <c r="B10" s="28" t="s">
        <v>43</v>
      </c>
      <c r="C10" s="29"/>
      <c r="D10" s="30">
        <v>542.9</v>
      </c>
      <c r="E10" s="30">
        <v>447.05700000000002</v>
      </c>
      <c r="F10" s="31">
        <v>2.5</v>
      </c>
      <c r="G10" s="31"/>
      <c r="H10" s="32">
        <f t="shared" ref="H10:H28" si="2">SUM(D10:G10)</f>
        <v>992.45699999999999</v>
      </c>
      <c r="I10" s="32">
        <v>1009.5326608132258</v>
      </c>
      <c r="J10" s="33">
        <f t="shared" si="0"/>
        <v>-17.075660813225795</v>
      </c>
      <c r="K10" s="34"/>
      <c r="L10" s="32">
        <v>1.9415600358625267</v>
      </c>
      <c r="M10" s="35"/>
      <c r="N10" s="31"/>
      <c r="O10" s="36">
        <v>15</v>
      </c>
      <c r="P10" s="32">
        <f t="shared" ref="P10:P28" si="3">SUM(L10:O10)</f>
        <v>16.941560035862526</v>
      </c>
      <c r="Q10" s="37">
        <f>I10</f>
        <v>1009.5326608132258</v>
      </c>
      <c r="R10" s="37">
        <f t="shared" ref="R10:R33" si="4">Q10-W10</f>
        <v>1007.6380883417644</v>
      </c>
      <c r="S10" s="33">
        <f>H10-R10</f>
        <v>-15.181088341764394</v>
      </c>
      <c r="T10" s="10"/>
      <c r="V10" s="113" t="str">
        <f t="shared" ref="V10:V32" si="5">B10</f>
        <v>2018-19</v>
      </c>
      <c r="W10" s="150">
        <v>1.8945724714614274</v>
      </c>
      <c r="X10" s="77"/>
      <c r="Y10" s="77">
        <v>15</v>
      </c>
      <c r="Z10" s="77"/>
      <c r="AA10" s="77"/>
      <c r="AB10" s="77"/>
      <c r="AC10" s="78"/>
      <c r="AD10" s="78"/>
      <c r="AE10" s="105"/>
      <c r="AF10" s="41">
        <f t="shared" si="1"/>
        <v>15</v>
      </c>
      <c r="AG10" s="42">
        <f>(H10+AF10)-I10</f>
        <v>-2.0756608132257952</v>
      </c>
      <c r="AH10" s="43"/>
      <c r="AI10" s="43"/>
      <c r="AJ10" s="44"/>
      <c r="AK10" s="45"/>
      <c r="AL10" s="43"/>
      <c r="AM10" s="64"/>
      <c r="AN10"/>
      <c r="AP10" s="46">
        <v>43825</v>
      </c>
      <c r="AQ10" s="43">
        <v>1016.7286491394</v>
      </c>
      <c r="AR10" s="46">
        <f>1008.2798538208+1.23</f>
        <v>1009.5098538208</v>
      </c>
      <c r="AS10" s="46">
        <f>AR10-I10</f>
        <v>-2.2806992425785211E-2</v>
      </c>
      <c r="AU10">
        <v>1007.59009361267</v>
      </c>
      <c r="AV10" s="46">
        <f>W10</f>
        <v>1.8945724714614274</v>
      </c>
      <c r="AW10" s="46">
        <f>AU10+AV10</f>
        <v>1009.4846660841314</v>
      </c>
    </row>
    <row r="11" spans="2:49" hidden="1" outlineLevel="1" x14ac:dyDescent="0.25">
      <c r="B11" s="28" t="s">
        <v>44</v>
      </c>
      <c r="C11" s="29"/>
      <c r="D11" s="30">
        <f>D$10-10</f>
        <v>532.9</v>
      </c>
      <c r="E11" s="30">
        <v>447.05700000000002</v>
      </c>
      <c r="F11" s="31">
        <v>2.5</v>
      </c>
      <c r="G11" s="47">
        <f>50+9.5</f>
        <v>59.5</v>
      </c>
      <c r="H11" s="32">
        <f t="shared" si="2"/>
        <v>1041.9569999999999</v>
      </c>
      <c r="I11" s="32">
        <v>1022.7918912094859</v>
      </c>
      <c r="J11" s="33">
        <f t="shared" si="0"/>
        <v>19.165108790513955</v>
      </c>
      <c r="K11" s="34"/>
      <c r="L11" s="32">
        <v>6.2036925802019169</v>
      </c>
      <c r="M11" s="35"/>
      <c r="N11" s="47"/>
      <c r="O11" s="36"/>
      <c r="P11" s="32">
        <f t="shared" si="3"/>
        <v>6.2036925802019169</v>
      </c>
      <c r="Q11" s="37">
        <f>I11</f>
        <v>1022.7918912094859</v>
      </c>
      <c r="R11" s="37">
        <f t="shared" si="4"/>
        <v>1016.7329343189342</v>
      </c>
      <c r="S11" s="33">
        <f>H11-R11</f>
        <v>25.224065681065667</v>
      </c>
      <c r="T11" s="10"/>
      <c r="V11" s="114" t="str">
        <f t="shared" si="5"/>
        <v>2019-20</v>
      </c>
      <c r="W11" s="150">
        <v>6.0589568905517144</v>
      </c>
      <c r="X11" s="77"/>
      <c r="Y11" s="77"/>
      <c r="Z11" s="77"/>
      <c r="AA11" s="77"/>
      <c r="AB11" s="77"/>
      <c r="AC11" s="77"/>
      <c r="AD11" s="77"/>
      <c r="AE11" s="106"/>
      <c r="AF11" s="41">
        <f t="shared" si="1"/>
        <v>0</v>
      </c>
      <c r="AG11" s="42">
        <f>(H11+AF11)-I11</f>
        <v>19.165108790513955</v>
      </c>
      <c r="AH11" s="43"/>
      <c r="AI11" s="43"/>
      <c r="AJ11" s="44"/>
      <c r="AK11" s="45"/>
      <c r="AL11" s="43"/>
      <c r="AM11" s="64"/>
      <c r="AN11"/>
      <c r="AP11" s="46">
        <v>44191</v>
      </c>
      <c r="AQ11" s="43">
        <v>1026.0346183776901</v>
      </c>
      <c r="AR11" s="46">
        <v>1022.76654434204</v>
      </c>
      <c r="AS11" s="46">
        <f>AR11-I11</f>
        <v>-2.534686744593273E-2</v>
      </c>
      <c r="AU11">
        <v>1016.63834762573</v>
      </c>
      <c r="AV11" s="46">
        <f>W11</f>
        <v>6.0589568905517144</v>
      </c>
      <c r="AW11" s="46">
        <f t="shared" ref="AW11:AW28" si="6">AU11+AV11</f>
        <v>1022.6973045162817</v>
      </c>
    </row>
    <row r="12" spans="2:49" hidden="1" collapsed="1" x14ac:dyDescent="0.25">
      <c r="B12" s="28" t="s">
        <v>45</v>
      </c>
      <c r="C12" s="29"/>
      <c r="D12" s="30">
        <f>D$10</f>
        <v>542.9</v>
      </c>
      <c r="E12" s="30">
        <v>447.05700000000002</v>
      </c>
      <c r="F12" s="31">
        <v>2.5</v>
      </c>
      <c r="G12" s="48">
        <v>0</v>
      </c>
      <c r="H12" s="32">
        <f>SUM(D12:G12)</f>
        <v>992.45699999999999</v>
      </c>
      <c r="I12" s="49">
        <v>957.00229999999999</v>
      </c>
      <c r="J12" s="33">
        <f t="shared" si="0"/>
        <v>35.454700000000003</v>
      </c>
      <c r="K12" s="34"/>
      <c r="L12" s="32">
        <f>W13</f>
        <v>0</v>
      </c>
      <c r="M12" s="50"/>
      <c r="N12" s="51">
        <v>-43.043620567527</v>
      </c>
      <c r="O12" s="50"/>
      <c r="P12" s="32">
        <f t="shared" si="3"/>
        <v>-43.043620567527</v>
      </c>
      <c r="Q12" s="37">
        <f>I12</f>
        <v>957.00229999999999</v>
      </c>
      <c r="R12" s="37">
        <f t="shared" si="4"/>
        <v>957.00229999999999</v>
      </c>
      <c r="S12" s="33">
        <f t="shared" ref="S12:S33" si="7">H12+P12-Q12</f>
        <v>-7.5889205675269977</v>
      </c>
      <c r="T12" s="10"/>
      <c r="V12" s="114" t="str">
        <f t="shared" si="5"/>
        <v>2020-21</v>
      </c>
      <c r="W12" s="151">
        <v>0</v>
      </c>
      <c r="X12" s="80"/>
      <c r="Y12" s="80"/>
      <c r="Z12" s="80"/>
      <c r="AA12" s="80"/>
      <c r="AB12" s="80"/>
      <c r="AC12" s="80"/>
      <c r="AD12" s="80"/>
      <c r="AE12" s="107"/>
      <c r="AF12" s="59">
        <f t="shared" si="1"/>
        <v>0</v>
      </c>
      <c r="AG12" s="32">
        <f>AF12+H12-I12</f>
        <v>35.454700000000003</v>
      </c>
      <c r="AH12" s="67"/>
      <c r="AI12" s="67"/>
      <c r="AJ12" s="44">
        <v>1035.500620567527</v>
      </c>
      <c r="AK12" s="45">
        <f>I12-AJ12</f>
        <v>-78.498320567527003</v>
      </c>
      <c r="AL12" s="43">
        <f t="shared" ref="AL12:AL32" si="8">J12</f>
        <v>35.454700000000003</v>
      </c>
      <c r="AM12" s="66">
        <f t="shared" ref="AM12:AM32" si="9">AL12-G12</f>
        <v>35.454700000000003</v>
      </c>
      <c r="AN12" s="52"/>
      <c r="AP12" s="46">
        <v>44556</v>
      </c>
      <c r="AQ12" s="43">
        <v>1034.9512290954599</v>
      </c>
      <c r="AR12" s="46">
        <v>1036.2975330352799</v>
      </c>
      <c r="AS12" s="46">
        <f>AR12-I12</f>
        <v>79.295233035279921</v>
      </c>
      <c r="AU12">
        <v>1025.8805351257299</v>
      </c>
      <c r="AV12" s="46">
        <f t="shared" ref="AV12:AV29" si="10">W13</f>
        <v>0</v>
      </c>
      <c r="AW12" s="46">
        <f t="shared" si="6"/>
        <v>1025.8805351257299</v>
      </c>
    </row>
    <row r="13" spans="2:49" hidden="1" x14ac:dyDescent="0.25">
      <c r="B13" s="28" t="s">
        <v>46</v>
      </c>
      <c r="C13" s="29"/>
      <c r="D13" s="30">
        <f>D$10-19</f>
        <v>523.9</v>
      </c>
      <c r="E13" s="30">
        <v>447.05700000000002</v>
      </c>
      <c r="F13" s="31">
        <v>2.5</v>
      </c>
      <c r="G13" s="48">
        <v>69</v>
      </c>
      <c r="H13" s="32">
        <f t="shared" si="2"/>
        <v>1042.4569999999999</v>
      </c>
      <c r="I13" s="49">
        <v>957.00229999999999</v>
      </c>
      <c r="J13" s="33">
        <f t="shared" si="0"/>
        <v>85.454699999999889</v>
      </c>
      <c r="K13" s="34"/>
      <c r="L13" s="32">
        <f>W14</f>
        <v>0</v>
      </c>
      <c r="M13" s="50"/>
      <c r="N13" s="51">
        <v>-3.1532888603364881</v>
      </c>
      <c r="O13" s="50"/>
      <c r="P13" s="32">
        <f t="shared" si="3"/>
        <v>-3.1532888603364881</v>
      </c>
      <c r="Q13" s="37">
        <f>I13</f>
        <v>957.00229999999999</v>
      </c>
      <c r="R13" s="37">
        <f t="shared" si="4"/>
        <v>957.00229999999999</v>
      </c>
      <c r="S13" s="33">
        <f t="shared" si="7"/>
        <v>82.301411139663401</v>
      </c>
      <c r="T13" s="10"/>
      <c r="V13" s="114" t="str">
        <f t="shared" si="5"/>
        <v>2021-22</v>
      </c>
      <c r="W13" s="152">
        <v>0</v>
      </c>
      <c r="X13" s="153"/>
      <c r="Y13" s="153"/>
      <c r="Z13" s="153"/>
      <c r="AA13" s="153"/>
      <c r="AB13" s="153"/>
      <c r="AC13" s="153"/>
      <c r="AD13" s="153"/>
      <c r="AE13" s="154"/>
      <c r="AF13" s="59">
        <f t="shared" si="1"/>
        <v>0</v>
      </c>
      <c r="AG13" s="32">
        <f>AF13+H13-I13</f>
        <v>85.454699999999889</v>
      </c>
      <c r="AH13" s="67"/>
      <c r="AI13" s="67"/>
      <c r="AJ13" s="44">
        <v>1045.6102888603364</v>
      </c>
      <c r="AK13" s="45">
        <f>I13-AJ13</f>
        <v>-88.607988860336377</v>
      </c>
      <c r="AL13" s="43">
        <f t="shared" si="8"/>
        <v>85.454699999999889</v>
      </c>
      <c r="AM13" s="66">
        <f t="shared" si="9"/>
        <v>16.454699999999889</v>
      </c>
      <c r="AN13" s="52"/>
      <c r="AP13" s="46">
        <v>44921</v>
      </c>
      <c r="AQ13" s="43">
        <v>1039.3834762573199</v>
      </c>
      <c r="AR13" s="46">
        <v>1049.18494415283</v>
      </c>
      <c r="AS13" s="46">
        <f>AR13-I13</f>
        <v>92.182644152829994</v>
      </c>
      <c r="AU13">
        <v>1034.72814559937</v>
      </c>
      <c r="AV13" s="46">
        <f t="shared" si="10"/>
        <v>0</v>
      </c>
      <c r="AW13" s="46">
        <f t="shared" si="6"/>
        <v>1034.72814559937</v>
      </c>
    </row>
    <row r="14" spans="2:49" x14ac:dyDescent="0.25">
      <c r="B14" s="28" t="s">
        <v>47</v>
      </c>
      <c r="C14" s="29"/>
      <c r="D14" s="30">
        <f t="shared" ref="D14:D33" si="11">D$10-19</f>
        <v>523.9</v>
      </c>
      <c r="E14" s="30">
        <v>447.05700000000002</v>
      </c>
      <c r="F14" s="31">
        <v>2.5</v>
      </c>
      <c r="G14" s="48">
        <v>69</v>
      </c>
      <c r="H14" s="32">
        <f>SUM(D14:G14)</f>
        <v>1042.4569999999999</v>
      </c>
      <c r="I14" s="98">
        <v>966.56050000000005</v>
      </c>
      <c r="J14" s="33">
        <f t="shared" si="0"/>
        <v>75.896499999999833</v>
      </c>
      <c r="K14" s="34"/>
      <c r="L14" s="32">
        <f>W14</f>
        <v>0</v>
      </c>
      <c r="M14" s="53"/>
      <c r="N14" s="54"/>
      <c r="O14" s="50"/>
      <c r="P14" s="32">
        <f t="shared" si="3"/>
        <v>0</v>
      </c>
      <c r="Q14" s="37">
        <f>I14</f>
        <v>966.56050000000005</v>
      </c>
      <c r="R14" s="37">
        <f>Q14-W14</f>
        <v>966.56050000000005</v>
      </c>
      <c r="S14" s="33">
        <f t="shared" si="7"/>
        <v>75.896499999999833</v>
      </c>
      <c r="T14" s="10"/>
      <c r="V14" s="114" t="str">
        <f t="shared" si="5"/>
        <v>2022-23</v>
      </c>
      <c r="W14" s="159">
        <v>0</v>
      </c>
      <c r="X14" s="155" t="s">
        <v>82</v>
      </c>
      <c r="Y14" s="155" t="s">
        <v>82</v>
      </c>
      <c r="Z14" s="155" t="s">
        <v>82</v>
      </c>
      <c r="AA14" s="155" t="s">
        <v>82</v>
      </c>
      <c r="AB14" s="155" t="s">
        <v>82</v>
      </c>
      <c r="AC14" s="155" t="s">
        <v>82</v>
      </c>
      <c r="AD14" s="155" t="s">
        <v>82</v>
      </c>
      <c r="AE14" s="156" t="s">
        <v>82</v>
      </c>
      <c r="AF14" s="59">
        <f>SUM(W14:AE14)</f>
        <v>0</v>
      </c>
      <c r="AG14" s="158">
        <f>AF14-Q14+H14</f>
        <v>75.896499999999833</v>
      </c>
      <c r="AH14" s="67"/>
      <c r="AI14" s="67"/>
      <c r="AJ14" s="44">
        <v>1053.5407413432795</v>
      </c>
      <c r="AK14" s="45"/>
      <c r="AL14" s="43">
        <f t="shared" si="8"/>
        <v>75.896499999999833</v>
      </c>
      <c r="AM14" s="66">
        <f t="shared" si="9"/>
        <v>6.8964999999998327</v>
      </c>
      <c r="AN14" s="52"/>
      <c r="AP14" s="46">
        <v>45286</v>
      </c>
      <c r="AQ14" s="43">
        <v>1051.6916141510001</v>
      </c>
      <c r="AR14" s="46">
        <v>1057.5920944213899</v>
      </c>
      <c r="AS14" s="46"/>
      <c r="AU14">
        <v>1039.08507537842</v>
      </c>
      <c r="AV14" s="46">
        <f t="shared" si="10"/>
        <v>0</v>
      </c>
      <c r="AW14" s="46">
        <f t="shared" si="6"/>
        <v>1039.08507537842</v>
      </c>
    </row>
    <row r="15" spans="2:49" x14ac:dyDescent="0.25">
      <c r="B15" s="28" t="s">
        <v>48</v>
      </c>
      <c r="C15" s="29"/>
      <c r="D15" s="30">
        <f t="shared" si="11"/>
        <v>523.9</v>
      </c>
      <c r="E15" s="30">
        <v>447.05700000000002</v>
      </c>
      <c r="F15" s="31">
        <v>2.5</v>
      </c>
      <c r="G15" s="48">
        <v>69</v>
      </c>
      <c r="H15" s="32">
        <f t="shared" si="2"/>
        <v>1042.4569999999999</v>
      </c>
      <c r="I15" s="98">
        <v>976.51042000000007</v>
      </c>
      <c r="J15" s="33">
        <f t="shared" si="0"/>
        <v>65.946579999999813</v>
      </c>
      <c r="K15" s="34"/>
      <c r="L15" s="32">
        <f t="shared" ref="L15:L33" si="12">W15</f>
        <v>0</v>
      </c>
      <c r="M15" s="53"/>
      <c r="N15" s="54"/>
      <c r="O15" s="50"/>
      <c r="P15" s="32">
        <f t="shared" si="3"/>
        <v>0</v>
      </c>
      <c r="Q15" s="37">
        <f t="shared" ref="Q15:Q33" si="13">I15</f>
        <v>976.51042000000007</v>
      </c>
      <c r="R15" s="37">
        <f t="shared" si="4"/>
        <v>976.51042000000007</v>
      </c>
      <c r="S15" s="33">
        <f t="shared" si="7"/>
        <v>65.946579999999813</v>
      </c>
      <c r="T15" s="10"/>
      <c r="V15" s="114" t="str">
        <f t="shared" si="5"/>
        <v>2023-24</v>
      </c>
      <c r="W15" s="160">
        <v>0</v>
      </c>
      <c r="X15" s="80" t="s">
        <v>82</v>
      </c>
      <c r="Y15" s="80" t="s">
        <v>82</v>
      </c>
      <c r="Z15" s="80" t="s">
        <v>82</v>
      </c>
      <c r="AA15" s="80" t="s">
        <v>82</v>
      </c>
      <c r="AB15" s="80" t="s">
        <v>82</v>
      </c>
      <c r="AC15" s="80">
        <v>15</v>
      </c>
      <c r="AD15" s="80" t="s">
        <v>82</v>
      </c>
      <c r="AE15" s="107" t="s">
        <v>82</v>
      </c>
      <c r="AF15" s="59">
        <f t="shared" ref="AF15:AF33" si="14">SUM(W15:AE15)</f>
        <v>15</v>
      </c>
      <c r="AG15" s="158">
        <f t="shared" ref="AG15:AG33" si="15">AF15-Q15+H15</f>
        <v>80.946579999999813</v>
      </c>
      <c r="AH15" s="67"/>
      <c r="AI15" s="67"/>
      <c r="AJ15" s="44">
        <v>1062.70947981108</v>
      </c>
      <c r="AK15" s="45">
        <v>-100.91264584635496</v>
      </c>
      <c r="AL15" s="43">
        <f t="shared" si="8"/>
        <v>65.946579999999813</v>
      </c>
      <c r="AM15" s="66">
        <f t="shared" si="9"/>
        <v>-3.0534200000001874</v>
      </c>
      <c r="AN15" s="52"/>
      <c r="AP15" s="46">
        <v>45652</v>
      </c>
      <c r="AQ15" s="43">
        <v>1061.69411087036</v>
      </c>
      <c r="AR15" s="46">
        <v>1073.9486598968499</v>
      </c>
      <c r="AS15" s="46">
        <v>112.15182593212489</v>
      </c>
      <c r="AU15">
        <v>1051.30883216858</v>
      </c>
      <c r="AV15" s="46">
        <f t="shared" si="10"/>
        <v>0</v>
      </c>
      <c r="AW15" s="46">
        <f t="shared" si="6"/>
        <v>1051.30883216858</v>
      </c>
    </row>
    <row r="16" spans="2:49" x14ac:dyDescent="0.25">
      <c r="B16" s="28" t="s">
        <v>49</v>
      </c>
      <c r="C16" s="29"/>
      <c r="D16" s="30">
        <f t="shared" si="11"/>
        <v>523.9</v>
      </c>
      <c r="E16" s="30">
        <v>447.05700000000002</v>
      </c>
      <c r="F16" s="31">
        <v>2.5</v>
      </c>
      <c r="G16" s="48">
        <v>69</v>
      </c>
      <c r="H16" s="32">
        <f t="shared" si="2"/>
        <v>1042.4569999999999</v>
      </c>
      <c r="I16" s="98">
        <v>987.94945999999993</v>
      </c>
      <c r="J16" s="33">
        <f t="shared" si="0"/>
        <v>54.507539999999949</v>
      </c>
      <c r="K16" s="34"/>
      <c r="L16" s="32">
        <f t="shared" si="12"/>
        <v>0</v>
      </c>
      <c r="M16" s="53"/>
      <c r="N16" s="54"/>
      <c r="O16" s="50"/>
      <c r="P16" s="32">
        <f t="shared" si="3"/>
        <v>0</v>
      </c>
      <c r="Q16" s="37">
        <f t="shared" si="13"/>
        <v>987.94945999999993</v>
      </c>
      <c r="R16" s="37">
        <f t="shared" si="4"/>
        <v>987.94945999999993</v>
      </c>
      <c r="S16" s="33">
        <f t="shared" si="7"/>
        <v>54.507539999999949</v>
      </c>
      <c r="T16" s="10"/>
      <c r="V16" s="114" t="str">
        <f t="shared" si="5"/>
        <v>2024-25</v>
      </c>
      <c r="W16" s="160">
        <v>0</v>
      </c>
      <c r="X16" s="80" t="s">
        <v>82</v>
      </c>
      <c r="Y16" s="80" t="s">
        <v>82</v>
      </c>
      <c r="Z16" s="80" t="s">
        <v>82</v>
      </c>
      <c r="AA16" s="80" t="s">
        <v>82</v>
      </c>
      <c r="AB16" s="80" t="s">
        <v>82</v>
      </c>
      <c r="AC16" s="80">
        <v>15</v>
      </c>
      <c r="AD16" s="80" t="s">
        <v>82</v>
      </c>
      <c r="AE16" s="107" t="s">
        <v>82</v>
      </c>
      <c r="AF16" s="59">
        <f t="shared" si="14"/>
        <v>15</v>
      </c>
      <c r="AG16" s="158">
        <f t="shared" si="15"/>
        <v>69.507539999999949</v>
      </c>
      <c r="AH16" s="67"/>
      <c r="AI16" s="67"/>
      <c r="AJ16" s="44">
        <v>1069.875394233997</v>
      </c>
      <c r="AK16" s="45">
        <v>-989.24322819872191</v>
      </c>
      <c r="AL16" s="43">
        <f t="shared" si="8"/>
        <v>54.507539999999949</v>
      </c>
      <c r="AM16" s="66">
        <f t="shared" si="9"/>
        <v>-14.492460000000051</v>
      </c>
      <c r="AN16" s="52"/>
      <c r="AP16" s="46">
        <v>46017</v>
      </c>
      <c r="AQ16" s="43">
        <v>1068.4566287994401</v>
      </c>
      <c r="AR16" s="46">
        <v>1088.2765007019</v>
      </c>
      <c r="AS16" s="46">
        <v>1007.6443346666249</v>
      </c>
      <c r="AU16">
        <v>1061.2161140441899</v>
      </c>
      <c r="AV16" s="46">
        <f t="shared" si="10"/>
        <v>0</v>
      </c>
      <c r="AW16" s="46">
        <f t="shared" si="6"/>
        <v>1061.2161140441899</v>
      </c>
    </row>
    <row r="17" spans="2:49" x14ac:dyDescent="0.25">
      <c r="B17" s="28" t="s">
        <v>50</v>
      </c>
      <c r="C17" s="29"/>
      <c r="D17" s="30">
        <f t="shared" si="11"/>
        <v>523.9</v>
      </c>
      <c r="E17" s="30">
        <v>447.05700000000002</v>
      </c>
      <c r="F17" s="31">
        <v>2.5</v>
      </c>
      <c r="G17" s="48">
        <v>69</v>
      </c>
      <c r="H17" s="32">
        <f t="shared" si="2"/>
        <v>1042.4569999999999</v>
      </c>
      <c r="I17" s="98">
        <v>995.33915999999999</v>
      </c>
      <c r="J17" s="33">
        <f t="shared" si="0"/>
        <v>47.117839999999887</v>
      </c>
      <c r="K17" s="34"/>
      <c r="L17" s="32">
        <f t="shared" si="12"/>
        <v>0</v>
      </c>
      <c r="M17" s="53"/>
      <c r="N17" s="54"/>
      <c r="O17" s="50"/>
      <c r="P17" s="32">
        <f t="shared" si="3"/>
        <v>0</v>
      </c>
      <c r="Q17" s="37">
        <f t="shared" si="13"/>
        <v>995.33915999999999</v>
      </c>
      <c r="R17" s="37">
        <f t="shared" si="4"/>
        <v>995.33915999999999</v>
      </c>
      <c r="S17" s="33">
        <f t="shared" si="7"/>
        <v>47.117839999999887</v>
      </c>
      <c r="T17" s="10"/>
      <c r="V17" s="114" t="str">
        <f t="shared" si="5"/>
        <v>2025-26</v>
      </c>
      <c r="W17" s="160">
        <v>0</v>
      </c>
      <c r="X17" s="80" t="s">
        <v>82</v>
      </c>
      <c r="Y17" s="80" t="s">
        <v>82</v>
      </c>
      <c r="Z17" s="80" t="s">
        <v>82</v>
      </c>
      <c r="AA17" s="80" t="s">
        <v>82</v>
      </c>
      <c r="AB17" s="80" t="s">
        <v>82</v>
      </c>
      <c r="AC17" s="80">
        <v>15</v>
      </c>
      <c r="AD17" s="80" t="s">
        <v>82</v>
      </c>
      <c r="AE17" s="107" t="s">
        <v>82</v>
      </c>
      <c r="AF17" s="59">
        <f t="shared" si="14"/>
        <v>15</v>
      </c>
      <c r="AG17" s="158">
        <f t="shared" si="15"/>
        <v>62.117839999999887</v>
      </c>
      <c r="AH17" s="67"/>
      <c r="AI17" s="67"/>
      <c r="AJ17" s="44">
        <v>1074.046576766304</v>
      </c>
      <c r="AK17" s="45">
        <v>-1074.046576766304</v>
      </c>
      <c r="AL17" s="43">
        <f t="shared" si="8"/>
        <v>47.117839999999887</v>
      </c>
      <c r="AM17" s="66">
        <f t="shared" si="9"/>
        <v>-21.882160000000113</v>
      </c>
      <c r="AN17" s="52"/>
      <c r="AP17" s="46">
        <v>46382</v>
      </c>
      <c r="AQ17" s="43">
        <v>1077.6138305664099</v>
      </c>
      <c r="AR17" s="46">
        <v>1099.434425354</v>
      </c>
      <c r="AS17" s="46">
        <v>1099.434425354</v>
      </c>
      <c r="AU17">
        <v>1067.8715152740499</v>
      </c>
      <c r="AV17" s="46">
        <f t="shared" si="10"/>
        <v>0</v>
      </c>
      <c r="AW17" s="46">
        <f t="shared" si="6"/>
        <v>1067.8715152740499</v>
      </c>
    </row>
    <row r="18" spans="2:49" x14ac:dyDescent="0.25">
      <c r="B18" s="28" t="s">
        <v>51</v>
      </c>
      <c r="C18" s="29"/>
      <c r="D18" s="30">
        <f t="shared" si="11"/>
        <v>523.9</v>
      </c>
      <c r="E18" s="30">
        <v>447.05700000000002</v>
      </c>
      <c r="F18" s="31">
        <v>2.5</v>
      </c>
      <c r="G18" s="48">
        <v>69</v>
      </c>
      <c r="H18" s="32">
        <f t="shared" si="2"/>
        <v>1042.4569999999999</v>
      </c>
      <c r="I18" s="98">
        <v>1003.3576700000001</v>
      </c>
      <c r="J18" s="33">
        <f t="shared" si="0"/>
        <v>39.099329999999782</v>
      </c>
      <c r="K18" s="34"/>
      <c r="L18" s="32">
        <f t="shared" si="12"/>
        <v>0</v>
      </c>
      <c r="M18" s="53"/>
      <c r="N18" s="54"/>
      <c r="O18" s="50"/>
      <c r="P18" s="32">
        <f t="shared" si="3"/>
        <v>0</v>
      </c>
      <c r="Q18" s="37">
        <f t="shared" si="13"/>
        <v>1003.3576700000001</v>
      </c>
      <c r="R18" s="37">
        <f t="shared" si="4"/>
        <v>1003.3576700000001</v>
      </c>
      <c r="S18" s="33">
        <f t="shared" si="7"/>
        <v>39.099329999999782</v>
      </c>
      <c r="T18" s="10"/>
      <c r="V18" s="114" t="str">
        <f t="shared" si="5"/>
        <v>2026-27</v>
      </c>
      <c r="W18" s="160">
        <v>0</v>
      </c>
      <c r="X18" s="80" t="s">
        <v>82</v>
      </c>
      <c r="Y18" s="80" t="s">
        <v>82</v>
      </c>
      <c r="Z18" s="80" t="s">
        <v>82</v>
      </c>
      <c r="AA18" s="80" t="s">
        <v>82</v>
      </c>
      <c r="AB18" s="80" t="s">
        <v>82</v>
      </c>
      <c r="AC18" s="80">
        <v>15</v>
      </c>
      <c r="AD18" s="80" t="s">
        <v>82</v>
      </c>
      <c r="AE18" s="107" t="s">
        <v>82</v>
      </c>
      <c r="AF18" s="59">
        <f t="shared" si="14"/>
        <v>15</v>
      </c>
      <c r="AG18" s="158">
        <f t="shared" si="15"/>
        <v>54.099329999999782</v>
      </c>
      <c r="AH18" s="67"/>
      <c r="AI18" s="67"/>
      <c r="AJ18" s="44">
        <v>1081.3726145732787</v>
      </c>
      <c r="AK18" s="45">
        <v>-1081.3726145732787</v>
      </c>
      <c r="AL18" s="43">
        <f t="shared" si="8"/>
        <v>39.099329999999782</v>
      </c>
      <c r="AM18" s="66">
        <f t="shared" si="9"/>
        <v>-29.900670000000218</v>
      </c>
      <c r="AN18" s="52"/>
      <c r="AP18" s="46">
        <v>46747</v>
      </c>
      <c r="AQ18" s="43">
        <v>1083.91345024109</v>
      </c>
      <c r="AR18" s="46">
        <v>1112.8700542449999</v>
      </c>
      <c r="AS18" s="46">
        <v>1112.8700542449999</v>
      </c>
      <c r="AU18">
        <v>1076.90893554688</v>
      </c>
      <c r="AV18" s="46">
        <f t="shared" si="10"/>
        <v>0</v>
      </c>
      <c r="AW18" s="46">
        <f t="shared" si="6"/>
        <v>1076.90893554688</v>
      </c>
    </row>
    <row r="19" spans="2:49" x14ac:dyDescent="0.25">
      <c r="B19" s="28" t="s">
        <v>52</v>
      </c>
      <c r="C19" s="29"/>
      <c r="D19" s="30">
        <f t="shared" si="11"/>
        <v>523.9</v>
      </c>
      <c r="E19" s="30">
        <v>447.05700000000002</v>
      </c>
      <c r="F19" s="31">
        <v>2.5</v>
      </c>
      <c r="G19" s="48">
        <v>69</v>
      </c>
      <c r="H19" s="32">
        <f t="shared" si="2"/>
        <v>1042.4569999999999</v>
      </c>
      <c r="I19" s="98">
        <v>1011.2176899999998</v>
      </c>
      <c r="J19" s="33">
        <f t="shared" si="0"/>
        <v>31.239310000000046</v>
      </c>
      <c r="K19" s="34"/>
      <c r="L19" s="32">
        <f t="shared" si="12"/>
        <v>0</v>
      </c>
      <c r="M19" s="53"/>
      <c r="N19" s="54"/>
      <c r="O19" s="50"/>
      <c r="P19" s="32">
        <f t="shared" si="3"/>
        <v>0</v>
      </c>
      <c r="Q19" s="37">
        <f t="shared" si="13"/>
        <v>1011.2176899999998</v>
      </c>
      <c r="R19" s="37">
        <f t="shared" si="4"/>
        <v>1011.2176899999998</v>
      </c>
      <c r="S19" s="33">
        <f t="shared" si="7"/>
        <v>31.239310000000046</v>
      </c>
      <c r="T19" s="10"/>
      <c r="V19" s="114" t="str">
        <f t="shared" si="5"/>
        <v>2027-28</v>
      </c>
      <c r="W19" s="160">
        <v>0</v>
      </c>
      <c r="X19" s="80" t="s">
        <v>82</v>
      </c>
      <c r="Y19" s="80" t="s">
        <v>82</v>
      </c>
      <c r="Z19" s="80" t="s">
        <v>82</v>
      </c>
      <c r="AA19" s="80" t="s">
        <v>82</v>
      </c>
      <c r="AB19" s="80" t="s">
        <v>82</v>
      </c>
      <c r="AC19" s="80">
        <v>15</v>
      </c>
      <c r="AD19" s="80" t="s">
        <v>82</v>
      </c>
      <c r="AE19" s="107" t="s">
        <v>82</v>
      </c>
      <c r="AF19" s="59">
        <f t="shared" si="14"/>
        <v>15</v>
      </c>
      <c r="AG19" s="158">
        <f t="shared" si="15"/>
        <v>46.239310000000046</v>
      </c>
      <c r="AH19" s="67"/>
      <c r="AI19" s="67"/>
      <c r="AJ19" s="44">
        <v>1088.9478443321157</v>
      </c>
      <c r="AK19" s="45">
        <v>-1088.9478443321157</v>
      </c>
      <c r="AL19" s="43">
        <f t="shared" si="8"/>
        <v>31.239310000000046</v>
      </c>
      <c r="AM19" s="66">
        <f t="shared" si="9"/>
        <v>-37.760689999999954</v>
      </c>
      <c r="AN19" s="52"/>
      <c r="AP19" s="46">
        <v>47113</v>
      </c>
      <c r="AQ19" s="43">
        <v>1092.7315940856899</v>
      </c>
      <c r="AR19" s="46">
        <v>1123.43689346313</v>
      </c>
      <c r="AS19" s="46">
        <v>1123.43689346313</v>
      </c>
      <c r="AU19">
        <v>1083.0756511688201</v>
      </c>
      <c r="AV19" s="46">
        <f t="shared" si="10"/>
        <v>0</v>
      </c>
      <c r="AW19" s="46">
        <f t="shared" si="6"/>
        <v>1083.0756511688201</v>
      </c>
    </row>
    <row r="20" spans="2:49" x14ac:dyDescent="0.25">
      <c r="B20" s="28" t="s">
        <v>53</v>
      </c>
      <c r="C20" s="29"/>
      <c r="D20" s="30">
        <f t="shared" si="11"/>
        <v>523.9</v>
      </c>
      <c r="E20" s="30">
        <v>447.05700000000002</v>
      </c>
      <c r="F20" s="31">
        <v>2.5</v>
      </c>
      <c r="G20" s="48">
        <v>69</v>
      </c>
      <c r="H20" s="32">
        <f t="shared" si="2"/>
        <v>1042.4569999999999</v>
      </c>
      <c r="I20" s="98">
        <v>1020.75771</v>
      </c>
      <c r="J20" s="33">
        <f t="shared" si="0"/>
        <v>21.699289999999905</v>
      </c>
      <c r="K20" s="34"/>
      <c r="L20" s="32">
        <f t="shared" si="12"/>
        <v>0</v>
      </c>
      <c r="M20" s="53"/>
      <c r="N20" s="54"/>
      <c r="O20" s="50"/>
      <c r="P20" s="32">
        <f t="shared" si="3"/>
        <v>0</v>
      </c>
      <c r="Q20" s="37">
        <f t="shared" si="13"/>
        <v>1020.75771</v>
      </c>
      <c r="R20" s="37">
        <f t="shared" si="4"/>
        <v>1020.75771</v>
      </c>
      <c r="S20" s="33">
        <f t="shared" si="7"/>
        <v>21.699289999999905</v>
      </c>
      <c r="T20" s="10"/>
      <c r="V20" s="114" t="str">
        <f t="shared" si="5"/>
        <v>2028-29</v>
      </c>
      <c r="W20" s="160">
        <v>0</v>
      </c>
      <c r="X20" s="80" t="s">
        <v>82</v>
      </c>
      <c r="Y20" s="80" t="s">
        <v>82</v>
      </c>
      <c r="Z20" s="80" t="s">
        <v>82</v>
      </c>
      <c r="AA20" s="80" t="s">
        <v>82</v>
      </c>
      <c r="AB20" s="80" t="s">
        <v>82</v>
      </c>
      <c r="AC20" s="80">
        <v>15</v>
      </c>
      <c r="AD20" s="80" t="s">
        <v>82</v>
      </c>
      <c r="AE20" s="107" t="s">
        <v>82</v>
      </c>
      <c r="AF20" s="59">
        <f t="shared" si="14"/>
        <v>15</v>
      </c>
      <c r="AG20" s="158">
        <f t="shared" si="15"/>
        <v>36.699289999999905</v>
      </c>
      <c r="AH20" s="67"/>
      <c r="AI20" s="67"/>
      <c r="AJ20" s="44">
        <v>1096.2966233757172</v>
      </c>
      <c r="AK20" s="45">
        <v>-1096.2966233757172</v>
      </c>
      <c r="AL20" s="43">
        <f t="shared" si="8"/>
        <v>21.699289999999905</v>
      </c>
      <c r="AM20" s="66">
        <f t="shared" si="9"/>
        <v>-47.300710000000095</v>
      </c>
      <c r="AN20" s="52"/>
      <c r="AP20" s="46">
        <v>47478</v>
      </c>
      <c r="AQ20" s="43">
        <v>1106.82481765747</v>
      </c>
      <c r="AR20" s="46">
        <v>1136.34985542297</v>
      </c>
      <c r="AS20" s="46">
        <v>1136.34985542297</v>
      </c>
      <c r="AU20">
        <v>1091.7492027282699</v>
      </c>
      <c r="AV20" s="46">
        <f t="shared" si="10"/>
        <v>0</v>
      </c>
      <c r="AW20" s="46">
        <f t="shared" si="6"/>
        <v>1091.7492027282699</v>
      </c>
    </row>
    <row r="21" spans="2:49" x14ac:dyDescent="0.25">
      <c r="B21" s="28" t="s">
        <v>54</v>
      </c>
      <c r="C21" s="29"/>
      <c r="D21" s="30">
        <f t="shared" si="11"/>
        <v>523.9</v>
      </c>
      <c r="E21" s="30">
        <v>447.05700000000002</v>
      </c>
      <c r="F21" s="31">
        <v>2.5</v>
      </c>
      <c r="G21" s="48">
        <v>69</v>
      </c>
      <c r="H21" s="32">
        <f t="shared" si="2"/>
        <v>1042.4569999999999</v>
      </c>
      <c r="I21" s="98">
        <v>1027.3149399999998</v>
      </c>
      <c r="J21" s="33">
        <f t="shared" si="0"/>
        <v>15.142060000000129</v>
      </c>
      <c r="K21" s="34"/>
      <c r="L21" s="32">
        <f t="shared" si="12"/>
        <v>0</v>
      </c>
      <c r="M21" s="53"/>
      <c r="N21" s="54"/>
      <c r="O21" s="50"/>
      <c r="P21" s="32">
        <f t="shared" si="3"/>
        <v>0</v>
      </c>
      <c r="Q21" s="37">
        <f t="shared" si="13"/>
        <v>1027.3149399999998</v>
      </c>
      <c r="R21" s="37">
        <f t="shared" si="4"/>
        <v>1027.3149399999998</v>
      </c>
      <c r="S21" s="33">
        <f t="shared" si="7"/>
        <v>15.142060000000129</v>
      </c>
      <c r="T21" s="10"/>
      <c r="V21" s="114" t="str">
        <f t="shared" si="5"/>
        <v>2029-30</v>
      </c>
      <c r="W21" s="160">
        <v>0</v>
      </c>
      <c r="X21" s="80" t="s">
        <v>82</v>
      </c>
      <c r="Y21" s="80" t="s">
        <v>82</v>
      </c>
      <c r="Z21" s="80" t="s">
        <v>82</v>
      </c>
      <c r="AA21" s="80" t="s">
        <v>82</v>
      </c>
      <c r="AB21" s="157" t="s">
        <v>82</v>
      </c>
      <c r="AC21" s="80">
        <v>15</v>
      </c>
      <c r="AD21" s="80" t="s">
        <v>82</v>
      </c>
      <c r="AE21" s="107" t="s">
        <v>82</v>
      </c>
      <c r="AF21" s="59">
        <f t="shared" si="14"/>
        <v>15</v>
      </c>
      <c r="AG21" s="158">
        <f t="shared" si="15"/>
        <v>30.142060000000129</v>
      </c>
      <c r="AH21" s="67"/>
      <c r="AI21" s="67"/>
      <c r="AJ21" s="44">
        <v>1102.2936430343566</v>
      </c>
      <c r="AK21" s="45">
        <v>-1102.2936430343566</v>
      </c>
      <c r="AL21" s="43">
        <f t="shared" si="8"/>
        <v>15.142060000000129</v>
      </c>
      <c r="AM21" s="66">
        <f t="shared" si="9"/>
        <v>-53.857939999999871</v>
      </c>
      <c r="AN21" s="52"/>
      <c r="AP21" s="46">
        <v>47843</v>
      </c>
      <c r="AQ21" s="43">
        <v>1120.82166290283</v>
      </c>
      <c r="AR21" s="46">
        <v>1154.4859790802</v>
      </c>
      <c r="AS21" s="46">
        <v>1154.4859790802</v>
      </c>
      <c r="AU21">
        <v>1105.69041824341</v>
      </c>
      <c r="AV21" s="46">
        <f t="shared" si="10"/>
        <v>0</v>
      </c>
      <c r="AW21" s="46">
        <f t="shared" si="6"/>
        <v>1105.69041824341</v>
      </c>
    </row>
    <row r="22" spans="2:49" x14ac:dyDescent="0.25">
      <c r="B22" s="28" t="s">
        <v>55</v>
      </c>
      <c r="C22" s="29"/>
      <c r="D22" s="30">
        <f t="shared" si="11"/>
        <v>523.9</v>
      </c>
      <c r="E22" s="30">
        <v>447.05700000000002</v>
      </c>
      <c r="F22" s="31">
        <v>2.5</v>
      </c>
      <c r="G22" s="48">
        <v>69</v>
      </c>
      <c r="H22" s="32">
        <f t="shared" si="2"/>
        <v>1042.4569999999999</v>
      </c>
      <c r="I22" s="98">
        <v>1035.65245</v>
      </c>
      <c r="J22" s="33">
        <f t="shared" si="0"/>
        <v>6.8045499999998356</v>
      </c>
      <c r="K22" s="34"/>
      <c r="L22" s="32">
        <f t="shared" si="12"/>
        <v>0</v>
      </c>
      <c r="M22" s="53"/>
      <c r="N22" s="54"/>
      <c r="O22" s="50"/>
      <c r="P22" s="32">
        <f t="shared" si="3"/>
        <v>0</v>
      </c>
      <c r="Q22" s="37">
        <f t="shared" si="13"/>
        <v>1035.65245</v>
      </c>
      <c r="R22" s="37">
        <f t="shared" si="4"/>
        <v>1035.65245</v>
      </c>
      <c r="S22" s="33">
        <f t="shared" si="7"/>
        <v>6.8045499999998356</v>
      </c>
      <c r="T22" s="10"/>
      <c r="V22" s="114" t="str">
        <f t="shared" si="5"/>
        <v>2030-31</v>
      </c>
      <c r="W22" s="160">
        <v>0</v>
      </c>
      <c r="X22" s="80" t="s">
        <v>82</v>
      </c>
      <c r="Y22" s="80" t="s">
        <v>82</v>
      </c>
      <c r="Z22" s="80" t="s">
        <v>82</v>
      </c>
      <c r="AA22" s="80" t="s">
        <v>82</v>
      </c>
      <c r="AB22" s="80" t="s">
        <v>82</v>
      </c>
      <c r="AC22" s="80">
        <v>15</v>
      </c>
      <c r="AD22" s="80" t="s">
        <v>82</v>
      </c>
      <c r="AE22" s="107" t="s">
        <v>82</v>
      </c>
      <c r="AF22" s="59">
        <f t="shared" si="14"/>
        <v>15</v>
      </c>
      <c r="AG22" s="158">
        <f t="shared" si="15"/>
        <v>21.804549999999836</v>
      </c>
      <c r="AH22" s="67"/>
      <c r="AI22" s="67"/>
      <c r="AJ22" s="44">
        <v>1110.8754963941149</v>
      </c>
      <c r="AK22" s="45">
        <v>-1110.8754963941149</v>
      </c>
      <c r="AL22" s="43">
        <f t="shared" si="8"/>
        <v>6.8045499999998356</v>
      </c>
      <c r="AM22" s="66">
        <f t="shared" si="9"/>
        <v>-62.195450000000164</v>
      </c>
      <c r="AN22" s="52"/>
      <c r="AP22" s="46">
        <v>48208</v>
      </c>
      <c r="AQ22" s="43">
        <v>1135.16237449646</v>
      </c>
      <c r="AR22" s="46">
        <v>1172.75867652893</v>
      </c>
      <c r="AS22" s="46">
        <v>1172.75867652893</v>
      </c>
      <c r="AU22">
        <v>1119.53256988525</v>
      </c>
      <c r="AV22" s="46">
        <f t="shared" si="10"/>
        <v>0</v>
      </c>
      <c r="AW22" s="46">
        <f t="shared" si="6"/>
        <v>1119.53256988525</v>
      </c>
    </row>
    <row r="23" spans="2:49" x14ac:dyDescent="0.25">
      <c r="B23" s="28" t="s">
        <v>56</v>
      </c>
      <c r="C23" s="29"/>
      <c r="D23" s="30">
        <f t="shared" si="11"/>
        <v>523.9</v>
      </c>
      <c r="E23" s="30">
        <v>447.05700000000002</v>
      </c>
      <c r="F23" s="31">
        <v>2.5</v>
      </c>
      <c r="G23" s="48">
        <v>69</v>
      </c>
      <c r="H23" s="32">
        <f t="shared" si="2"/>
        <v>1042.4569999999999</v>
      </c>
      <c r="I23" s="98">
        <v>1044.54214</v>
      </c>
      <c r="J23" s="33">
        <f t="shared" si="0"/>
        <v>-2.0851400000001377</v>
      </c>
      <c r="K23" s="34"/>
      <c r="L23" s="32">
        <f t="shared" si="12"/>
        <v>0</v>
      </c>
      <c r="M23" s="53"/>
      <c r="N23" s="54"/>
      <c r="O23" s="50"/>
      <c r="P23" s="32">
        <f t="shared" si="3"/>
        <v>0</v>
      </c>
      <c r="Q23" s="37">
        <f t="shared" si="13"/>
        <v>1044.54214</v>
      </c>
      <c r="R23" s="37">
        <f t="shared" si="4"/>
        <v>1044.54214</v>
      </c>
      <c r="S23" s="33">
        <f t="shared" si="7"/>
        <v>-2.0851400000001377</v>
      </c>
      <c r="T23" s="10"/>
      <c r="V23" s="114" t="str">
        <f t="shared" si="5"/>
        <v>2031-32</v>
      </c>
      <c r="W23" s="160">
        <v>0</v>
      </c>
      <c r="X23" s="80" t="s">
        <v>82</v>
      </c>
      <c r="Y23" s="80" t="s">
        <v>82</v>
      </c>
      <c r="Z23" s="80" t="s">
        <v>82</v>
      </c>
      <c r="AA23" s="80" t="s">
        <v>82</v>
      </c>
      <c r="AB23" s="80" t="s">
        <v>82</v>
      </c>
      <c r="AC23" s="80">
        <v>15</v>
      </c>
      <c r="AD23" s="80" t="s">
        <v>82</v>
      </c>
      <c r="AE23" s="107" t="s">
        <v>82</v>
      </c>
      <c r="AF23" s="59">
        <f t="shared" si="14"/>
        <v>15</v>
      </c>
      <c r="AG23" s="158">
        <f t="shared" si="15"/>
        <v>12.914859999999862</v>
      </c>
      <c r="AH23" s="67"/>
      <c r="AI23" s="67"/>
      <c r="AJ23" s="44">
        <v>1118.7950078327895</v>
      </c>
      <c r="AK23" s="45">
        <v>-1118.7950078327895</v>
      </c>
      <c r="AL23" s="43">
        <f t="shared" si="8"/>
        <v>-2.0851400000001377</v>
      </c>
      <c r="AM23" s="66">
        <f t="shared" si="9"/>
        <v>-71.085140000000138</v>
      </c>
      <c r="AN23" s="52"/>
      <c r="AP23" s="46">
        <v>48574</v>
      </c>
      <c r="AQ23" s="43">
        <v>1150.0301227569601</v>
      </c>
      <c r="AR23" s="46">
        <v>1191.45956802368</v>
      </c>
      <c r="AS23" s="46">
        <v>1191.45956802368</v>
      </c>
      <c r="AU23">
        <v>1133.72337913513</v>
      </c>
      <c r="AV23" s="46">
        <f t="shared" si="10"/>
        <v>0</v>
      </c>
      <c r="AW23" s="46">
        <f t="shared" si="6"/>
        <v>1133.72337913513</v>
      </c>
    </row>
    <row r="24" spans="2:49" x14ac:dyDescent="0.25">
      <c r="B24" s="28" t="s">
        <v>57</v>
      </c>
      <c r="C24" s="29"/>
      <c r="D24" s="30">
        <f t="shared" si="11"/>
        <v>523.9</v>
      </c>
      <c r="E24" s="30">
        <v>447.05700000000002</v>
      </c>
      <c r="F24" s="31">
        <v>2.5</v>
      </c>
      <c r="G24" s="48">
        <v>69</v>
      </c>
      <c r="H24" s="32">
        <f t="shared" si="2"/>
        <v>1042.4569999999999</v>
      </c>
      <c r="I24" s="98">
        <v>1054.7405199999998</v>
      </c>
      <c r="J24" s="33">
        <f t="shared" si="0"/>
        <v>-12.283519999999953</v>
      </c>
      <c r="K24" s="34"/>
      <c r="L24" s="32">
        <f t="shared" si="12"/>
        <v>0</v>
      </c>
      <c r="M24" s="53"/>
      <c r="N24" s="54"/>
      <c r="O24" s="50"/>
      <c r="P24" s="32">
        <f t="shared" si="3"/>
        <v>0</v>
      </c>
      <c r="Q24" s="37">
        <f t="shared" si="13"/>
        <v>1054.7405199999998</v>
      </c>
      <c r="R24" s="37">
        <f t="shared" si="4"/>
        <v>1054.7405199999998</v>
      </c>
      <c r="S24" s="33">
        <f t="shared" si="7"/>
        <v>-12.283519999999953</v>
      </c>
      <c r="T24" s="10"/>
      <c r="V24" s="114" t="str">
        <f t="shared" si="5"/>
        <v>2032-33</v>
      </c>
      <c r="W24" s="160">
        <v>0</v>
      </c>
      <c r="X24" s="80" t="s">
        <v>82</v>
      </c>
      <c r="Y24" s="80" t="s">
        <v>82</v>
      </c>
      <c r="Z24" s="80" t="s">
        <v>82</v>
      </c>
      <c r="AA24" s="80" t="s">
        <v>82</v>
      </c>
      <c r="AB24" s="80" t="s">
        <v>82</v>
      </c>
      <c r="AC24" s="80">
        <v>15</v>
      </c>
      <c r="AD24" s="80" t="s">
        <v>82</v>
      </c>
      <c r="AE24" s="107" t="s">
        <v>82</v>
      </c>
      <c r="AF24" s="59">
        <f t="shared" si="14"/>
        <v>15</v>
      </c>
      <c r="AG24" s="158">
        <f t="shared" si="15"/>
        <v>2.7164800000000469</v>
      </c>
      <c r="AH24" s="67"/>
      <c r="AI24" s="67"/>
      <c r="AJ24" s="44">
        <v>1128.6245193965246</v>
      </c>
      <c r="AK24" s="45">
        <v>-1128.6245193965246</v>
      </c>
      <c r="AL24" s="43">
        <f t="shared" si="8"/>
        <v>-12.283519999999953</v>
      </c>
      <c r="AM24" s="66">
        <f t="shared" si="9"/>
        <v>-81.283519999999953</v>
      </c>
      <c r="AN24" s="52"/>
      <c r="AP24" s="46">
        <v>48939</v>
      </c>
      <c r="AQ24" s="43">
        <v>1164.92650032043</v>
      </c>
      <c r="AR24" s="46">
        <v>1210.66847038269</v>
      </c>
      <c r="AS24" s="46">
        <v>1210.66847038269</v>
      </c>
      <c r="AU24">
        <v>1148.4505329132101</v>
      </c>
      <c r="AV24" s="46">
        <f t="shared" si="10"/>
        <v>0</v>
      </c>
      <c r="AW24" s="46">
        <f t="shared" si="6"/>
        <v>1148.4505329132101</v>
      </c>
    </row>
    <row r="25" spans="2:49" x14ac:dyDescent="0.25">
      <c r="B25" s="28" t="s">
        <v>58</v>
      </c>
      <c r="C25" s="29"/>
      <c r="D25" s="30">
        <f t="shared" si="11"/>
        <v>523.9</v>
      </c>
      <c r="E25" s="30">
        <v>447.05700000000002</v>
      </c>
      <c r="F25" s="31">
        <v>2.5</v>
      </c>
      <c r="G25" s="48">
        <v>69</v>
      </c>
      <c r="H25" s="32">
        <f t="shared" si="2"/>
        <v>1042.4569999999999</v>
      </c>
      <c r="I25" s="98">
        <v>1061.5890300000001</v>
      </c>
      <c r="J25" s="33">
        <f t="shared" si="0"/>
        <v>-19.132030000000213</v>
      </c>
      <c r="K25" s="34"/>
      <c r="L25" s="32">
        <f t="shared" si="12"/>
        <v>0</v>
      </c>
      <c r="M25" s="53"/>
      <c r="N25" s="54"/>
      <c r="O25" s="50"/>
      <c r="P25" s="32">
        <f t="shared" si="3"/>
        <v>0</v>
      </c>
      <c r="Q25" s="37">
        <f t="shared" si="13"/>
        <v>1061.5890300000001</v>
      </c>
      <c r="R25" s="37">
        <f t="shared" si="4"/>
        <v>1061.5890300000001</v>
      </c>
      <c r="S25" s="33">
        <f t="shared" si="7"/>
        <v>-19.132030000000213</v>
      </c>
      <c r="T25" s="10"/>
      <c r="V25" s="114" t="str">
        <f t="shared" si="5"/>
        <v>2033-34</v>
      </c>
      <c r="W25" s="160">
        <v>0</v>
      </c>
      <c r="X25" s="80" t="s">
        <v>82</v>
      </c>
      <c r="Y25" s="80" t="s">
        <v>82</v>
      </c>
      <c r="Z25" s="80" t="s">
        <v>82</v>
      </c>
      <c r="AA25" s="80" t="s">
        <v>82</v>
      </c>
      <c r="AB25" s="80" t="s">
        <v>82</v>
      </c>
      <c r="AC25" s="80">
        <v>15</v>
      </c>
      <c r="AD25" s="80" t="s">
        <v>82</v>
      </c>
      <c r="AE25" s="107">
        <v>7</v>
      </c>
      <c r="AF25" s="59">
        <f t="shared" si="14"/>
        <v>22</v>
      </c>
      <c r="AG25" s="158">
        <f t="shared" si="15"/>
        <v>2.8679699999997865</v>
      </c>
      <c r="AH25" s="67"/>
      <c r="AI25" s="67"/>
      <c r="AJ25" s="44">
        <v>1137.439360122042</v>
      </c>
      <c r="AK25" s="45">
        <v>-1137.439360122042</v>
      </c>
      <c r="AL25" s="43">
        <f t="shared" si="8"/>
        <v>-19.132030000000213</v>
      </c>
      <c r="AM25" s="66">
        <f t="shared" si="9"/>
        <v>-88.132030000000213</v>
      </c>
      <c r="AN25" s="52"/>
      <c r="AP25" s="46">
        <v>49304</v>
      </c>
      <c r="AQ25" s="43">
        <v>1179.42799949646</v>
      </c>
      <c r="AR25" s="46">
        <v>1229.8649024963399</v>
      </c>
      <c r="AS25" s="46">
        <v>1229.8649024963399</v>
      </c>
      <c r="AU25">
        <v>1163.2176990508999</v>
      </c>
      <c r="AV25" s="46">
        <f t="shared" si="10"/>
        <v>0</v>
      </c>
      <c r="AW25" s="46">
        <f t="shared" si="6"/>
        <v>1163.2176990508999</v>
      </c>
    </row>
    <row r="26" spans="2:49" x14ac:dyDescent="0.25">
      <c r="B26" s="28" t="s">
        <v>59</v>
      </c>
      <c r="C26" s="29"/>
      <c r="D26" s="30">
        <f t="shared" si="11"/>
        <v>523.9</v>
      </c>
      <c r="E26" s="30">
        <v>447.05700000000002</v>
      </c>
      <c r="F26" s="31">
        <v>2.5</v>
      </c>
      <c r="G26" s="48">
        <v>69</v>
      </c>
      <c r="H26" s="32">
        <f t="shared" si="2"/>
        <v>1042.4569999999999</v>
      </c>
      <c r="I26" s="98">
        <v>1070.0812900000001</v>
      </c>
      <c r="J26" s="33">
        <f t="shared" si="0"/>
        <v>-27.624290000000201</v>
      </c>
      <c r="K26" s="34"/>
      <c r="L26" s="32">
        <f t="shared" si="12"/>
        <v>0</v>
      </c>
      <c r="M26" s="53"/>
      <c r="N26" s="54"/>
      <c r="O26" s="50"/>
      <c r="P26" s="32">
        <f t="shared" si="3"/>
        <v>0</v>
      </c>
      <c r="Q26" s="37">
        <f t="shared" si="13"/>
        <v>1070.0812900000001</v>
      </c>
      <c r="R26" s="37">
        <f t="shared" si="4"/>
        <v>1070.0812900000001</v>
      </c>
      <c r="S26" s="33">
        <f t="shared" si="7"/>
        <v>-27.624290000000201</v>
      </c>
      <c r="T26" s="10"/>
      <c r="V26" s="114" t="str">
        <f t="shared" si="5"/>
        <v>2034-35</v>
      </c>
      <c r="W26" s="160">
        <v>0</v>
      </c>
      <c r="X26" s="80" t="s">
        <v>82</v>
      </c>
      <c r="Y26" s="80" t="s">
        <v>82</v>
      </c>
      <c r="Z26" s="80" t="s">
        <v>82</v>
      </c>
      <c r="AA26" s="80" t="s">
        <v>82</v>
      </c>
      <c r="AB26" s="157">
        <v>18</v>
      </c>
      <c r="AC26" s="80">
        <v>15</v>
      </c>
      <c r="AD26" s="80" t="s">
        <v>82</v>
      </c>
      <c r="AE26" s="107">
        <v>7</v>
      </c>
      <c r="AF26" s="59">
        <f t="shared" si="14"/>
        <v>40</v>
      </c>
      <c r="AG26" s="158">
        <f t="shared" si="15"/>
        <v>12.375709999999799</v>
      </c>
      <c r="AH26" s="67"/>
      <c r="AI26" s="67"/>
      <c r="AJ26" s="44">
        <v>1149.2166802752236</v>
      </c>
      <c r="AK26" s="45">
        <v>-1149.2166802752236</v>
      </c>
      <c r="AL26" s="43">
        <f t="shared" si="8"/>
        <v>-27.624290000000201</v>
      </c>
      <c r="AM26" s="66">
        <f t="shared" si="9"/>
        <v>-96.624290000000201</v>
      </c>
      <c r="AN26" s="52"/>
      <c r="AP26" s="46">
        <v>49669</v>
      </c>
      <c r="AQ26" s="43">
        <v>1195.84828567505</v>
      </c>
      <c r="AR26" s="46">
        <v>1248.54808998108</v>
      </c>
      <c r="AS26" s="46">
        <v>1248.54808998108</v>
      </c>
      <c r="AU26">
        <v>1177.60448265076</v>
      </c>
      <c r="AV26" s="46">
        <f t="shared" si="10"/>
        <v>0</v>
      </c>
      <c r="AW26" s="46">
        <f t="shared" si="6"/>
        <v>1177.60448265076</v>
      </c>
    </row>
    <row r="27" spans="2:49" x14ac:dyDescent="0.25">
      <c r="B27" s="28" t="s">
        <v>60</v>
      </c>
      <c r="C27" s="29"/>
      <c r="D27" s="30">
        <f t="shared" si="11"/>
        <v>523.9</v>
      </c>
      <c r="E27" s="30">
        <v>447.05700000000002</v>
      </c>
      <c r="F27" s="31">
        <v>2.5</v>
      </c>
      <c r="G27" s="48">
        <v>69</v>
      </c>
      <c r="H27" s="32">
        <f t="shared" si="2"/>
        <v>1042.4569999999999</v>
      </c>
      <c r="I27" s="98">
        <v>1078.7246899999998</v>
      </c>
      <c r="J27" s="33">
        <f t="shared" si="0"/>
        <v>-36.267689999999902</v>
      </c>
      <c r="K27" s="34"/>
      <c r="L27" s="32">
        <f t="shared" si="12"/>
        <v>0</v>
      </c>
      <c r="M27" s="53"/>
      <c r="N27" s="54"/>
      <c r="O27" s="50"/>
      <c r="P27" s="32">
        <f t="shared" si="3"/>
        <v>0</v>
      </c>
      <c r="Q27" s="37">
        <f t="shared" si="13"/>
        <v>1078.7246899999998</v>
      </c>
      <c r="R27" s="37">
        <f t="shared" si="4"/>
        <v>1078.7246899999998</v>
      </c>
      <c r="S27" s="33">
        <f t="shared" si="7"/>
        <v>-36.267689999999902</v>
      </c>
      <c r="T27" s="10"/>
      <c r="V27" s="114" t="str">
        <f t="shared" si="5"/>
        <v>2035-36</v>
      </c>
      <c r="W27" s="160">
        <v>0</v>
      </c>
      <c r="X27" s="80" t="s">
        <v>82</v>
      </c>
      <c r="Y27" s="80" t="s">
        <v>82</v>
      </c>
      <c r="Z27" s="80" t="s">
        <v>82</v>
      </c>
      <c r="AA27" s="80" t="s">
        <v>82</v>
      </c>
      <c r="AB27" s="80">
        <v>18</v>
      </c>
      <c r="AC27" s="80">
        <v>15</v>
      </c>
      <c r="AD27" s="80" t="s">
        <v>82</v>
      </c>
      <c r="AE27" s="107">
        <v>7</v>
      </c>
      <c r="AF27" s="59">
        <f t="shared" si="14"/>
        <v>40</v>
      </c>
      <c r="AG27" s="158">
        <f t="shared" si="15"/>
        <v>3.7323100000000977</v>
      </c>
      <c r="AH27" s="67"/>
      <c r="AI27" s="67"/>
      <c r="AJ27" s="44">
        <v>1160.2287308284001</v>
      </c>
      <c r="AK27" s="45">
        <v>-1160.2287308284001</v>
      </c>
      <c r="AL27" s="43">
        <f t="shared" si="8"/>
        <v>-36.267689999999902</v>
      </c>
      <c r="AM27" s="66">
        <f t="shared" si="9"/>
        <v>-105.2676899999999</v>
      </c>
      <c r="AN27" s="52"/>
      <c r="AP27" s="46">
        <v>50035</v>
      </c>
      <c r="AQ27" s="43">
        <v>1213.4271640777599</v>
      </c>
      <c r="AR27" s="46">
        <v>1269.04686546326</v>
      </c>
      <c r="AS27" s="46">
        <v>1269.04686546326</v>
      </c>
      <c r="AU27">
        <v>1193.9249763488799</v>
      </c>
      <c r="AV27" s="46">
        <f t="shared" si="10"/>
        <v>0</v>
      </c>
      <c r="AW27" s="46">
        <f t="shared" si="6"/>
        <v>1193.9249763488799</v>
      </c>
    </row>
    <row r="28" spans="2:49" x14ac:dyDescent="0.25">
      <c r="B28" s="28" t="s">
        <v>61</v>
      </c>
      <c r="C28" s="29"/>
      <c r="D28" s="30">
        <f t="shared" si="11"/>
        <v>523.9</v>
      </c>
      <c r="E28" s="30">
        <v>447.05700000000002</v>
      </c>
      <c r="F28" s="31">
        <v>2.5</v>
      </c>
      <c r="G28" s="48">
        <v>69</v>
      </c>
      <c r="H28" s="32">
        <f t="shared" si="2"/>
        <v>1042.4569999999999</v>
      </c>
      <c r="I28" s="98">
        <v>1088.9309900000001</v>
      </c>
      <c r="J28" s="33">
        <f t="shared" si="0"/>
        <v>-46.473990000000185</v>
      </c>
      <c r="K28" s="34"/>
      <c r="L28" s="32">
        <f t="shared" si="12"/>
        <v>0</v>
      </c>
      <c r="M28" s="53"/>
      <c r="N28" s="54"/>
      <c r="O28" s="50"/>
      <c r="P28" s="32">
        <f t="shared" si="3"/>
        <v>0</v>
      </c>
      <c r="Q28" s="37">
        <f t="shared" si="13"/>
        <v>1088.9309900000001</v>
      </c>
      <c r="R28" s="37">
        <f t="shared" si="4"/>
        <v>1088.9309900000001</v>
      </c>
      <c r="S28" s="33">
        <f t="shared" si="7"/>
        <v>-46.473990000000185</v>
      </c>
      <c r="T28" s="10"/>
      <c r="V28" s="114" t="str">
        <f t="shared" si="5"/>
        <v>2036-37</v>
      </c>
      <c r="W28" s="160">
        <v>0</v>
      </c>
      <c r="X28" s="80" t="s">
        <v>82</v>
      </c>
      <c r="Y28" s="80" t="s">
        <v>82</v>
      </c>
      <c r="Z28" s="80" t="s">
        <v>82</v>
      </c>
      <c r="AA28" s="80" t="s">
        <v>82</v>
      </c>
      <c r="AB28" s="80">
        <v>18</v>
      </c>
      <c r="AC28" s="80">
        <v>15</v>
      </c>
      <c r="AD28" s="80" t="s">
        <v>82</v>
      </c>
      <c r="AE28" s="107">
        <v>15</v>
      </c>
      <c r="AF28" s="59">
        <f t="shared" si="14"/>
        <v>48</v>
      </c>
      <c r="AG28" s="158">
        <f t="shared" si="15"/>
        <v>1.5260099999998147</v>
      </c>
      <c r="AH28" s="67"/>
      <c r="AI28" s="67"/>
      <c r="AJ28" s="44">
        <v>1172.9807565724554</v>
      </c>
      <c r="AK28" s="45">
        <v>-1172.9807565724554</v>
      </c>
      <c r="AL28" s="43">
        <f t="shared" si="8"/>
        <v>-46.473990000000185</v>
      </c>
      <c r="AM28" s="66">
        <f t="shared" si="9"/>
        <v>-115.47399000000019</v>
      </c>
      <c r="AN28" s="52"/>
      <c r="AP28" s="46">
        <v>50400</v>
      </c>
      <c r="AQ28" s="43">
        <v>1229.75672721863</v>
      </c>
      <c r="AR28" s="46">
        <v>1290.7052478790299</v>
      </c>
      <c r="AS28" s="46">
        <v>1290.7052478790299</v>
      </c>
      <c r="AU28">
        <v>1211.41736793518</v>
      </c>
      <c r="AV28" s="46">
        <f t="shared" si="10"/>
        <v>0</v>
      </c>
      <c r="AW28" s="46">
        <f t="shared" si="6"/>
        <v>1211.41736793518</v>
      </c>
    </row>
    <row r="29" spans="2:49" x14ac:dyDescent="0.25">
      <c r="B29" s="28" t="s">
        <v>62</v>
      </c>
      <c r="C29" s="29"/>
      <c r="D29" s="30">
        <f t="shared" si="11"/>
        <v>523.9</v>
      </c>
      <c r="E29" s="30">
        <v>447.05700000000002</v>
      </c>
      <c r="F29" s="31">
        <v>2.5</v>
      </c>
      <c r="G29" s="48">
        <v>69</v>
      </c>
      <c r="H29" s="32">
        <f>SUM(D29:G29)</f>
        <v>1042.4569999999999</v>
      </c>
      <c r="I29" s="98">
        <v>1095.51595</v>
      </c>
      <c r="J29" s="33">
        <f t="shared" si="0"/>
        <v>-53.058950000000095</v>
      </c>
      <c r="K29" s="34"/>
      <c r="L29" s="32">
        <f t="shared" si="12"/>
        <v>0</v>
      </c>
      <c r="M29" s="53"/>
      <c r="N29" s="54"/>
      <c r="O29" s="50"/>
      <c r="P29" s="32">
        <f>SUM(L29:O29)</f>
        <v>0</v>
      </c>
      <c r="Q29" s="37">
        <f t="shared" si="13"/>
        <v>1095.51595</v>
      </c>
      <c r="R29" s="37">
        <f t="shared" si="4"/>
        <v>1095.51595</v>
      </c>
      <c r="S29" s="33">
        <f t="shared" si="7"/>
        <v>-53.058950000000095</v>
      </c>
      <c r="T29" s="10"/>
      <c r="V29" s="114" t="str">
        <f t="shared" si="5"/>
        <v>2037-38</v>
      </c>
      <c r="W29" s="160">
        <v>0</v>
      </c>
      <c r="X29" s="80" t="s">
        <v>82</v>
      </c>
      <c r="Y29" s="80" t="s">
        <v>82</v>
      </c>
      <c r="Z29" s="80" t="s">
        <v>82</v>
      </c>
      <c r="AA29" s="80" t="s">
        <v>82</v>
      </c>
      <c r="AB29" s="80">
        <v>18</v>
      </c>
      <c r="AC29" s="80">
        <v>15</v>
      </c>
      <c r="AD29" s="80" t="s">
        <v>82</v>
      </c>
      <c r="AE29" s="107">
        <v>30</v>
      </c>
      <c r="AF29" s="59">
        <f t="shared" si="14"/>
        <v>63</v>
      </c>
      <c r="AG29" s="158">
        <f t="shared" si="15"/>
        <v>9.9410499999999047</v>
      </c>
      <c r="AH29" s="67"/>
      <c r="AI29" s="67"/>
      <c r="AJ29" s="44">
        <v>1184.6688191641585</v>
      </c>
      <c r="AK29" s="45">
        <v>-1184.6688191641585</v>
      </c>
      <c r="AL29" s="43">
        <f t="shared" si="8"/>
        <v>-53.058950000000095</v>
      </c>
      <c r="AM29" s="66">
        <f t="shared" si="9"/>
        <v>-122.0589500000001</v>
      </c>
      <c r="AN29" s="52"/>
      <c r="AP29" s="46">
        <v>49669</v>
      </c>
      <c r="AQ29" s="43">
        <v>1195.84828567505</v>
      </c>
      <c r="AR29" s="46">
        <v>1311.1700935363799</v>
      </c>
      <c r="AS29" s="46">
        <v>1311.1700935363799</v>
      </c>
      <c r="AU29">
        <v>1227.67112541199</v>
      </c>
      <c r="AV29" s="46">
        <f t="shared" si="10"/>
        <v>0</v>
      </c>
      <c r="AW29" s="46">
        <f>AU29+AV29</f>
        <v>1227.67112541199</v>
      </c>
    </row>
    <row r="30" spans="2:49" x14ac:dyDescent="0.25">
      <c r="B30" s="28" t="s">
        <v>63</v>
      </c>
      <c r="C30" s="29"/>
      <c r="D30" s="30">
        <f t="shared" si="11"/>
        <v>523.9</v>
      </c>
      <c r="E30" s="30">
        <v>447.05700000000002</v>
      </c>
      <c r="F30" s="31">
        <v>2.5</v>
      </c>
      <c r="G30" s="48">
        <v>69</v>
      </c>
      <c r="H30" s="32">
        <f>SUM(D30:G30)</f>
        <v>1042.4569999999999</v>
      </c>
      <c r="I30" s="98">
        <v>1103.7608200000002</v>
      </c>
      <c r="J30" s="33">
        <f t="shared" si="0"/>
        <v>-61.303820000000314</v>
      </c>
      <c r="K30" s="34"/>
      <c r="L30" s="32">
        <f t="shared" si="12"/>
        <v>0</v>
      </c>
      <c r="M30" s="53"/>
      <c r="N30" s="54"/>
      <c r="O30" s="50"/>
      <c r="P30" s="32">
        <f>SUM(L30:O30)</f>
        <v>0</v>
      </c>
      <c r="Q30" s="37">
        <f t="shared" si="13"/>
        <v>1103.7608200000002</v>
      </c>
      <c r="R30" s="37">
        <f t="shared" si="4"/>
        <v>1103.7608200000002</v>
      </c>
      <c r="S30" s="33">
        <f t="shared" si="7"/>
        <v>-61.303820000000314</v>
      </c>
      <c r="T30" s="10"/>
      <c r="V30" s="114" t="str">
        <f t="shared" si="5"/>
        <v>2038-39</v>
      </c>
      <c r="W30" s="160">
        <v>0</v>
      </c>
      <c r="X30" s="80" t="s">
        <v>82</v>
      </c>
      <c r="Y30" s="80" t="s">
        <v>82</v>
      </c>
      <c r="Z30" s="80" t="s">
        <v>82</v>
      </c>
      <c r="AA30" s="80" t="s">
        <v>82</v>
      </c>
      <c r="AB30" s="80">
        <v>18</v>
      </c>
      <c r="AC30" s="80">
        <v>15</v>
      </c>
      <c r="AD30" s="80" t="s">
        <v>82</v>
      </c>
      <c r="AE30" s="107">
        <v>30</v>
      </c>
      <c r="AF30" s="59">
        <f t="shared" si="14"/>
        <v>63</v>
      </c>
      <c r="AG30" s="158">
        <f t="shared" si="15"/>
        <v>1.6961799999996856</v>
      </c>
      <c r="AH30" s="67"/>
      <c r="AI30" s="67"/>
      <c r="AJ30" s="44">
        <v>1200.0978356738965</v>
      </c>
      <c r="AK30" s="45"/>
      <c r="AL30" s="43">
        <f t="shared" si="8"/>
        <v>-61.303820000000314</v>
      </c>
      <c r="AM30" s="66">
        <f t="shared" si="9"/>
        <v>-130.30382000000031</v>
      </c>
      <c r="AN30" s="52"/>
      <c r="AP30" s="46"/>
      <c r="AQ30" s="43"/>
      <c r="AR30" s="46"/>
      <c r="AS30" s="46"/>
      <c r="AV30" s="46"/>
      <c r="AW30" s="46"/>
    </row>
    <row r="31" spans="2:49" x14ac:dyDescent="0.25">
      <c r="B31" s="28" t="s">
        <v>64</v>
      </c>
      <c r="C31" s="29"/>
      <c r="D31" s="30">
        <f t="shared" si="11"/>
        <v>523.9</v>
      </c>
      <c r="E31" s="30">
        <v>447.05700000000002</v>
      </c>
      <c r="F31" s="31">
        <v>2.5</v>
      </c>
      <c r="G31" s="48">
        <v>69</v>
      </c>
      <c r="H31" s="32">
        <f>SUM(D31:G31)</f>
        <v>1042.4569999999999</v>
      </c>
      <c r="I31" s="98">
        <v>1112.5185900000001</v>
      </c>
      <c r="J31" s="33">
        <f t="shared" si="0"/>
        <v>-70.061590000000251</v>
      </c>
      <c r="K31" s="34"/>
      <c r="L31" s="32">
        <f t="shared" si="12"/>
        <v>0</v>
      </c>
      <c r="M31" s="53"/>
      <c r="N31" s="54"/>
      <c r="O31" s="50"/>
      <c r="P31" s="32">
        <f>SUM(L31:O31)</f>
        <v>0</v>
      </c>
      <c r="Q31" s="37">
        <f t="shared" si="13"/>
        <v>1112.5185900000001</v>
      </c>
      <c r="R31" s="37">
        <f t="shared" si="4"/>
        <v>1112.5185900000001</v>
      </c>
      <c r="S31" s="33">
        <f t="shared" si="7"/>
        <v>-70.061590000000251</v>
      </c>
      <c r="T31" s="10"/>
      <c r="V31" s="114" t="str">
        <f t="shared" si="5"/>
        <v>2039-40</v>
      </c>
      <c r="W31" s="160">
        <v>0</v>
      </c>
      <c r="X31" s="80">
        <v>26</v>
      </c>
      <c r="Y31" s="80" t="s">
        <v>82</v>
      </c>
      <c r="Z31" s="80" t="s">
        <v>82</v>
      </c>
      <c r="AA31" s="80" t="s">
        <v>82</v>
      </c>
      <c r="AB31" s="157">
        <v>18</v>
      </c>
      <c r="AC31" s="80">
        <v>15</v>
      </c>
      <c r="AD31" s="80" t="s">
        <v>82</v>
      </c>
      <c r="AE31" s="107">
        <v>30</v>
      </c>
      <c r="AF31" s="59">
        <f t="shared" si="14"/>
        <v>89</v>
      </c>
      <c r="AG31" s="158">
        <f t="shared" si="15"/>
        <v>18.938409999999749</v>
      </c>
      <c r="AH31" s="67"/>
      <c r="AI31" s="67"/>
      <c r="AJ31" s="44">
        <v>1214.5413742702863</v>
      </c>
      <c r="AK31" s="45"/>
      <c r="AL31" s="43">
        <f t="shared" si="8"/>
        <v>-70.061590000000251</v>
      </c>
      <c r="AM31" s="66">
        <f t="shared" si="9"/>
        <v>-139.06159000000025</v>
      </c>
      <c r="AN31" s="52"/>
      <c r="AP31" s="46"/>
      <c r="AQ31" s="43"/>
      <c r="AR31" s="46"/>
      <c r="AS31" s="46"/>
      <c r="AV31" s="46"/>
      <c r="AW31" s="46"/>
    </row>
    <row r="32" spans="2:49" x14ac:dyDescent="0.25">
      <c r="B32" s="28" t="s">
        <v>65</v>
      </c>
      <c r="C32" s="29"/>
      <c r="D32" s="30">
        <f t="shared" si="11"/>
        <v>523.9</v>
      </c>
      <c r="E32" s="30">
        <v>447.05700000000002</v>
      </c>
      <c r="F32" s="31">
        <v>2.5</v>
      </c>
      <c r="G32" s="48">
        <v>69</v>
      </c>
      <c r="H32" s="32">
        <f>SUM(D32:G32)</f>
        <v>1042.4569999999999</v>
      </c>
      <c r="I32" s="98">
        <v>1122.97398</v>
      </c>
      <c r="J32" s="33">
        <f t="shared" si="0"/>
        <v>-80.516980000000103</v>
      </c>
      <c r="K32" s="34"/>
      <c r="L32" s="32">
        <f t="shared" si="12"/>
        <v>0</v>
      </c>
      <c r="M32" s="53"/>
      <c r="N32" s="54"/>
      <c r="O32" s="50"/>
      <c r="P32" s="32">
        <f t="shared" ref="P32:P33" si="16">SUM(L32:O32)</f>
        <v>0</v>
      </c>
      <c r="Q32" s="37">
        <f t="shared" si="13"/>
        <v>1122.97398</v>
      </c>
      <c r="R32" s="37">
        <f t="shared" si="4"/>
        <v>1122.97398</v>
      </c>
      <c r="S32" s="33">
        <f t="shared" si="7"/>
        <v>-80.516980000000103</v>
      </c>
      <c r="T32" s="10"/>
      <c r="V32" s="114" t="str">
        <f t="shared" si="5"/>
        <v>2040-41</v>
      </c>
      <c r="W32" s="160">
        <v>0</v>
      </c>
      <c r="X32" s="80">
        <v>26</v>
      </c>
      <c r="Y32" s="80" t="s">
        <v>82</v>
      </c>
      <c r="Z32" s="80" t="s">
        <v>82</v>
      </c>
      <c r="AA32" s="80" t="s">
        <v>82</v>
      </c>
      <c r="AB32" s="80">
        <v>18</v>
      </c>
      <c r="AC32" s="80">
        <v>15</v>
      </c>
      <c r="AD32" s="80" t="s">
        <v>82</v>
      </c>
      <c r="AE32" s="107">
        <v>30</v>
      </c>
      <c r="AF32" s="59">
        <f t="shared" si="14"/>
        <v>89</v>
      </c>
      <c r="AG32" s="158">
        <f t="shared" si="15"/>
        <v>8.4830199999998968</v>
      </c>
      <c r="AH32" s="43"/>
      <c r="AI32" s="67"/>
      <c r="AL32" s="43">
        <f t="shared" si="8"/>
        <v>-80.516980000000103</v>
      </c>
      <c r="AM32" s="66">
        <f t="shared" si="9"/>
        <v>-149.5169800000001</v>
      </c>
      <c r="AN32" s="52"/>
    </row>
    <row r="33" spans="2:44" ht="15.75" thickBot="1" x14ac:dyDescent="0.3">
      <c r="B33" s="28" t="s">
        <v>81</v>
      </c>
      <c r="C33" s="29"/>
      <c r="D33" s="30">
        <f t="shared" si="11"/>
        <v>523.9</v>
      </c>
      <c r="E33" s="30">
        <v>447.05700000000002</v>
      </c>
      <c r="F33" s="31">
        <v>2.5</v>
      </c>
      <c r="G33" s="48">
        <v>69</v>
      </c>
      <c r="H33" s="32">
        <f>SUM(D33:G33)</f>
        <v>1042.4569999999999</v>
      </c>
      <c r="I33" s="98">
        <v>1130.08322</v>
      </c>
      <c r="J33" s="33">
        <f t="shared" si="0"/>
        <v>-87.626220000000103</v>
      </c>
      <c r="K33" s="34"/>
      <c r="L33" s="32">
        <f t="shared" si="12"/>
        <v>0</v>
      </c>
      <c r="M33" s="53"/>
      <c r="N33" s="54"/>
      <c r="O33" s="50"/>
      <c r="P33" s="32">
        <f t="shared" si="16"/>
        <v>0</v>
      </c>
      <c r="Q33" s="37">
        <f t="shared" si="13"/>
        <v>1130.08322</v>
      </c>
      <c r="R33" s="37">
        <f t="shared" si="4"/>
        <v>1130.08322</v>
      </c>
      <c r="S33" s="33">
        <f t="shared" si="7"/>
        <v>-87.626220000000103</v>
      </c>
      <c r="T33" s="10"/>
      <c r="U33" s="55"/>
      <c r="V33" s="115" t="str">
        <f>B33</f>
        <v>2041-42</v>
      </c>
      <c r="W33" s="161">
        <v>0</v>
      </c>
      <c r="X33" s="108">
        <v>26</v>
      </c>
      <c r="Y33" s="108" t="s">
        <v>82</v>
      </c>
      <c r="Z33" s="108" t="s">
        <v>82</v>
      </c>
      <c r="AA33" s="108" t="s">
        <v>82</v>
      </c>
      <c r="AB33" s="108">
        <v>18</v>
      </c>
      <c r="AC33" s="108">
        <v>15</v>
      </c>
      <c r="AD33" s="108" t="s">
        <v>82</v>
      </c>
      <c r="AE33" s="109">
        <v>30</v>
      </c>
      <c r="AF33" s="59">
        <f t="shared" si="14"/>
        <v>89</v>
      </c>
      <c r="AG33" s="158">
        <f t="shared" si="15"/>
        <v>1.373779999999897</v>
      </c>
      <c r="AH33" s="43"/>
      <c r="AI33" s="67"/>
      <c r="AM33" s="64"/>
      <c r="AN33"/>
      <c r="AP33" s="40">
        <v>50035</v>
      </c>
      <c r="AQ33" s="43">
        <v>1213.4271640777599</v>
      </c>
      <c r="AR33" s="46"/>
    </row>
    <row r="34" spans="2:44" x14ac:dyDescent="0.25">
      <c r="B34" s="56" t="s">
        <v>66</v>
      </c>
      <c r="C34" s="8"/>
      <c r="D34" s="8"/>
      <c r="E34" s="8"/>
      <c r="F34" s="56"/>
      <c r="G34" s="56"/>
      <c r="H34" s="32"/>
      <c r="I34" s="8"/>
      <c r="J34" s="8"/>
      <c r="K34" s="8"/>
      <c r="L34" s="32"/>
      <c r="M34" s="8"/>
      <c r="N34" s="8"/>
      <c r="O34" s="8"/>
      <c r="P34" s="8"/>
      <c r="Q34" s="8"/>
      <c r="R34" s="8"/>
      <c r="S34" s="8"/>
      <c r="T34" s="8"/>
      <c r="U34" s="8"/>
      <c r="V34" s="57"/>
      <c r="W34" s="58"/>
      <c r="X34" s="57"/>
      <c r="Y34" s="57"/>
      <c r="Z34" s="57"/>
      <c r="AA34" s="57"/>
      <c r="AB34" s="57"/>
      <c r="AC34" s="57"/>
      <c r="AD34" s="57"/>
      <c r="AE34" s="58"/>
      <c r="AF34" s="59"/>
      <c r="AG34" s="55"/>
      <c r="AM34" s="64"/>
      <c r="AN34"/>
      <c r="AP34" s="40">
        <v>50400</v>
      </c>
      <c r="AQ34">
        <v>1229.75672721863</v>
      </c>
    </row>
    <row r="35" spans="2:44" x14ac:dyDescent="0.25">
      <c r="B35" t="s">
        <v>67</v>
      </c>
      <c r="C35" s="8"/>
      <c r="D35" s="8"/>
      <c r="E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57"/>
      <c r="W35" s="58"/>
      <c r="X35" s="57"/>
      <c r="Y35" s="57"/>
      <c r="Z35" s="57"/>
      <c r="AA35" s="57"/>
      <c r="AB35" s="57"/>
      <c r="AC35" s="57"/>
      <c r="AD35" s="57"/>
      <c r="AE35" s="58"/>
      <c r="AF35" s="59"/>
      <c r="AG35" s="55"/>
      <c r="AM35" s="64"/>
      <c r="AN35"/>
    </row>
    <row r="36" spans="2:44" x14ac:dyDescent="0.25">
      <c r="B36" s="8" t="s">
        <v>68</v>
      </c>
      <c r="C36" s="8"/>
      <c r="D36" s="8"/>
      <c r="E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57"/>
      <c r="W36" s="58"/>
      <c r="X36" s="57"/>
      <c r="Y36" s="57"/>
      <c r="Z36" s="57"/>
      <c r="AA36" s="57"/>
      <c r="AB36" s="57"/>
      <c r="AC36" s="57"/>
      <c r="AD36" s="57"/>
      <c r="AE36" s="58"/>
      <c r="AF36" s="59"/>
      <c r="AG36" s="59"/>
      <c r="AM36" s="64"/>
      <c r="AN36"/>
    </row>
    <row r="37" spans="2:44" x14ac:dyDescent="0.25">
      <c r="B37" s="8" t="s">
        <v>84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57"/>
      <c r="W37" s="58"/>
      <c r="X37" s="57"/>
      <c r="Y37" s="57"/>
      <c r="Z37" s="57"/>
      <c r="AA37" s="57"/>
      <c r="AB37" s="57"/>
      <c r="AC37" s="57"/>
      <c r="AD37" s="57"/>
      <c r="AE37" s="58"/>
      <c r="AF37" s="59"/>
      <c r="AG37" s="59"/>
      <c r="AM37" s="64"/>
      <c r="AN37"/>
    </row>
    <row r="38" spans="2:44" x14ac:dyDescent="0.25">
      <c r="B38" s="8" t="s">
        <v>69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57"/>
      <c r="W38" s="58"/>
      <c r="X38" s="57"/>
      <c r="Y38" s="57"/>
      <c r="Z38" s="57"/>
      <c r="AA38" s="57"/>
      <c r="AB38" s="57"/>
      <c r="AC38" s="57"/>
      <c r="AD38" s="57"/>
      <c r="AE38" s="58"/>
      <c r="AF38" s="59"/>
      <c r="AG38" s="59"/>
      <c r="AM38" s="64"/>
      <c r="AN38"/>
    </row>
    <row r="39" spans="2:44" x14ac:dyDescent="0.25">
      <c r="B39" s="8" t="s">
        <v>70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57"/>
      <c r="W39" s="58"/>
      <c r="X39" s="57"/>
      <c r="Y39" s="57"/>
      <c r="Z39" s="57"/>
      <c r="AA39" s="57"/>
      <c r="AB39" s="57"/>
      <c r="AC39" s="57"/>
      <c r="AD39" s="57"/>
      <c r="AE39" s="58"/>
      <c r="AF39" s="59"/>
      <c r="AG39" s="59"/>
      <c r="AM39" s="64"/>
      <c r="AN39"/>
    </row>
    <row r="40" spans="2:44" x14ac:dyDescent="0.25"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57"/>
      <c r="W40" s="58"/>
      <c r="X40" s="57"/>
      <c r="Y40" s="57"/>
      <c r="Z40" s="57"/>
      <c r="AA40" s="57"/>
      <c r="AB40" s="57"/>
      <c r="AC40" s="57"/>
      <c r="AD40" s="57"/>
      <c r="AE40" s="58"/>
      <c r="AF40" s="59"/>
      <c r="AG40" s="59"/>
      <c r="AM40" s="64"/>
      <c r="AN40"/>
    </row>
    <row r="41" spans="2:44" x14ac:dyDescent="0.2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57"/>
      <c r="W41" s="58"/>
      <c r="X41" s="57"/>
      <c r="Y41" s="57"/>
      <c r="Z41" s="57"/>
      <c r="AA41" s="57"/>
      <c r="AB41" s="57"/>
      <c r="AC41" s="57"/>
      <c r="AD41" s="57"/>
      <c r="AE41" s="58"/>
      <c r="AF41" s="59"/>
      <c r="AG41" s="59"/>
      <c r="AM41" s="64"/>
      <c r="AN41"/>
    </row>
    <row r="42" spans="2:44" x14ac:dyDescent="0.25">
      <c r="B42" s="8"/>
      <c r="C42" s="8"/>
      <c r="D42" s="8"/>
      <c r="E42" s="8"/>
      <c r="F42" s="8"/>
      <c r="G42" s="8"/>
      <c r="H42" s="8" t="s">
        <v>74</v>
      </c>
      <c r="I42" s="8" t="s">
        <v>75</v>
      </c>
      <c r="J42" s="8" t="s">
        <v>76</v>
      </c>
      <c r="K42" s="8"/>
      <c r="L42" s="8" t="s">
        <v>77</v>
      </c>
      <c r="M42" s="8"/>
      <c r="N42" s="8"/>
      <c r="O42" s="8"/>
      <c r="P42" s="8"/>
      <c r="Q42" s="8"/>
      <c r="R42" s="8"/>
      <c r="S42" s="8"/>
      <c r="T42" s="8"/>
      <c r="U42" s="8"/>
      <c r="V42" s="57"/>
      <c r="W42" s="58"/>
      <c r="X42" s="57"/>
      <c r="Y42" s="57"/>
      <c r="Z42" s="57"/>
      <c r="AA42" s="57"/>
      <c r="AB42" s="57"/>
      <c r="AC42" s="57"/>
      <c r="AD42" s="57"/>
      <c r="AE42" s="58"/>
      <c r="AF42" s="59"/>
      <c r="AG42" s="59"/>
      <c r="AM42" s="64"/>
      <c r="AN42"/>
    </row>
    <row r="43" spans="2:44" x14ac:dyDescent="0.25">
      <c r="C43" s="8"/>
      <c r="D43" s="8"/>
      <c r="E43" s="8"/>
      <c r="F43" s="8"/>
      <c r="G43" s="8"/>
      <c r="H43" s="8">
        <v>2020</v>
      </c>
      <c r="J43" s="68">
        <v>955.40456999999992</v>
      </c>
      <c r="K43" s="8"/>
      <c r="L43" s="68">
        <v>955.40456999999992</v>
      </c>
      <c r="M43" s="8"/>
      <c r="N43" s="8"/>
      <c r="O43" s="8"/>
      <c r="P43" s="8"/>
      <c r="Q43" s="8"/>
      <c r="R43" s="8"/>
      <c r="S43" s="8"/>
      <c r="T43" s="8"/>
      <c r="U43" s="8"/>
      <c r="V43" s="57"/>
      <c r="W43" s="58"/>
      <c r="X43" s="57"/>
      <c r="Y43" s="57"/>
      <c r="Z43" s="57"/>
      <c r="AA43" s="57"/>
      <c r="AB43" s="57"/>
      <c r="AC43" s="57"/>
      <c r="AD43" s="57"/>
      <c r="AE43" s="58"/>
      <c r="AF43" s="59"/>
      <c r="AG43" s="59"/>
      <c r="AM43" s="64"/>
      <c r="AN43"/>
    </row>
    <row r="44" spans="2:44" x14ac:dyDescent="0.25">
      <c r="C44" s="8"/>
      <c r="D44" s="8"/>
      <c r="E44" s="8"/>
      <c r="F44" s="8"/>
      <c r="G44" s="8"/>
      <c r="H44" s="8">
        <v>2021</v>
      </c>
      <c r="J44" s="68">
        <v>957.00229999999999</v>
      </c>
      <c r="K44" s="8"/>
      <c r="L44" s="68">
        <v>957.00229999999999</v>
      </c>
      <c r="M44" s="8"/>
      <c r="N44" s="8"/>
      <c r="O44" s="8"/>
      <c r="P44" s="8"/>
      <c r="Q44" s="8"/>
      <c r="R44" s="8"/>
      <c r="S44" s="8"/>
      <c r="T44" s="8"/>
      <c r="U44" s="8"/>
      <c r="V44" s="57"/>
      <c r="W44" s="58"/>
      <c r="X44" s="57"/>
      <c r="Y44" s="57"/>
      <c r="Z44" s="57"/>
      <c r="AA44" s="57"/>
      <c r="AB44" s="57"/>
      <c r="AC44" s="57"/>
      <c r="AD44" s="57"/>
      <c r="AE44" s="58"/>
      <c r="AF44" s="59"/>
      <c r="AG44" s="59"/>
      <c r="AM44" s="64"/>
      <c r="AN44"/>
    </row>
    <row r="45" spans="2:44" x14ac:dyDescent="0.25">
      <c r="H45" s="8">
        <v>2022</v>
      </c>
      <c r="I45" s="68">
        <v>961.77698516845703</v>
      </c>
      <c r="J45" s="66">
        <v>966.56050000000005</v>
      </c>
      <c r="L45" s="66">
        <v>966.56050000000005</v>
      </c>
      <c r="V45" s="57"/>
      <c r="W45" s="59"/>
      <c r="X45" s="57"/>
      <c r="Y45" s="57"/>
      <c r="Z45" s="57"/>
      <c r="AA45" s="57"/>
      <c r="AB45" s="57"/>
      <c r="AC45" s="57"/>
      <c r="AD45" s="57"/>
      <c r="AE45" s="57"/>
      <c r="AF45" s="59"/>
      <c r="AG45" s="59"/>
      <c r="AM45" s="64"/>
      <c r="AN45"/>
    </row>
    <row r="46" spans="2:44" x14ac:dyDescent="0.25">
      <c r="H46" s="8">
        <v>2023</v>
      </c>
      <c r="I46" s="68">
        <v>966.23793792724598</v>
      </c>
      <c r="J46" s="66">
        <v>976.51042000000007</v>
      </c>
      <c r="L46" s="66">
        <v>976.51042000000007</v>
      </c>
      <c r="V46" s="57"/>
      <c r="W46" s="59"/>
      <c r="X46" s="57"/>
      <c r="Y46" s="57"/>
      <c r="Z46" s="57"/>
      <c r="AA46" s="57"/>
      <c r="AB46" s="57"/>
      <c r="AC46" s="57"/>
      <c r="AD46" s="57"/>
      <c r="AE46" s="57"/>
      <c r="AF46" s="59"/>
      <c r="AG46" s="59"/>
      <c r="AM46" s="64"/>
      <c r="AN46"/>
    </row>
    <row r="47" spans="2:44" x14ac:dyDescent="0.25">
      <c r="H47">
        <v>2024</v>
      </c>
      <c r="I47" s="66">
        <v>971.92963409423805</v>
      </c>
      <c r="J47" s="66">
        <v>987.94945999999993</v>
      </c>
      <c r="L47" s="66">
        <v>987.94945999999993</v>
      </c>
      <c r="V47" s="57"/>
      <c r="W47" s="59"/>
      <c r="X47" s="57"/>
      <c r="Y47" s="57"/>
      <c r="Z47" s="57"/>
      <c r="AA47" s="57"/>
      <c r="AB47" s="57"/>
      <c r="AC47" s="57"/>
      <c r="AD47" s="57"/>
      <c r="AE47" s="57"/>
      <c r="AF47" s="59"/>
      <c r="AG47" s="59"/>
      <c r="AM47" s="64"/>
      <c r="AN47"/>
    </row>
    <row r="48" spans="2:44" x14ac:dyDescent="0.25">
      <c r="H48">
        <v>2025</v>
      </c>
      <c r="I48" s="66">
        <v>973.46224975585903</v>
      </c>
      <c r="J48" s="66">
        <v>995.33915999999999</v>
      </c>
      <c r="L48" s="66">
        <v>995.33915999999999</v>
      </c>
      <c r="V48" s="57"/>
      <c r="W48" s="59"/>
      <c r="X48" s="57"/>
      <c r="Y48" s="57"/>
      <c r="Z48" s="57"/>
      <c r="AA48" s="57"/>
      <c r="AB48" s="57"/>
      <c r="AC48" s="57"/>
      <c r="AD48" s="57"/>
      <c r="AE48" s="57"/>
      <c r="AF48" s="59"/>
      <c r="AG48" s="59"/>
      <c r="AM48" s="64"/>
      <c r="AN48"/>
    </row>
    <row r="49" spans="8:40" x14ac:dyDescent="0.25">
      <c r="H49">
        <v>2026</v>
      </c>
      <c r="I49" s="66">
        <v>975.39290618896496</v>
      </c>
      <c r="J49" s="66">
        <v>1003.3576700000001</v>
      </c>
      <c r="L49" s="66">
        <v>1003.3576700000001</v>
      </c>
      <c r="V49" s="57"/>
      <c r="W49" s="59"/>
      <c r="X49" s="57"/>
      <c r="Y49" s="57"/>
      <c r="Z49" s="57"/>
      <c r="AA49" s="57"/>
      <c r="AB49" s="57"/>
      <c r="AC49" s="57"/>
      <c r="AD49" s="57"/>
      <c r="AE49" s="57"/>
      <c r="AF49" s="59"/>
      <c r="AG49" s="59"/>
      <c r="AM49" s="64"/>
      <c r="AN49"/>
    </row>
    <row r="50" spans="8:40" x14ac:dyDescent="0.25">
      <c r="H50">
        <v>2027</v>
      </c>
      <c r="I50" s="66">
        <v>976.90145874023403</v>
      </c>
      <c r="J50" s="66">
        <v>1011.2176899999998</v>
      </c>
      <c r="K50" s="60"/>
      <c r="L50" s="66">
        <v>1011.2176899999998</v>
      </c>
      <c r="V50" s="57"/>
      <c r="W50" s="59"/>
      <c r="X50" s="57"/>
      <c r="Y50" s="57"/>
      <c r="Z50" s="57"/>
      <c r="AA50" s="57"/>
      <c r="AB50" s="57"/>
      <c r="AC50" s="57"/>
      <c r="AD50" s="57"/>
      <c r="AE50" s="57"/>
      <c r="AF50" s="59"/>
      <c r="AG50" s="59"/>
      <c r="AM50" s="64"/>
      <c r="AN50"/>
    </row>
    <row r="51" spans="8:40" x14ac:dyDescent="0.25">
      <c r="H51">
        <v>2028</v>
      </c>
      <c r="I51" s="66">
        <v>979.83416748046898</v>
      </c>
      <c r="J51" s="66">
        <v>1020.75771</v>
      </c>
      <c r="K51" s="60"/>
      <c r="L51" s="66">
        <v>1020.75771</v>
      </c>
      <c r="V51" s="57"/>
      <c r="W51" s="59"/>
      <c r="X51" s="57"/>
      <c r="Y51" s="57"/>
      <c r="Z51" s="57"/>
      <c r="AA51" s="57"/>
      <c r="AB51" s="57"/>
      <c r="AC51" s="57"/>
      <c r="AD51" s="57"/>
      <c r="AE51" s="57"/>
      <c r="AF51" s="59"/>
      <c r="AG51" s="59"/>
      <c r="AM51" s="64"/>
      <c r="AN51"/>
    </row>
    <row r="52" spans="8:40" x14ac:dyDescent="0.25">
      <c r="H52">
        <v>2029</v>
      </c>
      <c r="I52" s="66">
        <v>979.54430389404297</v>
      </c>
      <c r="J52" s="66">
        <v>1027.3149399999998</v>
      </c>
      <c r="K52" s="60"/>
      <c r="L52" s="66">
        <v>1027.3149399999998</v>
      </c>
      <c r="V52" s="57"/>
      <c r="W52" s="59"/>
      <c r="X52" s="57"/>
      <c r="Y52" s="57"/>
      <c r="Z52" s="57"/>
      <c r="AA52" s="57"/>
      <c r="AB52" s="57"/>
      <c r="AC52" s="57"/>
      <c r="AD52" s="57"/>
      <c r="AE52" s="57"/>
      <c r="AF52" s="59"/>
      <c r="AG52" s="59"/>
      <c r="AM52" s="64"/>
      <c r="AN52"/>
    </row>
    <row r="53" spans="8:40" x14ac:dyDescent="0.25">
      <c r="H53">
        <v>2030</v>
      </c>
      <c r="I53" s="66">
        <v>980.82729339599598</v>
      </c>
      <c r="J53" s="66">
        <v>1035.65245</v>
      </c>
      <c r="K53" s="60"/>
      <c r="L53" s="66">
        <v>1035.65245</v>
      </c>
      <c r="V53" s="57"/>
      <c r="W53" s="59"/>
      <c r="X53" s="57"/>
      <c r="Y53" s="57"/>
      <c r="Z53" s="57"/>
      <c r="AA53" s="57"/>
      <c r="AB53" s="57"/>
      <c r="AC53" s="57"/>
      <c r="AD53" s="57"/>
      <c r="AE53" s="57"/>
      <c r="AF53" s="59"/>
      <c r="AG53" s="59"/>
      <c r="AM53" s="64"/>
      <c r="AN53"/>
    </row>
    <row r="54" spans="8:40" x14ac:dyDescent="0.25">
      <c r="H54">
        <v>2031</v>
      </c>
      <c r="I54" s="66">
        <v>982.41887664794899</v>
      </c>
      <c r="J54" s="66">
        <v>1044.54214</v>
      </c>
      <c r="K54" s="60"/>
      <c r="L54" s="66">
        <v>1044.54214</v>
      </c>
      <c r="V54" s="57"/>
      <c r="W54" s="59"/>
      <c r="X54" s="57"/>
      <c r="Y54" s="57"/>
      <c r="Z54" s="57"/>
      <c r="AA54" s="57"/>
      <c r="AB54" s="57"/>
      <c r="AC54" s="57"/>
      <c r="AD54" s="57"/>
      <c r="AE54" s="57"/>
      <c r="AF54" s="59"/>
      <c r="AG54" s="59"/>
      <c r="AM54" s="64"/>
      <c r="AN54"/>
    </row>
    <row r="55" spans="8:40" x14ac:dyDescent="0.25">
      <c r="H55">
        <v>2032</v>
      </c>
      <c r="I55" s="66">
        <v>988.16950988769497</v>
      </c>
      <c r="J55" s="66">
        <v>1054.7405199999998</v>
      </c>
      <c r="L55" s="66">
        <v>1054.7405199999998</v>
      </c>
      <c r="V55" s="57"/>
      <c r="W55" s="59"/>
      <c r="X55" s="57"/>
      <c r="Y55" s="57"/>
      <c r="Z55" s="57"/>
      <c r="AA55" s="57"/>
      <c r="AB55" s="57"/>
      <c r="AC55" s="57"/>
      <c r="AD55" s="57"/>
      <c r="AE55" s="57"/>
      <c r="AF55" s="59"/>
      <c r="AG55" s="59"/>
      <c r="AM55" s="64"/>
      <c r="AN55"/>
    </row>
    <row r="56" spans="8:40" x14ac:dyDescent="0.25">
      <c r="H56">
        <v>2033</v>
      </c>
      <c r="I56" s="66">
        <v>990.39758300781295</v>
      </c>
      <c r="J56" s="66">
        <v>1061.5890300000001</v>
      </c>
      <c r="L56" s="66">
        <v>1061.5890300000001</v>
      </c>
      <c r="V56" s="57"/>
      <c r="W56" s="59"/>
      <c r="X56" s="57"/>
      <c r="Y56" s="57"/>
      <c r="Z56" s="57"/>
      <c r="AA56" s="57"/>
      <c r="AB56" s="57"/>
      <c r="AC56" s="57"/>
      <c r="AD56" s="57"/>
      <c r="AE56" s="57"/>
      <c r="AF56" s="59"/>
      <c r="AG56" s="59"/>
      <c r="AM56" s="64"/>
      <c r="AN56"/>
    </row>
    <row r="57" spans="8:40" x14ac:dyDescent="0.25">
      <c r="H57">
        <v>2034</v>
      </c>
      <c r="I57" s="66">
        <v>994.16191101074196</v>
      </c>
      <c r="J57" s="66">
        <v>1070.0812900000001</v>
      </c>
      <c r="L57" s="66">
        <v>1070.0812900000001</v>
      </c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9"/>
      <c r="AG57" s="59"/>
      <c r="AH57" s="59"/>
      <c r="AI57" s="59"/>
    </row>
    <row r="58" spans="8:40" x14ac:dyDescent="0.25">
      <c r="H58">
        <v>2035</v>
      </c>
      <c r="I58" s="66">
        <v>998.00399780273403</v>
      </c>
      <c r="J58" s="66">
        <v>1078.7246899999998</v>
      </c>
      <c r="L58" s="66">
        <v>1078.7246899999998</v>
      </c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</row>
    <row r="59" spans="8:40" x14ac:dyDescent="0.25">
      <c r="H59">
        <v>2036</v>
      </c>
      <c r="I59" s="66">
        <v>1003.49921417236</v>
      </c>
      <c r="J59" s="66">
        <v>1088.9309900000001</v>
      </c>
      <c r="L59" s="66">
        <v>1088.9309900000001</v>
      </c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</row>
    <row r="60" spans="8:40" x14ac:dyDescent="0.25">
      <c r="H60">
        <v>2037</v>
      </c>
      <c r="I60" s="66">
        <v>1005.32539367676</v>
      </c>
      <c r="J60" s="66">
        <v>1095.51595</v>
      </c>
      <c r="L60" s="66">
        <v>1095.51595</v>
      </c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</row>
    <row r="61" spans="8:40" x14ac:dyDescent="0.25">
      <c r="H61">
        <v>2038</v>
      </c>
      <c r="I61" s="66">
        <v>1008.81742858887</v>
      </c>
      <c r="J61" s="66">
        <v>1103.7608200000002</v>
      </c>
      <c r="L61" s="66">
        <v>1103.7608200000002</v>
      </c>
      <c r="V61" s="61"/>
      <c r="W61" s="62"/>
      <c r="X61" s="62"/>
      <c r="Y61" s="62"/>
      <c r="Z61" s="62"/>
      <c r="AA61" s="62"/>
      <c r="AB61" s="62"/>
      <c r="AC61" s="62"/>
      <c r="AD61" s="62"/>
      <c r="AE61" s="62"/>
      <c r="AF61" s="55"/>
      <c r="AG61" s="55"/>
      <c r="AH61" s="55"/>
      <c r="AI61" s="55"/>
    </row>
    <row r="62" spans="8:40" x14ac:dyDescent="0.25">
      <c r="H62">
        <v>2039</v>
      </c>
      <c r="I62" s="66">
        <v>1012.8324890136701</v>
      </c>
      <c r="J62" s="66">
        <v>1112.5185900000001</v>
      </c>
      <c r="L62" s="66">
        <v>1112.5185900000001</v>
      </c>
      <c r="V62" s="57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</row>
    <row r="63" spans="8:40" x14ac:dyDescent="0.25">
      <c r="H63">
        <v>2040</v>
      </c>
      <c r="I63" s="66">
        <v>1018.59645843506</v>
      </c>
      <c r="J63" s="66">
        <v>1122.97398</v>
      </c>
      <c r="L63" s="66">
        <v>1122.97398</v>
      </c>
      <c r="V63" s="57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</row>
    <row r="64" spans="8:40" x14ac:dyDescent="0.25">
      <c r="H64">
        <v>2041</v>
      </c>
      <c r="I64" s="66">
        <v>1021.17884063721</v>
      </c>
      <c r="J64" s="66">
        <v>1130.08322</v>
      </c>
      <c r="V64" s="57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</row>
    <row r="65" spans="22:35" x14ac:dyDescent="0.25">
      <c r="V65" s="57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</row>
    <row r="66" spans="22:35" x14ac:dyDescent="0.25">
      <c r="V66" s="57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</row>
    <row r="67" spans="22:35" x14ac:dyDescent="0.25">
      <c r="V67" s="57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</row>
    <row r="68" spans="22:35" x14ac:dyDescent="0.25">
      <c r="V68" s="57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</row>
    <row r="69" spans="22:35" x14ac:dyDescent="0.25">
      <c r="V69" s="57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</row>
    <row r="70" spans="22:35" x14ac:dyDescent="0.25">
      <c r="V70" s="57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</row>
    <row r="71" spans="22:35" x14ac:dyDescent="0.25">
      <c r="V71" s="57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</row>
    <row r="72" spans="22:35" x14ac:dyDescent="0.25">
      <c r="V72" s="57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</row>
    <row r="73" spans="22:35" x14ac:dyDescent="0.25">
      <c r="V73" s="57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</row>
    <row r="74" spans="22:35" x14ac:dyDescent="0.25">
      <c r="V74" s="57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</row>
    <row r="75" spans="22:35" x14ac:dyDescent="0.25">
      <c r="V75" s="57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</row>
    <row r="76" spans="22:35" x14ac:dyDescent="0.25">
      <c r="V76" s="57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</row>
    <row r="77" spans="22:35" x14ac:dyDescent="0.25">
      <c r="V77" s="57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</row>
    <row r="78" spans="22:35" x14ac:dyDescent="0.25">
      <c r="V78" s="57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</row>
    <row r="79" spans="22:35" x14ac:dyDescent="0.25">
      <c r="V79" s="57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</row>
    <row r="80" spans="22:35" x14ac:dyDescent="0.25">
      <c r="V80" s="57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</row>
    <row r="81" spans="22:35" x14ac:dyDescent="0.25">
      <c r="V81" s="57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</row>
    <row r="82" spans="22:35" x14ac:dyDescent="0.25">
      <c r="V82" s="57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</row>
    <row r="83" spans="22:35" x14ac:dyDescent="0.25">
      <c r="V83" s="57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</row>
    <row r="84" spans="22:35" x14ac:dyDescent="0.25"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</row>
    <row r="85" spans="22:35" x14ac:dyDescent="0.25"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</row>
    <row r="86" spans="22:35" x14ac:dyDescent="0.25"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</row>
    <row r="87" spans="22:35" x14ac:dyDescent="0.25"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</row>
    <row r="88" spans="22:35" x14ac:dyDescent="0.25"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</row>
    <row r="89" spans="22:35" x14ac:dyDescent="0.25"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</row>
    <row r="90" spans="22:35" x14ac:dyDescent="0.25"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</row>
    <row r="91" spans="22:35" x14ac:dyDescent="0.25"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</row>
    <row r="92" spans="22:35" x14ac:dyDescent="0.25"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</row>
    <row r="93" spans="22:35" x14ac:dyDescent="0.25"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</row>
    <row r="94" spans="22:35" x14ac:dyDescent="0.25"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</row>
    <row r="95" spans="22:35" x14ac:dyDescent="0.25"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</row>
    <row r="96" spans="22:35" x14ac:dyDescent="0.25"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</row>
    <row r="97" spans="22:35" x14ac:dyDescent="0.25"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</row>
    <row r="98" spans="22:35" x14ac:dyDescent="0.25"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</row>
  </sheetData>
  <mergeCells count="1">
    <mergeCell ref="M5:S5"/>
  </mergeCells>
  <pageMargins left="0" right="0" top="0.75" bottom="0.75" header="0.3" footer="0.3"/>
  <pageSetup scale="42" orientation="landscape" r:id="rId1"/>
  <headerFooter>
    <oddHeader>&amp;L&amp;Z&amp;F</oddHeader>
    <oddFooter>&amp;R&amp;A
&amp;D&amp;T
&amp;Z&amp;F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505698CA04C43D45AEDAF50110BA23A2" ma:contentTypeVersion="52" ma:contentTypeDescription="" ma:contentTypeScope="" ma:versionID="e22b57e6843e6109cbbb6b70f1963938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Plan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Plan</CaseType>
    <IndustryCode xmlns="dc463f71-b30c-4ab2-9473-d307f9d35888">140</IndustryCode>
    <CaseStatus xmlns="dc463f71-b30c-4ab2-9473-d307f9d35888">Pending</CaseStatus>
    <OpenedDate xmlns="dc463f71-b30c-4ab2-9473-d307f9d35888">2020-04-01T07:00:00+00:00</OpenedDate>
    <SignificantOrder xmlns="dc463f71-b30c-4ab2-9473-d307f9d35888">false</SignificantOrder>
    <Date1 xmlns="dc463f71-b30c-4ab2-9473-d307f9d35888">2021-04-01T07:00:00+00:00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Puget Sound Energy</CaseCompanyNames>
    <Nickname xmlns="http://schemas.microsoft.com/sharepoint/v3" xsi:nil="true"/>
    <DocketNumber xmlns="dc463f71-b30c-4ab2-9473-d307f9d35888">200304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E2C60631-E0FB-462B-9B19-E6009F0012D5}"/>
</file>

<file path=customXml/itemProps2.xml><?xml version="1.0" encoding="utf-8"?>
<ds:datastoreItem xmlns:ds="http://schemas.openxmlformats.org/officeDocument/2006/customXml" ds:itemID="{6CE3E6C2-EDCD-41D3-BD77-144F0C8D853B}"/>
</file>

<file path=customXml/itemProps3.xml><?xml version="1.0" encoding="utf-8"?>
<ds:datastoreItem xmlns:ds="http://schemas.openxmlformats.org/officeDocument/2006/customXml" ds:itemID="{C38C28D7-5C78-4B58-827E-A9C9E9900695}"/>
</file>

<file path=customXml/itemProps4.xml><?xml version="1.0" encoding="utf-8"?>
<ds:datastoreItem xmlns:ds="http://schemas.openxmlformats.org/officeDocument/2006/customXml" ds:itemID="{D5F60126-99BE-45E2-A218-9E63FB99E9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21</vt:i4>
      </vt:variant>
      <vt:variant>
        <vt:lpstr>Charts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54" baseType="lpstr">
      <vt:lpstr>Read_Me</vt:lpstr>
      <vt:lpstr>SUMMARY TABLES &gt;&gt;&gt;</vt:lpstr>
      <vt:lpstr>Summary Results Tables</vt:lpstr>
      <vt:lpstr>Figure 9-26</vt:lpstr>
      <vt:lpstr>Total system cost tables</vt:lpstr>
      <vt:lpstr>SENDOUT OUTPUTS &gt;&gt;&gt;</vt:lpstr>
      <vt:lpstr>L&amp;R Bal - Mid</vt:lpstr>
      <vt:lpstr>L&amp;R Bal - Mid No carbon</vt:lpstr>
      <vt:lpstr>L&amp;R Bal - Mid No DSR</vt:lpstr>
      <vt:lpstr>L&amp;R Bal - HIGH</vt:lpstr>
      <vt:lpstr>L&amp;R Bal - LOW</vt:lpstr>
      <vt:lpstr>L&amp;R Bal - LOW No DSR</vt:lpstr>
      <vt:lpstr>L&amp;R Bal - LOW No Carbon</vt:lpstr>
      <vt:lpstr>L&amp;R Bal - AR5</vt:lpstr>
      <vt:lpstr>L&amp;R Bal - 6 Yr Ramp</vt:lpstr>
      <vt:lpstr>L&amp;R Bal - SDR</vt:lpstr>
      <vt:lpstr>Total System Cost</vt:lpstr>
      <vt:lpstr>Gas Sales - Base Build Summary</vt:lpstr>
      <vt:lpstr>CHARTS &gt;&gt;&gt;</vt:lpstr>
      <vt:lpstr>G2E SENSITIVITY &gt;&gt;&gt;</vt:lpstr>
      <vt:lpstr>G2E Data</vt:lpstr>
      <vt:lpstr>Chart-Resource Surplus-Need</vt:lpstr>
      <vt:lpstr>Chart- Mid Builds</vt:lpstr>
      <vt:lpstr>Chart- Mid No Carbon Builds</vt:lpstr>
      <vt:lpstr>Chart- Mid No DSR Builds</vt:lpstr>
      <vt:lpstr>Chart-Mid vs 2019</vt:lpstr>
      <vt:lpstr>Chart-High</vt:lpstr>
      <vt:lpstr>Chart- low Builds</vt:lpstr>
      <vt:lpstr>Chart- low No DSR Builds</vt:lpstr>
      <vt:lpstr>Chart- low No Carbon Builds</vt:lpstr>
      <vt:lpstr>Chart- Low Builds Scenarios </vt:lpstr>
      <vt:lpstr>Chart- Mid Builds Sensitivities</vt:lpstr>
      <vt:lpstr>Chart-Sytem Cost $ per Dth</vt:lpstr>
      <vt:lpstr>Chart-total system cost</vt:lpstr>
      <vt:lpstr>Chart-total syst cost Temp Sens</vt:lpstr>
      <vt:lpstr>Chart-system cost Sensitivities</vt:lpstr>
      <vt:lpstr>Chart-Builds scenario</vt:lpstr>
      <vt:lpstr>Chart-Scenario Builds</vt:lpstr>
      <vt:lpstr>Fig 8-1 Resource Need BaseLoHi</vt:lpstr>
      <vt:lpstr>Fig 8-1 Demand Peak BaseLowHigh</vt:lpstr>
      <vt:lpstr>Fig 8-1 Demand BaseLowHigh </vt:lpstr>
      <vt:lpstr>Costs</vt:lpstr>
      <vt:lpstr>Emissions</vt:lpstr>
      <vt:lpstr>Chart1</vt:lpstr>
      <vt:lpstr>'L&amp;R Bal - 6 Yr Ramp'!Print_Area</vt:lpstr>
      <vt:lpstr>'L&amp;R Bal - AR5'!Print_Area</vt:lpstr>
      <vt:lpstr>'L&amp;R Bal - HIGH'!Print_Area</vt:lpstr>
      <vt:lpstr>'L&amp;R Bal - LOW'!Print_Area</vt:lpstr>
      <vt:lpstr>'L&amp;R Bal - LOW No Carbon'!Print_Area</vt:lpstr>
      <vt:lpstr>'L&amp;R Bal - LOW No DSR'!Print_Area</vt:lpstr>
      <vt:lpstr>'L&amp;R Bal - Mid'!Print_Area</vt:lpstr>
      <vt:lpstr>'L&amp;R Bal - Mid No carbon'!Print_Area</vt:lpstr>
      <vt:lpstr>'L&amp;R Bal - Mid No DSR'!Print_Area</vt:lpstr>
      <vt:lpstr>'L&amp;R Bal - SDR'!Print_Area</vt:lpstr>
    </vt:vector>
  </TitlesOfParts>
  <Company>PUGET SOUND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Singh, Gurvinder</dc:creator>
  <cp:lastModifiedBy>Inman, Charles</cp:lastModifiedBy>
  <dcterms:created xsi:type="dcterms:W3CDTF">2020-08-23T21:01:53Z</dcterms:created>
  <dcterms:modified xsi:type="dcterms:W3CDTF">2021-03-30T16:22:34Z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0x0101006E56B4D1795A2E4DB2F0B01679ED314A00505698CA04C43D45AEDAF50110BA23A2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