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Page 1 Decoupling Base" sheetId="1" r:id="rId1"/>
    <sheet name="Page 2 Revenue per Customer" sheetId="2" r:id="rId2"/>
    <sheet name="Page 3 Monthly Shaping" sheetId="3" r:id="rId3"/>
    <sheet name="Page 4 Cost of Service" sheetId="4" r:id="rId4"/>
    <sheet name="Page 5 Revenue Conversion" sheetId="5" r:id="rId5"/>
  </sheets>
  <definedNames>
    <definedName name="_xlnm.Print_Area" localSheetId="0">'Page 1 Decoupling Base'!$A$1:$K$42</definedName>
    <definedName name="_xlnm.Print_Area" localSheetId="1">'Page 2 Revenue per Customer'!$A$1:$F$26</definedName>
    <definedName name="_xlnm.Print_Area" localSheetId="2">'Page 3 Monthly Shaping'!$A$1:$Q$44</definedName>
  </definedNames>
  <calcPr calcId="152511"/>
</workbook>
</file>

<file path=xl/calcChain.xml><?xml version="1.0" encoding="utf-8"?>
<calcChain xmlns="http://schemas.openxmlformats.org/spreadsheetml/2006/main">
  <c r="D36" i="3" l="1"/>
  <c r="D32" i="3"/>
  <c r="A30" i="3"/>
  <c r="G72" i="4"/>
  <c r="F32" i="3"/>
  <c r="G32" i="3"/>
  <c r="H32" i="3"/>
  <c r="I32" i="3"/>
  <c r="J32" i="3"/>
  <c r="K32" i="3"/>
  <c r="L32" i="3"/>
  <c r="M32" i="3"/>
  <c r="N32" i="3"/>
  <c r="O32" i="3"/>
  <c r="P32" i="3"/>
  <c r="F36" i="3"/>
  <c r="G36" i="3"/>
  <c r="H36" i="3"/>
  <c r="I36" i="3"/>
  <c r="J36" i="3"/>
  <c r="K36" i="3"/>
  <c r="L36" i="3"/>
  <c r="M36" i="3"/>
  <c r="N36" i="3"/>
  <c r="O36" i="3"/>
  <c r="P36" i="3"/>
  <c r="E36" i="3"/>
  <c r="E32" i="3"/>
  <c r="F27" i="3"/>
  <c r="G27" i="3"/>
  <c r="H27" i="3"/>
  <c r="I27" i="3"/>
  <c r="J27" i="3"/>
  <c r="K27" i="3"/>
  <c r="L27" i="3"/>
  <c r="M27" i="3"/>
  <c r="N27" i="3"/>
  <c r="O27" i="3"/>
  <c r="P27" i="3"/>
  <c r="E27" i="3"/>
  <c r="F23" i="3"/>
  <c r="G23" i="3"/>
  <c r="H23" i="3"/>
  <c r="I23" i="3"/>
  <c r="J23" i="3"/>
  <c r="K23" i="3"/>
  <c r="L23" i="3"/>
  <c r="M23" i="3"/>
  <c r="N23" i="3"/>
  <c r="O23" i="3"/>
  <c r="P23" i="3"/>
  <c r="E23" i="3"/>
  <c r="Q35" i="3"/>
  <c r="Q31" i="3"/>
  <c r="Q26" i="3"/>
  <c r="Q22" i="3"/>
  <c r="F30" i="2"/>
  <c r="E30" i="2"/>
  <c r="F29" i="2"/>
  <c r="E29" i="2"/>
  <c r="D16" i="2"/>
  <c r="F18" i="2"/>
  <c r="E18" i="2"/>
  <c r="F16" i="2"/>
  <c r="E16" i="2"/>
  <c r="F11" i="2"/>
  <c r="E11" i="2"/>
  <c r="F9" i="2"/>
  <c r="E9" i="2"/>
  <c r="J16" i="1"/>
  <c r="I16" i="1"/>
  <c r="K16" i="1"/>
  <c r="G16" i="1"/>
  <c r="H16" i="1"/>
  <c r="F16" i="1"/>
  <c r="E30" i="1"/>
  <c r="A5" i="5"/>
  <c r="E22" i="5"/>
  <c r="E20" i="5"/>
  <c r="L72" i="4"/>
  <c r="K72" i="4"/>
  <c r="J72" i="4"/>
  <c r="I72" i="4"/>
  <c r="H72" i="4"/>
  <c r="L70" i="4"/>
  <c r="K70" i="4"/>
  <c r="J70" i="4"/>
  <c r="I70" i="4"/>
  <c r="H70" i="4"/>
  <c r="G70" i="4"/>
  <c r="L68" i="4"/>
  <c r="K68" i="4"/>
  <c r="J68" i="4"/>
  <c r="I68" i="4"/>
  <c r="H68" i="4"/>
  <c r="G68" i="4"/>
  <c r="L66" i="4"/>
  <c r="K66" i="4"/>
  <c r="J66" i="4"/>
  <c r="I66" i="4"/>
  <c r="H66" i="4"/>
  <c r="G66" i="4"/>
  <c r="F66" i="4"/>
  <c r="L59" i="4"/>
  <c r="K59" i="4"/>
  <c r="J59" i="4"/>
  <c r="I59" i="4"/>
  <c r="H59" i="4"/>
  <c r="G59" i="4"/>
  <c r="F59" i="4"/>
  <c r="F58" i="4"/>
  <c r="F57" i="4"/>
  <c r="F56" i="4"/>
  <c r="F55" i="4"/>
  <c r="L52" i="4"/>
  <c r="K52" i="4"/>
  <c r="J52" i="4"/>
  <c r="I52" i="4"/>
  <c r="H52" i="4"/>
  <c r="G52" i="4"/>
  <c r="F52" i="4"/>
  <c r="L45" i="4"/>
  <c r="K45" i="4"/>
  <c r="J45" i="4"/>
  <c r="I45" i="4"/>
  <c r="H45" i="4"/>
  <c r="G45" i="4"/>
  <c r="F45" i="4"/>
  <c r="F68" i="4" s="1"/>
  <c r="F44" i="4"/>
  <c r="F43" i="4"/>
  <c r="F42" i="4"/>
  <c r="F41" i="4"/>
  <c r="L37" i="4"/>
  <c r="K37" i="4"/>
  <c r="J37" i="4"/>
  <c r="I37" i="4"/>
  <c r="H37" i="4"/>
  <c r="G37" i="4"/>
  <c r="L35" i="4"/>
  <c r="K35" i="4"/>
  <c r="J35" i="4"/>
  <c r="I35" i="4"/>
  <c r="H35" i="4"/>
  <c r="G35" i="4"/>
  <c r="F35" i="4"/>
  <c r="L28" i="4"/>
  <c r="K28" i="4"/>
  <c r="J28" i="4"/>
  <c r="I28" i="4"/>
  <c r="H28" i="4"/>
  <c r="G28" i="4"/>
  <c r="F28" i="4"/>
  <c r="F27" i="4"/>
  <c r="F26" i="4"/>
  <c r="F25" i="4"/>
  <c r="F24" i="4"/>
  <c r="L21" i="4"/>
  <c r="K21" i="4"/>
  <c r="J21" i="4"/>
  <c r="I21" i="4"/>
  <c r="H21" i="4"/>
  <c r="G21" i="4"/>
  <c r="F21" i="4"/>
  <c r="L14" i="4"/>
  <c r="K14" i="4"/>
  <c r="J14" i="4"/>
  <c r="I14" i="4"/>
  <c r="H14" i="4"/>
  <c r="G14" i="4"/>
  <c r="F14" i="4"/>
  <c r="F70" i="4" s="1"/>
  <c r="F13" i="4"/>
  <c r="F12" i="4"/>
  <c r="F11" i="4"/>
  <c r="F10" i="4"/>
  <c r="R99" i="3"/>
  <c r="Q99" i="3"/>
  <c r="O98" i="3"/>
  <c r="O100" i="3" s="1"/>
  <c r="K98" i="3"/>
  <c r="K100" i="3" s="1"/>
  <c r="G98" i="3"/>
  <c r="G100" i="3" s="1"/>
  <c r="Q96" i="3"/>
  <c r="R93" i="3"/>
  <c r="P92" i="3"/>
  <c r="O92" i="3"/>
  <c r="N92" i="3"/>
  <c r="M92" i="3"/>
  <c r="L92" i="3"/>
  <c r="K92" i="3"/>
  <c r="J92" i="3"/>
  <c r="I92" i="3"/>
  <c r="H92" i="3"/>
  <c r="G92" i="3"/>
  <c r="F92" i="3"/>
  <c r="E92" i="3"/>
  <c r="Q92" i="3" s="1"/>
  <c r="P91" i="3"/>
  <c r="O91" i="3"/>
  <c r="N91" i="3"/>
  <c r="M91" i="3"/>
  <c r="L91" i="3"/>
  <c r="K91" i="3"/>
  <c r="J91" i="3"/>
  <c r="I91" i="3"/>
  <c r="H91" i="3"/>
  <c r="G91" i="3"/>
  <c r="F91" i="3"/>
  <c r="E91" i="3"/>
  <c r="Q91" i="3" s="1"/>
  <c r="P90" i="3"/>
  <c r="O90" i="3"/>
  <c r="N90" i="3"/>
  <c r="M90" i="3"/>
  <c r="L90" i="3"/>
  <c r="K90" i="3"/>
  <c r="J90" i="3"/>
  <c r="I90" i="3"/>
  <c r="H90" i="3"/>
  <c r="G90" i="3"/>
  <c r="F90" i="3"/>
  <c r="E90" i="3"/>
  <c r="Q90" i="3" s="1"/>
  <c r="P89" i="3"/>
  <c r="P93" i="3" s="1"/>
  <c r="O89" i="3"/>
  <c r="N89" i="3"/>
  <c r="M89" i="3"/>
  <c r="L89" i="3"/>
  <c r="L93" i="3" s="1"/>
  <c r="K89" i="3"/>
  <c r="J89" i="3"/>
  <c r="I89" i="3"/>
  <c r="H89" i="3"/>
  <c r="H93" i="3" s="1"/>
  <c r="G89" i="3"/>
  <c r="F89" i="3"/>
  <c r="E89" i="3"/>
  <c r="Q89" i="3" s="1"/>
  <c r="P88" i="3"/>
  <c r="P98" i="3" s="1"/>
  <c r="O88" i="3"/>
  <c r="N88" i="3"/>
  <c r="N98" i="3" s="1"/>
  <c r="M88" i="3"/>
  <c r="M98" i="3" s="1"/>
  <c r="L88" i="3"/>
  <c r="L98" i="3" s="1"/>
  <c r="K88" i="3"/>
  <c r="J88" i="3"/>
  <c r="J98" i="3" s="1"/>
  <c r="I88" i="3"/>
  <c r="I98" i="3" s="1"/>
  <c r="H88" i="3"/>
  <c r="H98" i="3" s="1"/>
  <c r="G88" i="3"/>
  <c r="F88" i="3"/>
  <c r="F98" i="3" s="1"/>
  <c r="E88" i="3"/>
  <c r="E98" i="3" s="1"/>
  <c r="P87" i="3"/>
  <c r="P95" i="3" s="1"/>
  <c r="O87" i="3"/>
  <c r="O95" i="3" s="1"/>
  <c r="N87" i="3"/>
  <c r="N93" i="3" s="1"/>
  <c r="M87" i="3"/>
  <c r="M93" i="3" s="1"/>
  <c r="L87" i="3"/>
  <c r="L95" i="3" s="1"/>
  <c r="K87" i="3"/>
  <c r="K95" i="3" s="1"/>
  <c r="J87" i="3"/>
  <c r="J93" i="3" s="1"/>
  <c r="I87" i="3"/>
  <c r="I93" i="3" s="1"/>
  <c r="H87" i="3"/>
  <c r="H95" i="3" s="1"/>
  <c r="G87" i="3"/>
  <c r="G95" i="3" s="1"/>
  <c r="F87" i="3"/>
  <c r="F93" i="3" s="1"/>
  <c r="E87" i="3"/>
  <c r="E93" i="3" s="1"/>
  <c r="P84" i="3"/>
  <c r="O84" i="3"/>
  <c r="N84" i="3"/>
  <c r="M84" i="3"/>
  <c r="L84" i="3"/>
  <c r="K84" i="3"/>
  <c r="J84" i="3"/>
  <c r="I84" i="3"/>
  <c r="H84" i="3"/>
  <c r="G84" i="3"/>
  <c r="F84" i="3"/>
  <c r="E84" i="3"/>
  <c r="Q83" i="3"/>
  <c r="Q82" i="3"/>
  <c r="Q81" i="3"/>
  <c r="Q80" i="3"/>
  <c r="Q79" i="3"/>
  <c r="Q78" i="3"/>
  <c r="Q84" i="3" s="1"/>
  <c r="Q75" i="3"/>
  <c r="P72" i="3"/>
  <c r="O72" i="3"/>
  <c r="N72" i="3"/>
  <c r="M72" i="3"/>
  <c r="L72" i="3"/>
  <c r="K72" i="3"/>
  <c r="J72" i="3"/>
  <c r="I72" i="3"/>
  <c r="H72" i="3"/>
  <c r="G72" i="3"/>
  <c r="F72" i="3"/>
  <c r="E72" i="3"/>
  <c r="Q72" i="3" s="1"/>
  <c r="Q71" i="3"/>
  <c r="Q70" i="3"/>
  <c r="P67" i="3"/>
  <c r="O67" i="3"/>
  <c r="N67" i="3"/>
  <c r="M67" i="3"/>
  <c r="L67" i="3"/>
  <c r="K67" i="3"/>
  <c r="J67" i="3"/>
  <c r="I67" i="3"/>
  <c r="H67" i="3"/>
  <c r="G67" i="3"/>
  <c r="F67" i="3"/>
  <c r="E67" i="3"/>
  <c r="Q66" i="3"/>
  <c r="Q65" i="3"/>
  <c r="Q64" i="3"/>
  <c r="Q63" i="3"/>
  <c r="Q62" i="3"/>
  <c r="Q61" i="3"/>
  <c r="Q67" i="3" s="1"/>
  <c r="P58" i="3"/>
  <c r="O58" i="3"/>
  <c r="N58" i="3"/>
  <c r="M58" i="3"/>
  <c r="L58" i="3"/>
  <c r="K58" i="3"/>
  <c r="J58" i="3"/>
  <c r="I58" i="3"/>
  <c r="H58" i="3"/>
  <c r="G58" i="3"/>
  <c r="F58" i="3"/>
  <c r="E58" i="3"/>
  <c r="Q57" i="3"/>
  <c r="Q56" i="3"/>
  <c r="Q55" i="3"/>
  <c r="Q54" i="3"/>
  <c r="Q58" i="3" s="1"/>
  <c r="Q53" i="3"/>
  <c r="Q52" i="3"/>
  <c r="B4" i="3"/>
  <c r="B2" i="3"/>
  <c r="B35" i="3"/>
  <c r="A31" i="3"/>
  <c r="A27" i="3"/>
  <c r="B26" i="3"/>
  <c r="A26" i="3"/>
  <c r="D27" i="3" s="1"/>
  <c r="A25" i="3"/>
  <c r="A23" i="3"/>
  <c r="A22" i="3"/>
  <c r="A21" i="3"/>
  <c r="A11" i="3"/>
  <c r="D23" i="3" s="1"/>
  <c r="A10" i="3"/>
  <c r="A9" i="3"/>
  <c r="A4" i="2"/>
  <c r="F20" i="2"/>
  <c r="E20" i="2"/>
  <c r="D20" i="2"/>
  <c r="F13" i="2"/>
  <c r="F28" i="2" s="1"/>
  <c r="F31" i="2" s="1"/>
  <c r="E13" i="2"/>
  <c r="E28" i="2" s="1"/>
  <c r="E31" i="2" s="1"/>
  <c r="D13" i="2"/>
  <c r="G39" i="1"/>
  <c r="F39" i="1"/>
  <c r="G37" i="1"/>
  <c r="F37" i="1"/>
  <c r="G36" i="1"/>
  <c r="G38" i="1" s="1"/>
  <c r="F36" i="1"/>
  <c r="F38" i="1" s="1"/>
  <c r="G35" i="1"/>
  <c r="F35" i="1"/>
  <c r="G34" i="1"/>
  <c r="F34" i="1"/>
  <c r="E31" i="1"/>
  <c r="I14" i="1" s="1"/>
  <c r="I24" i="1"/>
  <c r="H24" i="1"/>
  <c r="G24" i="1"/>
  <c r="F24" i="1"/>
  <c r="E24" i="1"/>
  <c r="E22" i="1"/>
  <c r="E13" i="1"/>
  <c r="K11" i="1"/>
  <c r="J11" i="1"/>
  <c r="I11" i="1"/>
  <c r="H11" i="1"/>
  <c r="G11" i="1"/>
  <c r="F11" i="1"/>
  <c r="E11" i="1"/>
  <c r="E10" i="1"/>
  <c r="E9" i="1"/>
  <c r="A32" i="3" l="1"/>
  <c r="A34" i="3" s="1"/>
  <c r="A35" i="3" s="1"/>
  <c r="F72" i="4"/>
  <c r="Q36" i="3"/>
  <c r="Q27" i="3"/>
  <c r="E24" i="5"/>
  <c r="E26" i="5" s="1"/>
  <c r="F37" i="4"/>
  <c r="H10" i="3"/>
  <c r="H97" i="3"/>
  <c r="P10" i="3"/>
  <c r="P97" i="3"/>
  <c r="L100" i="3"/>
  <c r="L14" i="3"/>
  <c r="I100" i="3"/>
  <c r="I14" i="3"/>
  <c r="F100" i="3"/>
  <c r="F14" i="3"/>
  <c r="J100" i="3"/>
  <c r="J14" i="3"/>
  <c r="N100" i="3"/>
  <c r="N14" i="3"/>
  <c r="L97" i="3"/>
  <c r="L10" i="3"/>
  <c r="H100" i="3"/>
  <c r="H14" i="3"/>
  <c r="P100" i="3"/>
  <c r="P14" i="3"/>
  <c r="Q98" i="3"/>
  <c r="Q100" i="3" s="1"/>
  <c r="E100" i="3"/>
  <c r="E14" i="3"/>
  <c r="M100" i="3"/>
  <c r="M14" i="3"/>
  <c r="G10" i="3"/>
  <c r="G97" i="3"/>
  <c r="K97" i="3"/>
  <c r="K10" i="3"/>
  <c r="O10" i="3"/>
  <c r="O97" i="3"/>
  <c r="F95" i="3"/>
  <c r="J95" i="3"/>
  <c r="G14" i="3"/>
  <c r="K14" i="3"/>
  <c r="O14" i="3"/>
  <c r="Q87" i="3"/>
  <c r="G93" i="3"/>
  <c r="K93" i="3"/>
  <c r="O93" i="3"/>
  <c r="E95" i="3"/>
  <c r="I95" i="3"/>
  <c r="M95" i="3"/>
  <c r="Q88" i="3"/>
  <c r="N95" i="3"/>
  <c r="A36" i="3"/>
  <c r="I15" i="1"/>
  <c r="I19" i="1" s="1"/>
  <c r="I17" i="1"/>
  <c r="G14" i="1"/>
  <c r="F14" i="1"/>
  <c r="J14" i="1"/>
  <c r="K14" i="1"/>
  <c r="H14" i="1"/>
  <c r="E14" i="1"/>
  <c r="K102" i="3" l="1"/>
  <c r="N97" i="3"/>
  <c r="N10" i="3"/>
  <c r="E97" i="3"/>
  <c r="Q95" i="3"/>
  <c r="Q97" i="3" s="1"/>
  <c r="E10" i="3"/>
  <c r="Q93" i="3"/>
  <c r="J97" i="3"/>
  <c r="J10" i="3"/>
  <c r="Q14" i="3"/>
  <c r="M97" i="3"/>
  <c r="M10" i="3"/>
  <c r="I97" i="3"/>
  <c r="I10" i="3"/>
  <c r="F97" i="3"/>
  <c r="F10" i="3"/>
  <c r="G17" i="1"/>
  <c r="G15" i="1"/>
  <c r="G19" i="1" s="1"/>
  <c r="F15" i="1"/>
  <c r="F17" i="1"/>
  <c r="H17" i="1"/>
  <c r="H15" i="1"/>
  <c r="H19" i="1" s="1"/>
  <c r="K17" i="1"/>
  <c r="K15" i="1"/>
  <c r="J15" i="1"/>
  <c r="J17" i="1"/>
  <c r="I20" i="1"/>
  <c r="I27" i="1" s="1"/>
  <c r="I26" i="1"/>
  <c r="I45" i="1" s="1"/>
  <c r="I46" i="1" s="1"/>
  <c r="Q32" i="3" l="1"/>
  <c r="Q23" i="3"/>
  <c r="G40" i="1"/>
  <c r="O15" i="3"/>
  <c r="F15" i="3"/>
  <c r="P15" i="3"/>
  <c r="N15" i="3"/>
  <c r="I15" i="3"/>
  <c r="L15" i="3"/>
  <c r="E15" i="3"/>
  <c r="Q15" i="3" s="1"/>
  <c r="G15" i="3"/>
  <c r="Q10" i="3"/>
  <c r="H15" i="3"/>
  <c r="M15" i="3"/>
  <c r="F11" i="3"/>
  <c r="E102" i="3"/>
  <c r="F102" i="3"/>
  <c r="H102" i="3"/>
  <c r="N102" i="3"/>
  <c r="I102" i="3"/>
  <c r="P102" i="3"/>
  <c r="M102" i="3"/>
  <c r="J102" i="3"/>
  <c r="L102" i="3"/>
  <c r="K15" i="3"/>
  <c r="O102" i="3"/>
  <c r="G102" i="3"/>
  <c r="J15" i="3"/>
  <c r="E17" i="1"/>
  <c r="F40" i="1"/>
  <c r="H20" i="1"/>
  <c r="H27" i="1" s="1"/>
  <c r="H26" i="1"/>
  <c r="H45" i="1" s="1"/>
  <c r="H46" i="1" s="1"/>
  <c r="F19" i="1"/>
  <c r="E15" i="1"/>
  <c r="G20" i="1"/>
  <c r="G27" i="1" s="1"/>
  <c r="G26" i="1"/>
  <c r="G45" i="1" s="1"/>
  <c r="G46" i="1" s="1"/>
  <c r="M11" i="3" l="1"/>
  <c r="L11" i="3"/>
  <c r="G11" i="3"/>
  <c r="O11" i="3"/>
  <c r="P11" i="3"/>
  <c r="K11" i="3"/>
  <c r="H11" i="3"/>
  <c r="J11" i="3"/>
  <c r="Q102" i="3"/>
  <c r="E11" i="3"/>
  <c r="N11" i="3"/>
  <c r="I11" i="3"/>
  <c r="F26" i="1"/>
  <c r="E19" i="1"/>
  <c r="F20" i="1"/>
  <c r="Q11" i="3" l="1"/>
  <c r="E20" i="1"/>
  <c r="F27" i="1"/>
  <c r="E27" i="1" s="1"/>
  <c r="E26" i="1"/>
  <c r="F45" i="1"/>
  <c r="F46" i="1" s="1"/>
</calcChain>
</file>

<file path=xl/comments1.xml><?xml version="1.0" encoding="utf-8"?>
<comments xmlns="http://schemas.openxmlformats.org/spreadsheetml/2006/main">
  <authors>
    <author>Author</author>
  </authors>
  <commentList>
    <comment ref="C7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Unbilled true-ups, and large customer abnormal usage adjustments if any</t>
        </r>
      </text>
    </comment>
  </commentList>
</comments>
</file>

<file path=xl/sharedStrings.xml><?xml version="1.0" encoding="utf-8"?>
<sst xmlns="http://schemas.openxmlformats.org/spreadsheetml/2006/main" count="333" uniqueCount="214">
  <si>
    <t>Avista Utilities</t>
  </si>
  <si>
    <t xml:space="preserve"> Electric Decoupling Mechanism</t>
  </si>
  <si>
    <t>Development of Decoupled Revenue by Rate Schedule - Electric</t>
  </si>
  <si>
    <t>Washington Docket No. UE-190334  2018 Test Year At Proposed Rates</t>
  </si>
  <si>
    <t xml:space="preserve"> </t>
  </si>
  <si>
    <t>RESIDENTIAL</t>
  </si>
  <si>
    <t xml:space="preserve">GENERAL SVC. </t>
  </si>
  <si>
    <t>LG. GEN. SVC.</t>
  </si>
  <si>
    <t>PUMPING</t>
  </si>
  <si>
    <t>EX LG GEN SVC</t>
  </si>
  <si>
    <t>ST &amp; AREA LTG</t>
  </si>
  <si>
    <t>TOTAL</t>
  </si>
  <si>
    <t>SCHEDULE 1,2</t>
  </si>
  <si>
    <t>SCH. 11,12</t>
  </si>
  <si>
    <t>SCH. 21,22</t>
  </si>
  <si>
    <t>SCH. 30, 31, 32</t>
  </si>
  <si>
    <t>SCHEDULE 25</t>
  </si>
  <si>
    <t>SCH. 41-48</t>
  </si>
  <si>
    <t>Total Normalized 12ME Dec 2018 Revenue</t>
  </si>
  <si>
    <t xml:space="preserve">Prresent Base Rate Revenue </t>
  </si>
  <si>
    <t>Normalized kWhs (12ME Dec 2018 Test Year)</t>
  </si>
  <si>
    <t>Retail Revenue Adjustment (line 14)</t>
  </si>
  <si>
    <t>Variable Power Supply Revenue (Line 4 * Line 5)</t>
  </si>
  <si>
    <t>6A</t>
  </si>
  <si>
    <t>Fixed Production and Transmission Rate per kWh</t>
  </si>
  <si>
    <t>(New Customers Only)</t>
  </si>
  <si>
    <t>6B</t>
  </si>
  <si>
    <t>Fixed Production and Transmission Revenue</t>
  </si>
  <si>
    <t>Delivery &amp; Power Plant Revenue (L3 - L6)</t>
  </si>
  <si>
    <t>Test Year Customers</t>
  </si>
  <si>
    <t>7A</t>
  </si>
  <si>
    <t>Delivery &amp; Power Plant Revenue (L3 - L6 - L6B)</t>
  </si>
  <si>
    <t>New Customers</t>
  </si>
  <si>
    <t>Customer Bills (12ME Dec 2018 Test Year)</t>
  </si>
  <si>
    <t>Proposed Basic Charges</t>
  </si>
  <si>
    <t>Basic Charge Revenue (Line 8 * Line 9)</t>
  </si>
  <si>
    <t>Excluded From Decoupling</t>
  </si>
  <si>
    <t>Decoupled Revenue (Line 7 - Line 10)</t>
  </si>
  <si>
    <t>11A</t>
  </si>
  <si>
    <t>Decoupled Revenue (Line 7A - Line 10)</t>
  </si>
  <si>
    <t>Gross Up Factor for Revenue Related Exp</t>
  </si>
  <si>
    <t>Grossed Up Retail Revenue Adjustment</t>
  </si>
  <si>
    <t>Residential</t>
  </si>
  <si>
    <t>Non-Residential Group</t>
  </si>
  <si>
    <t>Average Number of Customers (Line 8 / 12)</t>
  </si>
  <si>
    <t>Annual kWh</t>
  </si>
  <si>
    <t>Basic Charge Revenues</t>
  </si>
  <si>
    <t>Customer Bills</t>
  </si>
  <si>
    <t>Average Basic Charge</t>
  </si>
  <si>
    <t>Average Annual kWhs per Customer</t>
  </si>
  <si>
    <t>Weighted Average Fixed Production and Transmisison Rate per kWh</t>
  </si>
  <si>
    <t>check calculations - DO NOT PRINT</t>
  </si>
  <si>
    <t>avg decoupled rev/kwh</t>
  </si>
  <si>
    <t>check to avg rate</t>
  </si>
  <si>
    <t>Development of Annual Decoupled Revenue Per Customer - Electric</t>
  </si>
  <si>
    <t>Line No.</t>
  </si>
  <si>
    <t>Source</t>
  </si>
  <si>
    <t>Non-Residential Schedules*</t>
  </si>
  <si>
    <t>(a)</t>
  </si>
  <si>
    <t>(b)</t>
  </si>
  <si>
    <t>(c)</t>
  </si>
  <si>
    <t>(d)</t>
  </si>
  <si>
    <t>Test Year Customers Decoupled RPC</t>
  </si>
  <si>
    <t>Decoupled Revenues</t>
  </si>
  <si>
    <t>Test Year # of Customers 12 ME 12.2018</t>
  </si>
  <si>
    <t>Revenue Data</t>
  </si>
  <si>
    <t>Decoupled Revenue per Customer</t>
  </si>
  <si>
    <t>New Customers Decoupled RPC</t>
  </si>
  <si>
    <t>1A</t>
  </si>
  <si>
    <t>2A</t>
  </si>
  <si>
    <t>3A</t>
  </si>
  <si>
    <t>* Schedules 11, 12, 21, 22, 31, 32.</t>
  </si>
  <si>
    <t>Revenues</t>
  </si>
  <si>
    <t>From basic charge</t>
  </si>
  <si>
    <t>From power supply</t>
  </si>
  <si>
    <t>Total</t>
  </si>
  <si>
    <t>Development of Monthly Decoupled Revenue Per Customer - Electric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</si>
  <si>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</si>
  <si>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</si>
  <si>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</si>
  <si>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</si>
  <si>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</si>
  <si>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</si>
  <si>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</si>
  <si>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</si>
  <si>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</si>
  <si>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</si>
  <si>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</si>
  <si>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</si>
  <si>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</si>
  <si>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</si>
  <si>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</si>
  <si>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</si>
  <si>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</si>
  <si>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</si>
  <si>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</si>
  <si>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</si>
  <si>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</si>
  <si>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</si>
  <si>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</si>
  <si>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Electric Sales</t>
  </si>
  <si>
    <t xml:space="preserve"> - Weather-Normalized kWh Sales</t>
  </si>
  <si>
    <t>Monthly Test Year</t>
  </si>
  <si>
    <t xml:space="preserve">  - % of Annual Total</t>
  </si>
  <si>
    <t>% of Total</t>
  </si>
  <si>
    <t>Non-Residential*</t>
  </si>
  <si>
    <t>Monthly Decoupled Revenue Per Customer ("RPC")</t>
  </si>
  <si>
    <t>For Test Year Existing Customers</t>
  </si>
  <si>
    <t xml:space="preserve">  -UE-190334 Decoupled RPC</t>
  </si>
  <si>
    <t xml:space="preserve">  - Monthly Decoupled RPC</t>
  </si>
  <si>
    <t>For New Customers After the Test Year</t>
  </si>
  <si>
    <t xml:space="preserve">* Schedules 11, 12, 21, 22, 31, 32.  </t>
  </si>
  <si>
    <t>WUTC Docket No. UE-190334</t>
  </si>
  <si>
    <t>Normalized Usage by Month</t>
  </si>
  <si>
    <t>Twelve Months Ended December 31, 2018</t>
  </si>
  <si>
    <t>WASHINGTON ELECTRIC SYSTEM</t>
  </si>
  <si>
    <t>Annual Total</t>
  </si>
  <si>
    <t>Miller wp</t>
  </si>
  <si>
    <t>Revenue Run Billed Usage</t>
  </si>
  <si>
    <t>Residential Schedule 001/002</t>
  </si>
  <si>
    <t>General Svc Schedule 011/012</t>
  </si>
  <si>
    <t>Large Gen Svc Schedule 021/022</t>
  </si>
  <si>
    <t>Extra Large Gen Schedule 025</t>
  </si>
  <si>
    <t>Pumping Schedule 030/031/032</t>
  </si>
  <si>
    <t>Street and Area Lights</t>
  </si>
  <si>
    <t>Total Revenue Run Billed Usage</t>
  </si>
  <si>
    <t xml:space="preserve">Net Unbilled Usage </t>
  </si>
  <si>
    <t>Net Unbilled Usage</t>
  </si>
  <si>
    <t>Schedule Shifting Adjustment</t>
  </si>
  <si>
    <t>Other Usage Adjustments</t>
  </si>
  <si>
    <t>Weather Adjustment</t>
  </si>
  <si>
    <t>Total Weather Adjustment</t>
  </si>
  <si>
    <t>Normalized Test Year Usage</t>
  </si>
  <si>
    <t>Pumping Schedule 031/032</t>
  </si>
  <si>
    <t>Total Normalized Test Year Usage</t>
  </si>
  <si>
    <t>Residential Usage</t>
  </si>
  <si>
    <t>Schedule 001/002 Customers</t>
  </si>
  <si>
    <t>Schedule 001/002 Norm Use/Customer</t>
  </si>
  <si>
    <t>Non-Residential Group Usage</t>
  </si>
  <si>
    <t>Non-Residential Group Customers</t>
  </si>
  <si>
    <t>Non-Residential Group Norm Use/Customer</t>
  </si>
  <si>
    <t>WA Jurisdiction % of Annual Usage</t>
  </si>
  <si>
    <t>Sumcost</t>
  </si>
  <si>
    <t>AVISTA UTILITIES</t>
  </si>
  <si>
    <t>Washington Jurisdiction</t>
  </si>
  <si>
    <t>Scenario: Company Base Case UE-19_____</t>
  </si>
  <si>
    <t>Revenue to Cost by Functional Component Summary</t>
  </si>
  <si>
    <t>Electric Utility</t>
  </si>
  <si>
    <t>Load Factor Peak Credit Method</t>
  </si>
  <si>
    <t>For the Twelve Months Ended December 31, 2018</t>
  </si>
  <si>
    <t>AS FILED METHOD</t>
  </si>
  <si>
    <t>General</t>
  </si>
  <si>
    <t>Large Gen</t>
  </si>
  <si>
    <t>Extra Large</t>
  </si>
  <si>
    <t>Pumping</t>
  </si>
  <si>
    <t>Street &amp;</t>
  </si>
  <si>
    <t>System</t>
  </si>
  <si>
    <t>Service</t>
  </si>
  <si>
    <t>Gen Service</t>
  </si>
  <si>
    <t>Area Lights</t>
  </si>
  <si>
    <t>Description</t>
  </si>
  <si>
    <t>Sch 1-2</t>
  </si>
  <si>
    <t>Sch 11-12</t>
  </si>
  <si>
    <t>Sch 21-22</t>
  </si>
  <si>
    <t>Sch 25</t>
  </si>
  <si>
    <t>Sch 31-32</t>
  </si>
  <si>
    <t>Sch 41-48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</si>
  <si>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</si>
  <si>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</si>
  <si>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</si>
  <si>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</si>
  <si>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</si>
  <si>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</si>
  <si>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</si>
  <si>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</si>
  <si>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</si>
  <si>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</si>
  <si>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</si>
  <si>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</si>
  <si>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</si>
  <si>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</si>
  <si>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</si>
  <si>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</si>
  <si>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</si>
  <si>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</si>
  <si>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</si>
  <si>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</si>
  <si>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Target Revenue Increase</t>
  </si>
  <si>
    <t>File:  WAElec COS Base Case UE-19____/ Sumcost Exhibits</t>
  </si>
  <si>
    <t>Page 2 of 4</t>
  </si>
  <si>
    <t>Electric Decoupling Baseline, Page 4</t>
  </si>
  <si>
    <t>Electric Decoupling Baseline, Page 3</t>
  </si>
  <si>
    <t>Electric Decoupling Baseline, Page 2</t>
  </si>
  <si>
    <t>Electric Decoupling Baseline, Page 1</t>
  </si>
  <si>
    <t>REVENUE CONVERSION FACTOR</t>
  </si>
  <si>
    <t>WASHINGTON ELECTRIC</t>
  </si>
  <si>
    <t>TWELVE MONTHS ENDED DECEMBER 31, 2018</t>
  </si>
  <si>
    <t xml:space="preserve">Line </t>
  </si>
  <si>
    <t>No.</t>
  </si>
  <si>
    <t>Factor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</si>
  <si>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</si>
  <si>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</si>
  <si>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</si>
  <si>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</si>
  <si>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</si>
  <si>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</si>
  <si>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21%</t>
  </si>
  <si>
    <t>(Per Order No. 6; UE-120436, dated 6/20/2012 - "hard" CF rounded to 6 digits)</t>
  </si>
  <si>
    <t>Electric Decoupling Baseline, Page 5</t>
  </si>
  <si>
    <t>From decoupled revenue per customer</t>
  </si>
  <si>
    <t>Proposed Revenue Increase (Exhibit JDM - 4)</t>
  </si>
  <si>
    <t>Retail Revenue Adjustment - (ERM Baseline)</t>
  </si>
  <si>
    <t>Electric Decoupling Baseline, P. 2 L. 3</t>
  </si>
  <si>
    <t>Electric Decoupling Baseline, P. 2 L.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</si>
</sst>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&quot;$&quot;#,##0.00000"/>
    <numFmt numFmtId="168" formatCode="_(&quot;$&quot;* #,##0.0000_);_(&quot;$&quot;* \(#,##0.0000\);_(&quot;$&quot;* &quot;-&quot;??_);_(@_)"/>
    <numFmt numFmtId="169" formatCode="0.000000"/>
    <numFmt numFmtId="170" formatCode="[$-409]mmm\-yy;@"/>
    <numFmt numFmtId="171" formatCode="0.0%"/>
    <numFmt numFmtId="172" formatCode="mm/dd/yy"/>
    <numFmt numFmtId="173" formatCode="&quot;$&quot;#,##0.00000_);[Red]\(&quot;$&quot;#,##0.000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i/>
      <u/>
      <sz val="12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0"/>
      <name val="Times New Roman"/>
      <family val="1"/>
    </font>
    <font>
      <b/>
      <i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3" borderId="2" applyNumberFormat="0">
      <alignment horizontal="center" vertical="center" wrapText="1"/>
    </xf>
    <xf numFmtId="4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3" borderId="2" applyNumberFormat="0">
      <alignment horizontal="center" vertical="center" wrapText="1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2">
    <xf numFmtId="0" fontId="0" fillId="0" borderId="0" xfId="0"/>
    <xf numFmtId="0" fontId="3" fillId="2" borderId="0" xfId="4" applyFont="1" applyFill="1" applyAlignment="1">
      <alignment horizontal="center"/>
    </xf>
    <xf numFmtId="0" fontId="3" fillId="2" borderId="0" xfId="4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0" xfId="0" applyFont="1" applyFill="1" applyBorder="1"/>
    <xf numFmtId="164" fontId="5" fillId="2" borderId="0" xfId="2" applyNumberFormat="1" applyFont="1" applyFill="1"/>
    <xf numFmtId="164" fontId="5" fillId="0" borderId="0" xfId="2" applyNumberFormat="1" applyFont="1" applyFill="1"/>
    <xf numFmtId="164" fontId="5" fillId="0" borderId="1" xfId="2" applyNumberFormat="1" applyFont="1" applyFill="1" applyBorder="1"/>
    <xf numFmtId="164" fontId="5" fillId="0" borderId="0" xfId="2" applyNumberFormat="1" applyFont="1" applyFill="1" applyBorder="1"/>
    <xf numFmtId="0" fontId="6" fillId="2" borderId="0" xfId="0" applyFont="1" applyFill="1"/>
    <xf numFmtId="164" fontId="5" fillId="2" borderId="1" xfId="2" applyNumberFormat="1" applyFont="1" applyFill="1" applyBorder="1"/>
    <xf numFmtId="164" fontId="5" fillId="2" borderId="0" xfId="2" applyNumberFormat="1" applyFont="1" applyFill="1" applyBorder="1"/>
    <xf numFmtId="165" fontId="5" fillId="2" borderId="0" xfId="0" applyNumberFormat="1" applyFont="1" applyFill="1"/>
    <xf numFmtId="165" fontId="5" fillId="2" borderId="0" xfId="1" applyNumberFormat="1" applyFont="1" applyFill="1"/>
    <xf numFmtId="165" fontId="5" fillId="2" borderId="1" xfId="1" applyNumberFormat="1" applyFont="1" applyFill="1" applyBorder="1"/>
    <xf numFmtId="165" fontId="5" fillId="2" borderId="0" xfId="1" applyNumberFormat="1" applyFont="1" applyFill="1" applyBorder="1"/>
    <xf numFmtId="166" fontId="5" fillId="2" borderId="0" xfId="0" applyNumberFormat="1" applyFont="1" applyFill="1"/>
    <xf numFmtId="166" fontId="5" fillId="2" borderId="1" xfId="0" applyNumberFormat="1" applyFont="1" applyFill="1" applyBorder="1"/>
    <xf numFmtId="166" fontId="5" fillId="2" borderId="0" xfId="0" applyNumberFormat="1" applyFont="1" applyFill="1" applyBorder="1"/>
    <xf numFmtId="164" fontId="5" fillId="2" borderId="0" xfId="0" applyNumberFormat="1" applyFont="1" applyFill="1"/>
    <xf numFmtId="37" fontId="5" fillId="2" borderId="0" xfId="0" applyNumberFormat="1" applyFont="1" applyFill="1"/>
    <xf numFmtId="44" fontId="5" fillId="0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7" fontId="5" fillId="0" borderId="0" xfId="0" applyNumberFormat="1" applyFont="1" applyFill="1"/>
    <xf numFmtId="10" fontId="5" fillId="0" borderId="0" xfId="3" applyNumberFormat="1" applyFont="1" applyFill="1"/>
    <xf numFmtId="44" fontId="5" fillId="2" borderId="0" xfId="0" applyNumberFormat="1" applyFont="1" applyFill="1"/>
    <xf numFmtId="167" fontId="5" fillId="2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44" fontId="5" fillId="0" borderId="0" xfId="0" applyNumberFormat="1" applyFont="1"/>
    <xf numFmtId="165" fontId="5" fillId="0" borderId="0" xfId="1" applyNumberFormat="1" applyFont="1"/>
    <xf numFmtId="165" fontId="5" fillId="0" borderId="0" xfId="0" applyNumberFormat="1" applyFont="1"/>
    <xf numFmtId="37" fontId="5" fillId="0" borderId="0" xfId="0" applyNumberFormat="1" applyFont="1"/>
    <xf numFmtId="7" fontId="5" fillId="0" borderId="0" xfId="2" applyNumberFormat="1" applyFont="1"/>
    <xf numFmtId="166" fontId="5" fillId="0" borderId="0" xfId="2" applyNumberFormat="1" applyFont="1"/>
    <xf numFmtId="168" fontId="5" fillId="0" borderId="0" xfId="0" applyNumberFormat="1" applyFont="1"/>
    <xf numFmtId="169" fontId="5" fillId="0" borderId="0" xfId="0" applyNumberFormat="1" applyFont="1"/>
    <xf numFmtId="166" fontId="5" fillId="0" borderId="0" xfId="0" applyNumberFormat="1" applyFont="1"/>
    <xf numFmtId="0" fontId="4" fillId="2" borderId="0" xfId="4" applyFont="1" applyFill="1" applyAlignment="1">
      <alignment horizontal="center"/>
    </xf>
    <xf numFmtId="0" fontId="5" fillId="2" borderId="0" xfId="4" applyFont="1" applyFill="1"/>
    <xf numFmtId="41" fontId="3" fillId="2" borderId="2" xfId="5" applyNumberFormat="1" applyFont="1" applyFill="1" applyBorder="1">
      <alignment horizontal="center" vertical="center" wrapText="1"/>
    </xf>
    <xf numFmtId="0" fontId="5" fillId="2" borderId="2" xfId="4" applyFont="1" applyFill="1" applyBorder="1"/>
    <xf numFmtId="41" fontId="3" fillId="2" borderId="2" xfId="5" applyNumberFormat="1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/>
    </xf>
    <xf numFmtId="0" fontId="5" fillId="2" borderId="0" xfId="4" applyFont="1" applyFill="1" applyAlignment="1">
      <alignment horizontal="center"/>
    </xf>
    <xf numFmtId="0" fontId="8" fillId="2" borderId="0" xfId="4" applyFont="1" applyFill="1" applyAlignment="1">
      <alignment horizontal="left"/>
    </xf>
    <xf numFmtId="164" fontId="5" fillId="2" borderId="0" xfId="6" applyNumberFormat="1" applyFont="1" applyFill="1"/>
    <xf numFmtId="0" fontId="5" fillId="2" borderId="0" xfId="4" applyFont="1" applyFill="1" applyAlignment="1">
      <alignment horizontal="left" wrapText="1"/>
    </xf>
    <xf numFmtId="165" fontId="5" fillId="2" borderId="0" xfId="7" applyNumberFormat="1" applyFont="1" applyFill="1" applyBorder="1"/>
    <xf numFmtId="0" fontId="5" fillId="2" borderId="0" xfId="4" applyFont="1" applyFill="1" applyAlignment="1">
      <alignment horizontal="center" wrapText="1"/>
    </xf>
    <xf numFmtId="0" fontId="5" fillId="2" borderId="0" xfId="4" applyFont="1" applyFill="1" applyAlignment="1">
      <alignment horizontal="center" wrapText="1"/>
    </xf>
    <xf numFmtId="44" fontId="5" fillId="2" borderId="0" xfId="6" applyNumberFormat="1" applyFont="1" applyFill="1" applyBorder="1"/>
    <xf numFmtId="164" fontId="5" fillId="2" borderId="0" xfId="4" applyNumberFormat="1" applyFont="1" applyFill="1"/>
    <xf numFmtId="0" fontId="5" fillId="2" borderId="0" xfId="4" quotePrefix="1" applyFont="1" applyFill="1" applyAlignment="1">
      <alignment horizontal="left"/>
    </xf>
    <xf numFmtId="0" fontId="5" fillId="0" borderId="0" xfId="0" applyFont="1" applyAlignment="1">
      <alignment horizontal="right"/>
    </xf>
    <xf numFmtId="164" fontId="5" fillId="2" borderId="4" xfId="6" applyNumberFormat="1" applyFont="1" applyFill="1" applyBorder="1"/>
    <xf numFmtId="164" fontId="5" fillId="2" borderId="0" xfId="6" applyNumberFormat="1" applyFont="1" applyFill="1" applyBorder="1"/>
    <xf numFmtId="0" fontId="10" fillId="2" borderId="0" xfId="4" applyFont="1" applyFill="1" applyAlignment="1"/>
    <xf numFmtId="0" fontId="10" fillId="2" borderId="0" xfId="4" quotePrefix="1" applyFont="1" applyFill="1" applyAlignment="1"/>
    <xf numFmtId="41" fontId="11" fillId="2" borderId="2" xfId="8" applyNumberFormat="1" applyFont="1" applyFill="1" applyBorder="1">
      <alignment horizontal="center" vertical="center" wrapText="1"/>
    </xf>
    <xf numFmtId="0" fontId="12" fillId="2" borderId="2" xfId="4" applyFont="1" applyFill="1" applyBorder="1"/>
    <xf numFmtId="41" fontId="11" fillId="2" borderId="2" xfId="8" applyNumberFormat="1" applyFont="1" applyFill="1" applyBorder="1" applyAlignment="1">
      <alignment horizontal="center" vertical="center" wrapText="1"/>
    </xf>
    <xf numFmtId="170" fontId="11" fillId="2" borderId="2" xfId="8" applyNumberFormat="1" applyFont="1" applyFill="1" applyBorder="1">
      <alignment horizontal="center" vertical="center" wrapText="1"/>
    </xf>
    <xf numFmtId="0" fontId="12" fillId="2" borderId="0" xfId="4" applyFont="1" applyFill="1"/>
    <xf numFmtId="0" fontId="12" fillId="2" borderId="0" xfId="4" applyFont="1" applyFill="1" applyAlignment="1">
      <alignment horizontal="center"/>
    </xf>
    <xf numFmtId="0" fontId="13" fillId="2" borderId="0" xfId="4" applyFont="1" applyFill="1"/>
    <xf numFmtId="164" fontId="12" fillId="2" borderId="0" xfId="6" applyNumberFormat="1" applyFont="1" applyFill="1"/>
    <xf numFmtId="3" fontId="12" fillId="2" borderId="0" xfId="4" applyNumberFormat="1" applyFont="1" applyFill="1"/>
    <xf numFmtId="0" fontId="14" fillId="2" borderId="0" xfId="4" applyFont="1" applyFill="1"/>
    <xf numFmtId="0" fontId="12" fillId="2" borderId="0" xfId="4" quotePrefix="1" applyFont="1" applyFill="1" applyAlignment="1">
      <alignment horizontal="left"/>
    </xf>
    <xf numFmtId="165" fontId="12" fillId="0" borderId="0" xfId="0" applyNumberFormat="1" applyFont="1"/>
    <xf numFmtId="3" fontId="15" fillId="2" borderId="0" xfId="4" applyNumberFormat="1" applyFont="1" applyFill="1"/>
    <xf numFmtId="0" fontId="15" fillId="2" borderId="0" xfId="4" quotePrefix="1" applyFont="1" applyFill="1" applyAlignment="1">
      <alignment horizontal="center"/>
    </xf>
    <xf numFmtId="10" fontId="15" fillId="2" borderId="0" xfId="9" applyNumberFormat="1" applyFont="1" applyFill="1"/>
    <xf numFmtId="0" fontId="15" fillId="2" borderId="0" xfId="4" applyFont="1" applyFill="1" applyAlignment="1">
      <alignment horizontal="center"/>
    </xf>
    <xf numFmtId="0" fontId="15" fillId="2" borderId="0" xfId="4" applyFont="1" applyFill="1"/>
    <xf numFmtId="10" fontId="12" fillId="2" borderId="0" xfId="9" applyNumberFormat="1" applyFont="1" applyFill="1"/>
    <xf numFmtId="0" fontId="12" fillId="2" borderId="0" xfId="4" quotePrefix="1" applyFont="1" applyFill="1" applyAlignment="1">
      <alignment horizontal="center"/>
    </xf>
    <xf numFmtId="0" fontId="16" fillId="0" borderId="0" xfId="0" applyFont="1"/>
    <xf numFmtId="44" fontId="12" fillId="2" borderId="0" xfId="10" applyFont="1" applyFill="1" applyAlignment="1">
      <alignment horizontal="center"/>
    </xf>
    <xf numFmtId="44" fontId="12" fillId="2" borderId="0" xfId="4" applyNumberFormat="1" applyFont="1" applyFill="1"/>
    <xf numFmtId="165" fontId="12" fillId="2" borderId="0" xfId="7" applyNumberFormat="1" applyFont="1" applyFill="1" applyAlignment="1">
      <alignment horizontal="center"/>
    </xf>
    <xf numFmtId="0" fontId="17" fillId="0" borderId="0" xfId="0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0" fillId="0" borderId="4" xfId="1" applyNumberFormat="1" applyFont="1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5" fontId="0" fillId="0" borderId="4" xfId="0" applyNumberFormat="1" applyBorder="1"/>
    <xf numFmtId="165" fontId="0" fillId="0" borderId="0" xfId="0" applyNumberFormat="1" applyFill="1"/>
    <xf numFmtId="165" fontId="0" fillId="0" borderId="0" xfId="0" applyNumberFormat="1" applyBorder="1"/>
    <xf numFmtId="171" fontId="0" fillId="0" borderId="0" xfId="3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172" fontId="20" fillId="0" borderId="0" xfId="0" applyNumberFormat="1" applyFont="1"/>
    <xf numFmtId="18" fontId="20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/>
    <xf numFmtId="37" fontId="20" fillId="0" borderId="0" xfId="0" applyNumberFormat="1" applyFont="1"/>
    <xf numFmtId="37" fontId="20" fillId="0" borderId="4" xfId="0" applyNumberFormat="1" applyFont="1" applyBorder="1"/>
    <xf numFmtId="173" fontId="20" fillId="0" borderId="0" xfId="2" applyNumberFormat="1" applyFont="1"/>
    <xf numFmtId="173" fontId="20" fillId="0" borderId="4" xfId="0" applyNumberFormat="1" applyFont="1" applyBorder="1"/>
    <xf numFmtId="173" fontId="20" fillId="0" borderId="4" xfId="2" applyNumberFormat="1" applyFont="1" applyBorder="1"/>
    <xf numFmtId="43" fontId="20" fillId="0" borderId="0" xfId="1" applyFont="1"/>
    <xf numFmtId="0" fontId="0" fillId="0" borderId="5" xfId="0" applyBorder="1"/>
    <xf numFmtId="0" fontId="20" fillId="0" borderId="6" xfId="0" applyFont="1" applyBorder="1" applyAlignment="1">
      <alignment horizontal="center"/>
    </xf>
    <xf numFmtId="0" fontId="20" fillId="0" borderId="7" xfId="0" applyFont="1" applyBorder="1"/>
    <xf numFmtId="0" fontId="20" fillId="0" borderId="7" xfId="0" applyFont="1" applyBorder="1" applyAlignment="1">
      <alignment horizontal="right"/>
    </xf>
    <xf numFmtId="0" fontId="20" fillId="0" borderId="7" xfId="0" applyFont="1" applyBorder="1" applyAlignment="1">
      <alignment horizontal="center"/>
    </xf>
    <xf numFmtId="173" fontId="20" fillId="0" borderId="7" xfId="2" applyNumberFormat="1" applyFont="1" applyBorder="1"/>
    <xf numFmtId="173" fontId="20" fillId="0" borderId="8" xfId="2" applyNumberFormat="1" applyFont="1" applyBorder="1"/>
    <xf numFmtId="0" fontId="20" fillId="0" borderId="9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center"/>
    </xf>
    <xf numFmtId="173" fontId="20" fillId="0" borderId="10" xfId="2" applyNumberFormat="1" applyFont="1" applyBorder="1"/>
    <xf numFmtId="173" fontId="20" fillId="0" borderId="11" xfId="2" applyNumberFormat="1" applyFont="1" applyBorder="1"/>
    <xf numFmtId="43" fontId="21" fillId="0" borderId="0" xfId="1" applyFont="1"/>
    <xf numFmtId="37" fontId="21" fillId="0" borderId="0" xfId="0" applyNumberFormat="1" applyFont="1"/>
    <xf numFmtId="0" fontId="2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16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/>
    <xf numFmtId="0" fontId="23" fillId="0" borderId="0" xfId="0" applyFont="1"/>
    <xf numFmtId="0" fontId="1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169" fontId="23" fillId="0" borderId="0" xfId="0" applyNumberFormat="1" applyFont="1"/>
    <xf numFmtId="169" fontId="11" fillId="0" borderId="0" xfId="0" applyNumberFormat="1" applyFont="1" applyAlignment="1">
      <alignment horizontal="center"/>
    </xf>
    <xf numFmtId="169" fontId="15" fillId="0" borderId="0" xfId="0" applyNumberFormat="1" applyFont="1"/>
    <xf numFmtId="169" fontId="15" fillId="0" borderId="0" xfId="0" applyNumberFormat="1" applyFont="1" applyAlignment="1">
      <alignment horizontal="center"/>
    </xf>
    <xf numFmtId="169" fontId="23" fillId="0" borderId="12" xfId="0" applyNumberFormat="1" applyFont="1" applyBorder="1"/>
    <xf numFmtId="169" fontId="23" fillId="0" borderId="0" xfId="0" applyNumberFormat="1" applyFont="1" applyBorder="1"/>
    <xf numFmtId="10" fontId="24" fillId="0" borderId="0" xfId="0" applyNumberFormat="1" applyFont="1"/>
    <xf numFmtId="169" fontId="23" fillId="0" borderId="2" xfId="0" applyNumberFormat="1" applyFont="1" applyBorder="1"/>
    <xf numFmtId="169" fontId="23" fillId="0" borderId="13" xfId="0" applyNumberFormat="1" applyFont="1" applyBorder="1"/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0" fontId="15" fillId="0" borderId="0" xfId="0" applyFont="1" applyAlignment="1">
      <alignment vertical="top" wrapText="1"/>
    </xf>
    <xf numFmtId="0" fontId="12" fillId="2" borderId="0" xfId="4" applyFont="1" applyFill="1" applyAlignment="1">
      <alignment horizontal="center" wrapText="1"/>
    </xf>
  </cellXfs>
  <cellStyles count="11">
    <cellStyle name="Comma" xfId="1" builtinId="3"/>
    <cellStyle name="Comma 2" xfId="7"/>
    <cellStyle name="Currency" xfId="2" builtinId="4"/>
    <cellStyle name="Currency 2" xfId="10"/>
    <cellStyle name="Currency 2 2" xfId="6"/>
    <cellStyle name="Normal" xfId="0" builtinId="0"/>
    <cellStyle name="Normal 2" xfId="4"/>
    <cellStyle name="Percent" xfId="3" builtinId="5"/>
    <cellStyle name="Percent 2" xfId="9"/>
    <cellStyle name="Report Heading 2" xfId="5"/>
    <cellStyle name="Report Heading 3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100" workbookViewId="0">
      <selection activeCell="B30" sqref="B30"/>
    </sheetView>
  </sheetViews>
  <sheetFormatPr defaultRowHeight="14.4" x14ac:dyDescent="0.3"/>
  <cols>
    <col min="1" max="1" width="5.33203125" customWidth="1"/>
    <col min="2" max="2" width="6" customWidth="1"/>
    <col min="3" max="3" width="38.33203125" customWidth="1"/>
    <col min="4" max="4" width="20" customWidth="1"/>
    <col min="5" max="6" width="16.6640625" customWidth="1"/>
    <col min="7" max="7" width="15.44140625" customWidth="1"/>
    <col min="8" max="9" width="16.33203125" customWidth="1"/>
    <col min="10" max="10" width="16.77734375" customWidth="1"/>
    <col min="11" max="11" width="15.88671875" customWidth="1"/>
  </cols>
  <sheetData>
    <row r="1" spans="1:11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6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6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6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.6" x14ac:dyDescent="0.3">
      <c r="A6" s="4"/>
      <c r="B6" s="5"/>
      <c r="C6" s="5"/>
      <c r="D6" s="5"/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6" t="s">
        <v>10</v>
      </c>
    </row>
    <row r="7" spans="1:11" ht="15.6" x14ac:dyDescent="0.3">
      <c r="A7" s="4"/>
      <c r="B7" s="5"/>
      <c r="C7" s="5"/>
      <c r="D7" s="5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9" t="s">
        <v>16</v>
      </c>
      <c r="K7" s="8" t="s">
        <v>17</v>
      </c>
    </row>
    <row r="8" spans="1:11" ht="15.6" x14ac:dyDescent="0.3">
      <c r="A8" s="4"/>
      <c r="B8" s="5"/>
      <c r="C8" s="5"/>
      <c r="D8" s="5"/>
      <c r="E8" s="5"/>
      <c r="F8" s="5"/>
      <c r="G8" s="5"/>
      <c r="H8" s="5"/>
      <c r="I8" s="5"/>
      <c r="J8" s="10"/>
      <c r="K8" s="11"/>
    </row>
    <row r="9" spans="1:11" ht="15.6" x14ac:dyDescent="0.3">
      <c r="A9" s="4">
        <v>1</v>
      </c>
      <c r="B9" s="5" t="s">
        <v>18</v>
      </c>
      <c r="C9" s="5"/>
      <c r="D9" s="5"/>
      <c r="E9" s="12">
        <f>SUM(F9:K9)</f>
        <v>502020000</v>
      </c>
      <c r="F9" s="13">
        <v>216075000</v>
      </c>
      <c r="G9" s="13">
        <v>75061000</v>
      </c>
      <c r="H9" s="13">
        <v>125677000</v>
      </c>
      <c r="I9" s="13">
        <v>12039000</v>
      </c>
      <c r="J9" s="14">
        <v>66744000</v>
      </c>
      <c r="K9" s="15">
        <v>6424000</v>
      </c>
    </row>
    <row r="10" spans="1:11" ht="15.6" x14ac:dyDescent="0.3">
      <c r="A10" s="4">
        <v>2</v>
      </c>
      <c r="B10" s="16" t="s">
        <v>210</v>
      </c>
      <c r="C10" s="5"/>
      <c r="D10" s="5"/>
      <c r="E10" s="12">
        <f>SUM(F10:K10)</f>
        <v>45775000</v>
      </c>
      <c r="F10" s="13">
        <v>21656000</v>
      </c>
      <c r="G10" s="13">
        <v>5475000</v>
      </c>
      <c r="H10" s="13">
        <v>11460000</v>
      </c>
      <c r="I10" s="13">
        <v>1098000</v>
      </c>
      <c r="J10" s="14">
        <v>6086000</v>
      </c>
      <c r="K10" s="15">
        <v>0</v>
      </c>
    </row>
    <row r="11" spans="1:11" ht="15.6" x14ac:dyDescent="0.3">
      <c r="A11" s="4">
        <v>3</v>
      </c>
      <c r="B11" s="5" t="s">
        <v>19</v>
      </c>
      <c r="C11" s="5"/>
      <c r="D11" s="5"/>
      <c r="E11" s="12">
        <f>SUM(F11:K11)</f>
        <v>547795000</v>
      </c>
      <c r="F11" s="12">
        <f t="shared" ref="F11:K11" si="0">F9+F10</f>
        <v>237731000</v>
      </c>
      <c r="G11" s="12">
        <f t="shared" si="0"/>
        <v>80536000</v>
      </c>
      <c r="H11" s="12">
        <f t="shared" si="0"/>
        <v>137137000</v>
      </c>
      <c r="I11" s="12">
        <f t="shared" si="0"/>
        <v>13137000</v>
      </c>
      <c r="J11" s="17">
        <f>J9+J10</f>
        <v>72830000</v>
      </c>
      <c r="K11" s="18">
        <f t="shared" si="0"/>
        <v>6424000</v>
      </c>
    </row>
    <row r="12" spans="1:11" ht="15.6" x14ac:dyDescent="0.3">
      <c r="A12" s="4"/>
      <c r="B12" s="5"/>
      <c r="C12" s="5"/>
      <c r="D12" s="5"/>
      <c r="E12" s="12"/>
      <c r="F12" s="12"/>
      <c r="G12" s="12"/>
      <c r="H12" s="12"/>
      <c r="I12" s="12"/>
      <c r="J12" s="17"/>
      <c r="K12" s="18"/>
    </row>
    <row r="13" spans="1:11" ht="15.6" x14ac:dyDescent="0.3">
      <c r="A13" s="4">
        <v>4</v>
      </c>
      <c r="B13" s="5" t="s">
        <v>20</v>
      </c>
      <c r="C13" s="5"/>
      <c r="D13" s="5"/>
      <c r="E13" s="19">
        <f>SUM(F13:K13)</f>
        <v>5637842826</v>
      </c>
      <c r="F13" s="20">
        <v>2374703689</v>
      </c>
      <c r="G13" s="20">
        <v>619305952</v>
      </c>
      <c r="H13" s="20">
        <v>1365904624</v>
      </c>
      <c r="I13" s="20">
        <v>145822517</v>
      </c>
      <c r="J13" s="21">
        <v>1113564012</v>
      </c>
      <c r="K13" s="22">
        <v>18542032</v>
      </c>
    </row>
    <row r="14" spans="1:11" ht="15.6" x14ac:dyDescent="0.3">
      <c r="A14" s="4">
        <v>5</v>
      </c>
      <c r="B14" s="5" t="s">
        <v>21</v>
      </c>
      <c r="C14" s="5"/>
      <c r="D14" s="23"/>
      <c r="E14" s="23">
        <f t="shared" ref="E14:K14" si="1">$E$31</f>
        <v>1.8950000000000002E-2</v>
      </c>
      <c r="F14" s="23">
        <f t="shared" si="1"/>
        <v>1.8950000000000002E-2</v>
      </c>
      <c r="G14" s="23">
        <f t="shared" si="1"/>
        <v>1.8950000000000002E-2</v>
      </c>
      <c r="H14" s="23">
        <f t="shared" si="1"/>
        <v>1.8950000000000002E-2</v>
      </c>
      <c r="I14" s="23">
        <f t="shared" si="1"/>
        <v>1.8950000000000002E-2</v>
      </c>
      <c r="J14" s="24">
        <f t="shared" si="1"/>
        <v>1.8950000000000002E-2</v>
      </c>
      <c r="K14" s="25">
        <f t="shared" si="1"/>
        <v>1.8950000000000002E-2</v>
      </c>
    </row>
    <row r="15" spans="1:11" ht="15.6" x14ac:dyDescent="0.3">
      <c r="A15" s="4">
        <v>6</v>
      </c>
      <c r="B15" s="5" t="s">
        <v>22</v>
      </c>
      <c r="C15" s="5"/>
      <c r="D15" s="23"/>
      <c r="E15" s="12">
        <f>SUM(F15:K15)</f>
        <v>106837121.55270001</v>
      </c>
      <c r="F15" s="12">
        <f t="shared" ref="F15:K15" si="2">F14*F13</f>
        <v>45000634.906550005</v>
      </c>
      <c r="G15" s="12">
        <f t="shared" si="2"/>
        <v>11735847.7904</v>
      </c>
      <c r="H15" s="12">
        <f t="shared" si="2"/>
        <v>25883892.6248</v>
      </c>
      <c r="I15" s="12">
        <f t="shared" si="2"/>
        <v>2763336.6971500004</v>
      </c>
      <c r="J15" s="17">
        <f t="shared" si="2"/>
        <v>21102038.027400002</v>
      </c>
      <c r="K15" s="18">
        <f t="shared" si="2"/>
        <v>351371.50640000001</v>
      </c>
    </row>
    <row r="16" spans="1:11" ht="15.6" x14ac:dyDescent="0.3">
      <c r="A16" s="4" t="s">
        <v>23</v>
      </c>
      <c r="B16" s="5" t="s">
        <v>24</v>
      </c>
      <c r="C16" s="5"/>
      <c r="D16" s="23" t="s">
        <v>25</v>
      </c>
      <c r="E16" s="12"/>
      <c r="F16" s="23">
        <f>'Page 4 Cost of Service'!G48+'Page 4 Cost of Service'!G49-F14</f>
        <v>3.2291976086543939E-2</v>
      </c>
      <c r="G16" s="23">
        <f>'Page 4 Cost of Service'!H48+'Page 4 Cost of Service'!H49-G14</f>
        <v>4.568142519281488E-2</v>
      </c>
      <c r="H16" s="23">
        <f>'Page 4 Cost of Service'!I48+'Page 4 Cost of Service'!I49-H14</f>
        <v>3.8491215446894732E-2</v>
      </c>
      <c r="I16" s="23">
        <f>'Page 4 Cost of Service'!K48+'Page 4 Cost of Service'!K49-I14</f>
        <v>2.8572279990603848E-2</v>
      </c>
      <c r="J16" s="24">
        <f>'Page 4 Cost of Service'!J48+'Page 4 Cost of Service'!J49-J14</f>
        <v>3.1285464176549531E-2</v>
      </c>
      <c r="K16" s="23">
        <f>'Page 4 Cost of Service'!L48+'Page 4 Cost of Service'!L49-K14</f>
        <v>1.8756265603031355E-2</v>
      </c>
    </row>
    <row r="17" spans="1:11" ht="15.6" x14ac:dyDescent="0.3">
      <c r="A17" s="4" t="s">
        <v>26</v>
      </c>
      <c r="B17" s="5" t="s">
        <v>27</v>
      </c>
      <c r="C17" s="5"/>
      <c r="D17" s="23" t="s">
        <v>25</v>
      </c>
      <c r="E17" s="12">
        <f>SUM(F17:K17)</f>
        <v>196902610.48525366</v>
      </c>
      <c r="F17" s="12">
        <f>F13*F16</f>
        <v>76683874.737815678</v>
      </c>
      <c r="G17" s="12">
        <f t="shared" ref="G17:K17" si="3">G13*G16</f>
        <v>28290778.517753001</v>
      </c>
      <c r="H17" s="12">
        <f t="shared" si="3"/>
        <v>52575329.16229374</v>
      </c>
      <c r="I17" s="12">
        <f t="shared" si="3"/>
        <v>4166481.7846585894</v>
      </c>
      <c r="J17" s="17">
        <f>J13*J16</f>
        <v>34838367.005720772</v>
      </c>
      <c r="K17" s="12">
        <f t="shared" si="3"/>
        <v>347779.27701190667</v>
      </c>
    </row>
    <row r="18" spans="1:11" ht="15.6" x14ac:dyDescent="0.3">
      <c r="A18" s="4"/>
      <c r="B18" s="5"/>
      <c r="C18" s="5"/>
      <c r="D18" s="5"/>
      <c r="E18" s="12"/>
      <c r="F18" s="12"/>
      <c r="G18" s="12"/>
      <c r="H18" s="12"/>
      <c r="I18" s="12"/>
      <c r="J18" s="17"/>
      <c r="K18" s="18"/>
    </row>
    <row r="19" spans="1:11" ht="15.6" x14ac:dyDescent="0.3">
      <c r="A19" s="4">
        <v>7</v>
      </c>
      <c r="B19" s="5" t="s">
        <v>28</v>
      </c>
      <c r="C19" s="5"/>
      <c r="D19" s="4" t="s">
        <v>29</v>
      </c>
      <c r="E19" s="12">
        <f>SUM(F19:K19)</f>
        <v>383157287.98110002</v>
      </c>
      <c r="F19" s="26">
        <f>F11-F15</f>
        <v>192730365.09345001</v>
      </c>
      <c r="G19" s="26">
        <f>G11-G15</f>
        <v>68800152.209600002</v>
      </c>
      <c r="H19" s="26">
        <f>H11-H15</f>
        <v>111253107.3752</v>
      </c>
      <c r="I19" s="26">
        <f>I11-I15</f>
        <v>10373663.302850001</v>
      </c>
      <c r="J19" s="10"/>
      <c r="K19" s="11"/>
    </row>
    <row r="20" spans="1:11" ht="15.6" x14ac:dyDescent="0.3">
      <c r="A20" s="4" t="s">
        <v>30</v>
      </c>
      <c r="B20" s="5" t="s">
        <v>31</v>
      </c>
      <c r="C20" s="5"/>
      <c r="D20" s="4" t="s">
        <v>32</v>
      </c>
      <c r="E20" s="12">
        <f>SUM(F20:K20)</f>
        <v>221440823.778579</v>
      </c>
      <c r="F20" s="26">
        <f>F19-F17</f>
        <v>116046490.35563433</v>
      </c>
      <c r="G20" s="26">
        <f t="shared" ref="G20:I20" si="4">G19-G17</f>
        <v>40509373.691846997</v>
      </c>
      <c r="H20" s="26">
        <f t="shared" si="4"/>
        <v>58677778.212906264</v>
      </c>
      <c r="I20" s="26">
        <f t="shared" si="4"/>
        <v>6207181.5181914112</v>
      </c>
      <c r="J20" s="10"/>
      <c r="K20" s="11"/>
    </row>
    <row r="21" spans="1:11" ht="15.6" x14ac:dyDescent="0.3">
      <c r="A21" s="4"/>
      <c r="B21" s="5"/>
      <c r="C21" s="5"/>
      <c r="D21" s="5"/>
      <c r="E21" s="5"/>
      <c r="F21" s="5"/>
      <c r="G21" s="5"/>
      <c r="H21" s="5"/>
      <c r="I21" s="5"/>
      <c r="J21" s="10"/>
      <c r="K21" s="11"/>
    </row>
    <row r="22" spans="1:11" ht="15.6" x14ac:dyDescent="0.3">
      <c r="A22" s="4">
        <v>8</v>
      </c>
      <c r="B22" s="5" t="s">
        <v>33</v>
      </c>
      <c r="C22" s="5"/>
      <c r="D22" s="5"/>
      <c r="E22" s="19">
        <f>SUM(F22:K22)</f>
        <v>3027008</v>
      </c>
      <c r="F22" s="27">
        <v>2587975</v>
      </c>
      <c r="G22" s="27">
        <v>386800</v>
      </c>
      <c r="H22" s="27">
        <v>22787</v>
      </c>
      <c r="I22" s="27">
        <v>29446</v>
      </c>
      <c r="J22" s="10"/>
      <c r="K22" s="11"/>
    </row>
    <row r="23" spans="1:11" ht="15.6" x14ac:dyDescent="0.3">
      <c r="A23" s="4">
        <v>9</v>
      </c>
      <c r="B23" s="5" t="s">
        <v>34</v>
      </c>
      <c r="C23" s="5"/>
      <c r="D23" s="5"/>
      <c r="E23" s="12"/>
      <c r="F23" s="28">
        <v>9</v>
      </c>
      <c r="G23" s="28">
        <v>20</v>
      </c>
      <c r="H23" s="28">
        <v>550</v>
      </c>
      <c r="I23" s="28">
        <v>20</v>
      </c>
      <c r="J23" s="10"/>
      <c r="K23" s="11"/>
    </row>
    <row r="24" spans="1:11" ht="15.6" x14ac:dyDescent="0.3">
      <c r="A24" s="4">
        <v>10</v>
      </c>
      <c r="B24" s="5" t="s">
        <v>35</v>
      </c>
      <c r="C24" s="5"/>
      <c r="D24" s="5"/>
      <c r="E24" s="12">
        <f>SUM(F24:K24)</f>
        <v>44149545</v>
      </c>
      <c r="F24" s="29">
        <f>F23*F22</f>
        <v>23291775</v>
      </c>
      <c r="G24" s="29">
        <f>G23*G22</f>
        <v>7736000</v>
      </c>
      <c r="H24" s="29">
        <f>H23*H22</f>
        <v>12532850</v>
      </c>
      <c r="I24" s="29">
        <f>I23*I22</f>
        <v>588920</v>
      </c>
      <c r="J24" s="10"/>
      <c r="K24" s="11"/>
    </row>
    <row r="25" spans="1:11" ht="15.6" x14ac:dyDescent="0.3">
      <c r="A25" s="4"/>
      <c r="B25" s="5"/>
      <c r="C25" s="5"/>
      <c r="D25" s="5"/>
      <c r="E25" s="12"/>
      <c r="F25" s="29"/>
      <c r="G25" s="29"/>
      <c r="H25" s="29"/>
      <c r="I25" s="29"/>
      <c r="J25" s="30" t="s">
        <v>36</v>
      </c>
      <c r="K25" s="31"/>
    </row>
    <row r="26" spans="1:11" ht="15.6" x14ac:dyDescent="0.3">
      <c r="A26" s="4">
        <v>11</v>
      </c>
      <c r="B26" s="5" t="s">
        <v>37</v>
      </c>
      <c r="C26" s="5"/>
      <c r="D26" s="4" t="s">
        <v>29</v>
      </c>
      <c r="E26" s="12">
        <f>SUM(F26:K26)</f>
        <v>339007742.98110002</v>
      </c>
      <c r="F26" s="26">
        <f>F19-F24</f>
        <v>169438590.09345001</v>
      </c>
      <c r="G26" s="26">
        <f>G19-G24</f>
        <v>61064152.209600002</v>
      </c>
      <c r="H26" s="26">
        <f>H19-H24</f>
        <v>98720257.375200003</v>
      </c>
      <c r="I26" s="26">
        <f>I19-I24</f>
        <v>9784743.3028500006</v>
      </c>
      <c r="J26" s="30"/>
      <c r="K26" s="31"/>
    </row>
    <row r="27" spans="1:11" ht="15.6" x14ac:dyDescent="0.3">
      <c r="A27" s="4" t="s">
        <v>38</v>
      </c>
      <c r="B27" s="5" t="s">
        <v>39</v>
      </c>
      <c r="C27" s="5"/>
      <c r="D27" s="4" t="s">
        <v>32</v>
      </c>
      <c r="E27" s="12">
        <f>SUM(F27:K27)</f>
        <v>177291278.778579</v>
      </c>
      <c r="F27" s="26">
        <f>F20-F24</f>
        <v>92754715.355634332</v>
      </c>
      <c r="G27" s="26">
        <f t="shared" ref="G27:I27" si="5">G20-G24</f>
        <v>32773373.691846997</v>
      </c>
      <c r="H27" s="26">
        <f t="shared" si="5"/>
        <v>46144928.212906264</v>
      </c>
      <c r="I27" s="26">
        <f t="shared" si="5"/>
        <v>5618261.5181914112</v>
      </c>
      <c r="J27" s="32"/>
      <c r="K27" s="32"/>
    </row>
    <row r="28" spans="1:11" ht="15.6" x14ac:dyDescent="0.3">
      <c r="A28" s="4"/>
      <c r="B28" s="5"/>
      <c r="C28" s="5"/>
      <c r="D28" s="5"/>
      <c r="E28" s="5"/>
      <c r="F28" s="19"/>
      <c r="G28" s="5"/>
      <c r="H28" s="5"/>
      <c r="I28" s="5"/>
      <c r="J28" s="5"/>
      <c r="K28" s="5"/>
    </row>
    <row r="29" spans="1:11" ht="15.6" x14ac:dyDescent="0.3">
      <c r="A29" s="4">
        <v>12</v>
      </c>
      <c r="B29" s="5" t="s">
        <v>211</v>
      </c>
      <c r="C29" s="5"/>
      <c r="D29" s="5"/>
      <c r="E29" s="33">
        <v>1.8110000000000001E-2</v>
      </c>
      <c r="F29" s="5"/>
      <c r="G29" s="5"/>
      <c r="H29" s="5"/>
      <c r="I29" s="5"/>
      <c r="J29" s="5"/>
      <c r="K29" s="5"/>
    </row>
    <row r="30" spans="1:11" ht="15.6" x14ac:dyDescent="0.3">
      <c r="A30" s="4">
        <v>13</v>
      </c>
      <c r="B30" s="5" t="s">
        <v>40</v>
      </c>
      <c r="C30" s="5"/>
      <c r="D30" s="5"/>
      <c r="E30" s="34">
        <f>1/'Page 5 Revenue Conversion'!E22</f>
        <v>1.0464290086864072</v>
      </c>
      <c r="F30" s="35"/>
      <c r="G30" s="5"/>
      <c r="H30" s="35"/>
      <c r="I30" s="5"/>
      <c r="J30" s="5"/>
      <c r="K30" s="5"/>
    </row>
    <row r="31" spans="1:11" ht="15.6" x14ac:dyDescent="0.3">
      <c r="A31" s="4">
        <v>14</v>
      </c>
      <c r="B31" s="5" t="s">
        <v>41</v>
      </c>
      <c r="C31" s="5"/>
      <c r="D31" s="5"/>
      <c r="E31" s="36">
        <f>ROUND(E29*E30,5)</f>
        <v>1.8950000000000002E-2</v>
      </c>
      <c r="F31" s="35"/>
      <c r="G31" s="5"/>
      <c r="H31" s="35"/>
      <c r="I31" s="5"/>
      <c r="J31" s="5"/>
      <c r="K31" s="5"/>
    </row>
    <row r="32" spans="1:11" ht="15.6" x14ac:dyDescent="0.3">
      <c r="A32" s="37"/>
      <c r="B32" s="38"/>
      <c r="C32" s="38"/>
      <c r="D32" s="38"/>
      <c r="E32" s="38"/>
      <c r="F32" s="39"/>
      <c r="G32" s="38"/>
      <c r="H32" s="38"/>
      <c r="I32" s="38"/>
      <c r="J32" s="38"/>
      <c r="K32" s="38"/>
    </row>
    <row r="33" spans="1:11" ht="15.6" x14ac:dyDescent="0.3">
      <c r="A33" s="37"/>
      <c r="B33" s="38"/>
      <c r="C33" s="38"/>
      <c r="D33" s="38"/>
      <c r="E33" s="38"/>
      <c r="F33" s="40" t="s">
        <v>42</v>
      </c>
      <c r="G33" s="38" t="s">
        <v>43</v>
      </c>
      <c r="H33" s="40"/>
      <c r="I33" s="38"/>
      <c r="J33" s="38"/>
      <c r="K33" s="38"/>
    </row>
    <row r="34" spans="1:11" ht="15.6" x14ac:dyDescent="0.3">
      <c r="A34" s="37">
        <v>15</v>
      </c>
      <c r="B34" s="38" t="s">
        <v>44</v>
      </c>
      <c r="C34" s="38"/>
      <c r="D34" s="38"/>
      <c r="E34" s="38"/>
      <c r="F34" s="41">
        <f>ROUND(F22/12,0)</f>
        <v>215665</v>
      </c>
      <c r="G34" s="41">
        <f>ROUND((G22+H22+I22)/12,0)</f>
        <v>36586</v>
      </c>
      <c r="H34" s="38"/>
      <c r="I34" s="38"/>
      <c r="J34" s="38"/>
      <c r="K34" s="38"/>
    </row>
    <row r="35" spans="1:11" ht="15.6" x14ac:dyDescent="0.3">
      <c r="A35" s="37">
        <v>16</v>
      </c>
      <c r="B35" s="38" t="s">
        <v>45</v>
      </c>
      <c r="C35" s="38"/>
      <c r="D35" s="38"/>
      <c r="E35" s="38"/>
      <c r="F35" s="42">
        <f>F13</f>
        <v>2374703689</v>
      </c>
      <c r="G35" s="42">
        <f>G13+H13+I13</f>
        <v>2131033093</v>
      </c>
      <c r="H35" s="38"/>
      <c r="I35" s="38"/>
      <c r="J35" s="38"/>
      <c r="K35" s="38"/>
    </row>
    <row r="36" spans="1:11" ht="15.6" x14ac:dyDescent="0.3">
      <c r="A36" s="37">
        <v>17</v>
      </c>
      <c r="B36" s="38" t="s">
        <v>46</v>
      </c>
      <c r="C36" s="38"/>
      <c r="D36" s="38"/>
      <c r="E36" s="38"/>
      <c r="F36" s="42">
        <f>F24</f>
        <v>23291775</v>
      </c>
      <c r="G36" s="42">
        <f>G24+H24+I24</f>
        <v>20857770</v>
      </c>
      <c r="H36" s="38"/>
      <c r="I36" s="38"/>
      <c r="J36" s="38"/>
      <c r="K36" s="38"/>
    </row>
    <row r="37" spans="1:11" ht="15.6" x14ac:dyDescent="0.3">
      <c r="A37" s="37">
        <v>18</v>
      </c>
      <c r="B37" s="38" t="s">
        <v>47</v>
      </c>
      <c r="C37" s="38"/>
      <c r="D37" s="38"/>
      <c r="E37" s="38"/>
      <c r="F37" s="43">
        <f>F22</f>
        <v>2587975</v>
      </c>
      <c r="G37" s="43">
        <f>G22+H22+I22</f>
        <v>439033</v>
      </c>
      <c r="H37" s="38"/>
      <c r="I37" s="38"/>
      <c r="J37" s="38"/>
      <c r="K37" s="38"/>
    </row>
    <row r="38" spans="1:11" ht="15.6" x14ac:dyDescent="0.3">
      <c r="A38" s="37">
        <v>19</v>
      </c>
      <c r="B38" s="38" t="s">
        <v>48</v>
      </c>
      <c r="C38" s="38"/>
      <c r="D38" s="38"/>
      <c r="E38" s="38"/>
      <c r="F38" s="44">
        <f>F36/F37</f>
        <v>9</v>
      </c>
      <c r="G38" s="44">
        <f>G36/G37</f>
        <v>47.508433306835705</v>
      </c>
      <c r="H38" s="38"/>
      <c r="I38" s="38"/>
      <c r="J38" s="38"/>
      <c r="K38" s="38"/>
    </row>
    <row r="39" spans="1:11" ht="15.6" x14ac:dyDescent="0.3">
      <c r="A39" s="37">
        <v>20</v>
      </c>
      <c r="B39" s="38" t="s">
        <v>49</v>
      </c>
      <c r="C39" s="38"/>
      <c r="D39" s="38"/>
      <c r="E39" s="38"/>
      <c r="F39" s="42">
        <f>F35/F34</f>
        <v>11011.07592330698</v>
      </c>
      <c r="G39" s="42">
        <f>G35/G34</f>
        <v>58247.228256710216</v>
      </c>
      <c r="H39" s="38"/>
      <c r="I39" s="38"/>
      <c r="J39" s="38"/>
      <c r="K39" s="38"/>
    </row>
    <row r="40" spans="1:11" ht="15.6" x14ac:dyDescent="0.3">
      <c r="A40" s="37">
        <v>21</v>
      </c>
      <c r="B40" s="38" t="s">
        <v>50</v>
      </c>
      <c r="C40" s="38"/>
      <c r="D40" s="38"/>
      <c r="E40" s="38"/>
      <c r="F40" s="45">
        <f>F17/F35</f>
        <v>3.2291976086543939E-2</v>
      </c>
      <c r="G40" s="45">
        <f>SUM(G17:I17)/G35</f>
        <v>3.9902050204672884E-2</v>
      </c>
      <c r="H40" s="38"/>
      <c r="I40" s="38"/>
      <c r="J40" s="38"/>
      <c r="K40" s="38"/>
    </row>
    <row r="41" spans="1:11" ht="15.6" x14ac:dyDescent="0.3">
      <c r="A41" s="37"/>
      <c r="B41" s="38"/>
      <c r="C41" s="38"/>
      <c r="D41" s="38"/>
      <c r="E41" s="38"/>
      <c r="F41" s="38"/>
      <c r="G41" s="46"/>
      <c r="H41" s="39"/>
      <c r="I41" s="38"/>
      <c r="J41" s="38"/>
      <c r="K41" s="38"/>
    </row>
    <row r="42" spans="1:11" ht="15.6" x14ac:dyDescent="0.3">
      <c r="A42" s="38" t="s">
        <v>193</v>
      </c>
      <c r="B42" s="38"/>
      <c r="C42" s="38"/>
      <c r="D42" s="38"/>
      <c r="E42" s="38"/>
      <c r="F42" s="38"/>
      <c r="G42" s="46"/>
      <c r="H42" s="39"/>
      <c r="I42" s="38"/>
      <c r="J42" s="38"/>
      <c r="K42" s="38"/>
    </row>
    <row r="43" spans="1:11" ht="15.6" x14ac:dyDescent="0.3">
      <c r="A43" s="37"/>
      <c r="B43" s="38"/>
      <c r="C43" s="38"/>
      <c r="D43" s="38"/>
      <c r="E43" s="38"/>
      <c r="F43" s="38"/>
      <c r="G43" s="46"/>
      <c r="H43" s="39"/>
      <c r="I43" s="38"/>
      <c r="J43" s="38"/>
      <c r="K43" s="38"/>
    </row>
    <row r="44" spans="1:11" ht="15.6" x14ac:dyDescent="0.3">
      <c r="A44" s="37"/>
      <c r="B44" s="38"/>
      <c r="C44" s="38"/>
      <c r="D44" s="38" t="s">
        <v>51</v>
      </c>
      <c r="E44" s="38"/>
      <c r="F44" s="38"/>
      <c r="G44" s="38"/>
      <c r="H44" s="38"/>
      <c r="I44" s="38"/>
      <c r="J44" s="38"/>
      <c r="K44" s="38"/>
    </row>
    <row r="45" spans="1:11" ht="15.6" x14ac:dyDescent="0.3">
      <c r="A45" s="37"/>
      <c r="B45" s="38"/>
      <c r="C45" s="38"/>
      <c r="D45" s="38" t="s">
        <v>52</v>
      </c>
      <c r="E45" s="38"/>
      <c r="F45" s="47">
        <f>F26/F13</f>
        <v>7.1351466239058012E-2</v>
      </c>
      <c r="G45" s="47">
        <f>G26/G13</f>
        <v>9.8600945158686282E-2</v>
      </c>
      <c r="H45" s="47">
        <f>H26/H13</f>
        <v>7.2274634436847771E-2</v>
      </c>
      <c r="I45" s="47">
        <f>I26/I13</f>
        <v>6.7100359424258196E-2</v>
      </c>
      <c r="J45" s="38"/>
      <c r="K45" s="38"/>
    </row>
    <row r="46" spans="1:11" ht="15.6" x14ac:dyDescent="0.3">
      <c r="A46" s="37"/>
      <c r="B46" s="38"/>
      <c r="C46" s="38"/>
      <c r="D46" s="38" t="s">
        <v>53</v>
      </c>
      <c r="E46" s="38"/>
      <c r="F46" s="48">
        <f>F45+F14</f>
        <v>9.030146623905802E-2</v>
      </c>
      <c r="G46" s="48">
        <f>G45+G14</f>
        <v>0.11755094515868628</v>
      </c>
      <c r="H46" s="48">
        <f>H45+H14</f>
        <v>9.1224634436847779E-2</v>
      </c>
      <c r="I46" s="48">
        <f>I45+I14</f>
        <v>8.6050359424258205E-2</v>
      </c>
      <c r="J46" s="38"/>
      <c r="K46" s="38"/>
    </row>
  </sheetData>
  <mergeCells count="5">
    <mergeCell ref="A1:K1"/>
    <mergeCell ref="A2:K2"/>
    <mergeCell ref="A3:K3"/>
    <mergeCell ref="A4:K4"/>
    <mergeCell ref="J25:K26"/>
  </mergeCells>
  <pageMargins left="0.7" right="0.7" top="0.75" bottom="0.75" header="0.3" footer="0.3"/>
  <pageSetup scale="66" orientation="landscape" r:id="rId1"/>
  <headerFooter scaleWithDoc="0">
    <oddFooter>&amp;L&amp;A&amp;C&amp;F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B5" zoomScaleNormal="100" workbookViewId="0">
      <selection activeCell="M31" sqref="M31"/>
    </sheetView>
  </sheetViews>
  <sheetFormatPr defaultRowHeight="14.4" x14ac:dyDescent="0.3"/>
  <cols>
    <col min="1" max="1" width="20" customWidth="1"/>
    <col min="2" max="2" width="27.44140625" customWidth="1"/>
    <col min="3" max="3" width="16.6640625" customWidth="1"/>
    <col min="4" max="4" width="19.5546875" customWidth="1"/>
    <col min="5" max="5" width="19.6640625" customWidth="1"/>
    <col min="6" max="6" width="20" customWidth="1"/>
  </cols>
  <sheetData>
    <row r="1" spans="1:6" ht="15.6" x14ac:dyDescent="0.3">
      <c r="A1" s="1" t="s">
        <v>0</v>
      </c>
      <c r="B1" s="1"/>
      <c r="C1" s="1"/>
      <c r="D1" s="1"/>
      <c r="E1" s="1"/>
      <c r="F1" s="1"/>
    </row>
    <row r="2" spans="1:6" ht="15.6" x14ac:dyDescent="0.3">
      <c r="A2" s="1" t="s">
        <v>1</v>
      </c>
      <c r="B2" s="1"/>
      <c r="C2" s="1"/>
      <c r="D2" s="1"/>
      <c r="E2" s="1"/>
      <c r="F2" s="1"/>
    </row>
    <row r="3" spans="1:6" ht="15.6" x14ac:dyDescent="0.3">
      <c r="A3" s="2" t="s">
        <v>54</v>
      </c>
      <c r="B3" s="2"/>
      <c r="C3" s="2"/>
      <c r="D3" s="2"/>
      <c r="E3" s="2"/>
      <c r="F3" s="2"/>
    </row>
    <row r="4" spans="1:6" ht="15.6" x14ac:dyDescent="0.3">
      <c r="A4" s="49" t="str">
        <f>'Page 1 Decoupling Base'!A4:K4</f>
        <v>Washington Docket No. UE-190334  2018 Test Year At Proposed Rates</v>
      </c>
      <c r="B4" s="49"/>
      <c r="C4" s="49"/>
      <c r="D4" s="49"/>
      <c r="E4" s="49"/>
      <c r="F4" s="49"/>
    </row>
    <row r="5" spans="1:6" ht="15.6" x14ac:dyDescent="0.3">
      <c r="A5" s="50"/>
      <c r="C5" s="50"/>
      <c r="D5" s="50"/>
      <c r="E5" s="50"/>
      <c r="F5" s="50"/>
    </row>
    <row r="6" spans="1:6" ht="46.8" x14ac:dyDescent="0.3">
      <c r="A6" s="51" t="s">
        <v>55</v>
      </c>
      <c r="C6" s="52"/>
      <c r="D6" s="51" t="s">
        <v>56</v>
      </c>
      <c r="E6" s="51" t="s">
        <v>42</v>
      </c>
      <c r="F6" s="53" t="s">
        <v>57</v>
      </c>
    </row>
    <row r="7" spans="1:6" ht="15.6" x14ac:dyDescent="0.3">
      <c r="A7" s="50"/>
      <c r="B7" s="54" t="s">
        <v>58</v>
      </c>
      <c r="D7" s="55" t="s">
        <v>59</v>
      </c>
      <c r="E7" s="55" t="s">
        <v>60</v>
      </c>
      <c r="F7" s="55" t="s">
        <v>61</v>
      </c>
    </row>
    <row r="8" spans="1:6" ht="16.2" x14ac:dyDescent="0.35">
      <c r="A8" s="55"/>
      <c r="B8" s="56" t="s">
        <v>62</v>
      </c>
      <c r="D8" s="55"/>
      <c r="E8" s="55"/>
      <c r="F8" s="55"/>
    </row>
    <row r="9" spans="1:6" ht="32.4" customHeight="1" x14ac:dyDescent="0.3">
      <c r="A9" s="55">
        <v>1</v>
      </c>
      <c r="B9" s="50" t="s">
        <v>63</v>
      </c>
      <c r="D9" s="60" t="s">
        <v>193</v>
      </c>
      <c r="E9" s="57">
        <f>'Page 1 Decoupling Base'!F26</f>
        <v>169438590.09345001</v>
      </c>
      <c r="F9" s="57">
        <f>SUM('Page 1 Decoupling Base'!G26:I26)</f>
        <v>169569152.88765001</v>
      </c>
    </row>
    <row r="10" spans="1:6" ht="15.6" x14ac:dyDescent="0.3">
      <c r="A10" s="55"/>
      <c r="B10" s="50"/>
      <c r="D10" s="50"/>
      <c r="E10" s="50"/>
      <c r="F10" s="50"/>
    </row>
    <row r="11" spans="1:6" ht="15.6" x14ac:dyDescent="0.3">
      <c r="A11" s="55">
        <v>2</v>
      </c>
      <c r="B11" s="58" t="s">
        <v>64</v>
      </c>
      <c r="C11" s="58"/>
      <c r="D11" s="55" t="s">
        <v>65</v>
      </c>
      <c r="E11" s="59">
        <f>'Page 1 Decoupling Base'!F34</f>
        <v>215665</v>
      </c>
      <c r="F11" s="59">
        <f>'Page 1 Decoupling Base'!G34</f>
        <v>36586</v>
      </c>
    </row>
    <row r="12" spans="1:6" ht="15.6" x14ac:dyDescent="0.3">
      <c r="A12" s="55"/>
      <c r="B12" s="60"/>
      <c r="C12" s="60"/>
      <c r="D12" s="50"/>
      <c r="E12" s="59"/>
      <c r="F12" s="59"/>
    </row>
    <row r="13" spans="1:6" ht="15.6" x14ac:dyDescent="0.3">
      <c r="A13" s="55">
        <v>3</v>
      </c>
      <c r="B13" s="61" t="s">
        <v>66</v>
      </c>
      <c r="C13" s="61"/>
      <c r="D13" s="55" t="str">
        <f>"("&amp;A9&amp;") / ("&amp;A11&amp;")"</f>
        <v>(1) / (2)</v>
      </c>
      <c r="E13" s="62">
        <f>ROUND(E9/E11,2)</f>
        <v>785.66</v>
      </c>
      <c r="F13" s="62">
        <f>ROUND(F9/F11,2)</f>
        <v>4634.8100000000004</v>
      </c>
    </row>
    <row r="14" spans="1:6" ht="15.6" x14ac:dyDescent="0.3">
      <c r="A14" s="55"/>
      <c r="B14" s="60"/>
      <c r="C14" s="60"/>
      <c r="D14" s="55"/>
      <c r="E14" s="62"/>
      <c r="F14" s="62"/>
    </row>
    <row r="15" spans="1:6" ht="16.2" x14ac:dyDescent="0.35">
      <c r="A15" s="55"/>
      <c r="B15" s="56" t="s">
        <v>67</v>
      </c>
      <c r="D15" s="55"/>
      <c r="E15" s="55"/>
      <c r="F15" s="55"/>
    </row>
    <row r="16" spans="1:6" ht="31.2" x14ac:dyDescent="0.3">
      <c r="A16" s="55" t="s">
        <v>68</v>
      </c>
      <c r="B16" s="50" t="s">
        <v>63</v>
      </c>
      <c r="D16" s="60" t="str">
        <f>D9</f>
        <v>Electric Decoupling Baseline, Page 1</v>
      </c>
      <c r="E16" s="57">
        <f>'Page 1 Decoupling Base'!F27</f>
        <v>92754715.355634332</v>
      </c>
      <c r="F16" s="57">
        <f>SUM('Page 1 Decoupling Base'!G27:I27)</f>
        <v>84536563.42294468</v>
      </c>
    </row>
    <row r="17" spans="1:6" ht="15.6" x14ac:dyDescent="0.3">
      <c r="A17" s="55"/>
      <c r="B17" s="50"/>
      <c r="D17" s="50"/>
      <c r="E17" s="50"/>
      <c r="F17" s="50"/>
    </row>
    <row r="18" spans="1:6" ht="15.6" x14ac:dyDescent="0.3">
      <c r="A18" s="55" t="s">
        <v>69</v>
      </c>
      <c r="B18" s="58" t="s">
        <v>64</v>
      </c>
      <c r="C18" s="58"/>
      <c r="D18" s="55" t="s">
        <v>65</v>
      </c>
      <c r="E18" s="59">
        <f>E11</f>
        <v>215665</v>
      </c>
      <c r="F18" s="59">
        <f>F11</f>
        <v>36586</v>
      </c>
    </row>
    <row r="19" spans="1:6" ht="15.6" x14ac:dyDescent="0.3">
      <c r="A19" s="55"/>
      <c r="B19" s="60"/>
      <c r="C19" s="60"/>
      <c r="D19" s="50"/>
      <c r="E19" s="59"/>
      <c r="F19" s="59"/>
    </row>
    <row r="20" spans="1:6" ht="15.6" x14ac:dyDescent="0.3">
      <c r="A20" s="55" t="s">
        <v>70</v>
      </c>
      <c r="B20" s="61" t="s">
        <v>66</v>
      </c>
      <c r="C20" s="61"/>
      <c r="D20" s="55" t="str">
        <f>"("&amp;A16&amp;") / ("&amp;A18&amp;")"</f>
        <v>(1A) / (2A)</v>
      </c>
      <c r="E20" s="62">
        <f>ROUND(E16/E18,2)</f>
        <v>430.09</v>
      </c>
      <c r="F20" s="62">
        <f>ROUND(F16/F18,2)</f>
        <v>2310.63</v>
      </c>
    </row>
    <row r="21" spans="1:6" ht="15.6" x14ac:dyDescent="0.3">
      <c r="A21" s="55"/>
      <c r="B21" s="60"/>
      <c r="C21" s="60"/>
      <c r="D21" s="55"/>
      <c r="E21" s="62"/>
      <c r="F21" s="62"/>
    </row>
    <row r="22" spans="1:6" ht="15.6" x14ac:dyDescent="0.3">
      <c r="A22" s="55"/>
      <c r="B22" s="60"/>
      <c r="C22" s="60"/>
      <c r="D22" s="50"/>
      <c r="E22" s="63"/>
      <c r="F22" s="63"/>
    </row>
    <row r="23" spans="1:6" ht="15.6" x14ac:dyDescent="0.3">
      <c r="A23" s="55"/>
      <c r="B23" s="64" t="s">
        <v>71</v>
      </c>
      <c r="D23" s="50"/>
      <c r="E23" s="50"/>
      <c r="F23" s="50"/>
    </row>
    <row r="24" spans="1:6" ht="15.6" x14ac:dyDescent="0.3">
      <c r="A24" s="38"/>
      <c r="C24" s="38"/>
      <c r="D24" s="38"/>
      <c r="E24" s="38"/>
      <c r="F24" s="38"/>
    </row>
    <row r="25" spans="1:6" ht="15.6" x14ac:dyDescent="0.3">
      <c r="B25" s="38"/>
      <c r="C25" s="38"/>
      <c r="D25" s="38"/>
      <c r="E25" s="38"/>
      <c r="F25" s="38"/>
    </row>
    <row r="26" spans="1:6" ht="15.6" x14ac:dyDescent="0.3">
      <c r="A26" s="38" t="s">
        <v>192</v>
      </c>
      <c r="C26" s="38"/>
      <c r="D26" s="38"/>
      <c r="E26" s="38"/>
      <c r="F26" s="38"/>
    </row>
    <row r="27" spans="1:6" ht="15.6" x14ac:dyDescent="0.3">
      <c r="B27" s="38"/>
      <c r="C27" s="65" t="s">
        <v>72</v>
      </c>
      <c r="D27" s="38"/>
      <c r="E27" s="38"/>
      <c r="F27" s="38"/>
    </row>
    <row r="28" spans="1:6" ht="15.6" x14ac:dyDescent="0.3">
      <c r="B28" s="38"/>
      <c r="C28" s="65" t="s">
        <v>209</v>
      </c>
      <c r="D28" s="38"/>
      <c r="E28" s="57">
        <f>E11*E13</f>
        <v>169439363.90000001</v>
      </c>
      <c r="F28" s="57">
        <f>F11*F13</f>
        <v>169569158.66000003</v>
      </c>
    </row>
    <row r="29" spans="1:6" ht="15.6" x14ac:dyDescent="0.3">
      <c r="B29" s="38"/>
      <c r="C29" s="65" t="s">
        <v>73</v>
      </c>
      <c r="D29" s="38"/>
      <c r="E29" s="57">
        <f>'Page 1 Decoupling Base'!F36</f>
        <v>23291775</v>
      </c>
      <c r="F29" s="57">
        <f>'Page 1 Decoupling Base'!G36</f>
        <v>20857770</v>
      </c>
    </row>
    <row r="30" spans="1:6" ht="15.6" x14ac:dyDescent="0.3">
      <c r="B30" s="38"/>
      <c r="C30" s="65" t="s">
        <v>74</v>
      </c>
      <c r="D30" s="38"/>
      <c r="E30" s="57">
        <f>'Page 1 Decoupling Base'!F15</f>
        <v>45000634.906550005</v>
      </c>
      <c r="F30" s="57">
        <f>SUM('Page 1 Decoupling Base'!G15:I15)</f>
        <v>40383077.112350002</v>
      </c>
    </row>
    <row r="31" spans="1:6" ht="15.6" x14ac:dyDescent="0.3">
      <c r="B31" s="38"/>
      <c r="C31" s="65" t="s">
        <v>75</v>
      </c>
      <c r="D31" s="38"/>
      <c r="E31" s="66">
        <f>SUM(E28:E30)</f>
        <v>237731773.80655003</v>
      </c>
      <c r="F31" s="66">
        <f>SUM(F28:F30)</f>
        <v>230810005.77235001</v>
      </c>
    </row>
    <row r="32" spans="1:6" ht="15.6" x14ac:dyDescent="0.3">
      <c r="B32" s="38"/>
      <c r="C32" s="65"/>
      <c r="D32" s="38"/>
      <c r="E32" s="67"/>
      <c r="F32" s="67"/>
    </row>
  </sheetData>
  <mergeCells count="8">
    <mergeCell ref="B18:C18"/>
    <mergeCell ref="B20:C20"/>
    <mergeCell ref="A1:F1"/>
    <mergeCell ref="A2:F2"/>
    <mergeCell ref="A3:F3"/>
    <mergeCell ref="A4:F4"/>
    <mergeCell ref="B11:C11"/>
    <mergeCell ref="B13:C13"/>
  </mergeCells>
  <pageMargins left="0.7" right="0.7" top="0.75" bottom="0.75" header="0.3" footer="0.3"/>
  <pageSetup scale="99" orientation="landscape" r:id="rId1"/>
  <headerFooter scaleWithDoc="0">
    <oddFooter>&amp;L&amp;A&amp;C&amp;F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view="pageBreakPreview" zoomScale="60" zoomScaleNormal="100" workbookViewId="0">
      <selection activeCell="D38" sqref="D38"/>
    </sheetView>
  </sheetViews>
  <sheetFormatPr defaultRowHeight="14.4" x14ac:dyDescent="0.3"/>
  <cols>
    <col min="1" max="1" width="5.33203125" customWidth="1"/>
    <col min="2" max="2" width="6" customWidth="1"/>
    <col min="3" max="3" width="25.5546875" customWidth="1"/>
    <col min="4" max="4" width="20" customWidth="1"/>
    <col min="5" max="6" width="14.77734375" customWidth="1"/>
    <col min="7" max="8" width="13" customWidth="1"/>
    <col min="9" max="10" width="13.21875" customWidth="1"/>
    <col min="11" max="11" width="12.77734375" customWidth="1"/>
    <col min="12" max="12" width="13.44140625" customWidth="1"/>
    <col min="13" max="13" width="13.5546875" customWidth="1"/>
    <col min="14" max="14" width="13" customWidth="1"/>
    <col min="15" max="15" width="12.33203125" customWidth="1"/>
    <col min="16" max="16" width="13.44140625" customWidth="1"/>
    <col min="17" max="17" width="14.6640625" customWidth="1"/>
    <col min="18" max="18" width="14.77734375" customWidth="1"/>
  </cols>
  <sheetData>
    <row r="1" spans="1:17" ht="17.399999999999999" x14ac:dyDescent="0.3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17.399999999999999" x14ac:dyDescent="0.3">
      <c r="B2" s="68" t="str">
        <f>'Page 1 Decoupling Base'!A2</f>
        <v xml:space="preserve"> Electric Decoupling Mechanism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7.399999999999999" x14ac:dyDescent="0.3">
      <c r="B3" s="69" t="s">
        <v>76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7.399999999999999" x14ac:dyDescent="0.3">
      <c r="B4" s="69" t="str">
        <f>'Page 1 Decoupling Base'!A4</f>
        <v>Washington Docket No. UE-190334  2018 Test Year At Proposed Rates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5.6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6.4" x14ac:dyDescent="0.3">
      <c r="A6" s="70" t="s">
        <v>55</v>
      </c>
      <c r="B6" s="71"/>
      <c r="D6" s="72" t="s">
        <v>56</v>
      </c>
      <c r="E6" s="73" t="s">
        <v>77</v>
      </c>
      <c r="F6" s="73" t="s">
        <v>78</v>
      </c>
      <c r="G6" s="73" t="s">
        <v>79</v>
      </c>
      <c r="H6" s="73" t="s">
        <v>80</v>
      </c>
      <c r="I6" s="73" t="s">
        <v>81</v>
      </c>
      <c r="J6" s="73" t="s">
        <v>82</v>
      </c>
      <c r="K6" s="73" t="s">
        <v>83</v>
      </c>
      <c r="L6" s="73" t="s">
        <v>84</v>
      </c>
      <c r="M6" s="73" t="s">
        <v>85</v>
      </c>
      <c r="N6" s="73" t="s">
        <v>86</v>
      </c>
      <c r="O6" s="73" t="s">
        <v>87</v>
      </c>
      <c r="P6" s="73" t="s">
        <v>88</v>
      </c>
      <c r="Q6" s="70" t="s">
        <v>11</v>
      </c>
    </row>
    <row r="7" spans="1:17" x14ac:dyDescent="0.3">
      <c r="A7" s="74"/>
      <c r="B7" s="75" t="s">
        <v>58</v>
      </c>
      <c r="D7" s="75" t="s">
        <v>59</v>
      </c>
      <c r="E7" s="75" t="s">
        <v>60</v>
      </c>
      <c r="F7" s="75" t="s">
        <v>61</v>
      </c>
      <c r="G7" s="75" t="s">
        <v>89</v>
      </c>
      <c r="H7" s="75" t="s">
        <v>90</v>
      </c>
      <c r="I7" s="75" t="s">
        <v>91</v>
      </c>
      <c r="J7" s="75" t="s">
        <v>92</v>
      </c>
      <c r="K7" s="75" t="s">
        <v>93</v>
      </c>
      <c r="L7" s="75" t="s">
        <v>94</v>
      </c>
      <c r="M7" s="75" t="s">
        <v>95</v>
      </c>
      <c r="N7" s="75" t="s">
        <v>96</v>
      </c>
      <c r="O7" s="75" t="s">
        <v>97</v>
      </c>
      <c r="P7" s="75" t="s">
        <v>98</v>
      </c>
      <c r="Q7" s="75" t="s">
        <v>99</v>
      </c>
    </row>
    <row r="8" spans="1:17" x14ac:dyDescent="0.3">
      <c r="A8" s="75">
        <v>1</v>
      </c>
      <c r="B8" s="76" t="s">
        <v>100</v>
      </c>
      <c r="D8" s="75"/>
      <c r="E8" s="74"/>
      <c r="F8" s="74"/>
      <c r="G8" s="74"/>
      <c r="H8" s="74"/>
      <c r="I8" s="77"/>
      <c r="J8" s="77"/>
      <c r="K8" s="74"/>
      <c r="L8" s="74"/>
      <c r="M8" s="74"/>
      <c r="N8" s="74"/>
      <c r="O8" s="74"/>
      <c r="P8" s="74"/>
      <c r="Q8" s="78"/>
    </row>
    <row r="9" spans="1:17" x14ac:dyDescent="0.3">
      <c r="A9" s="75">
        <f>A8+1</f>
        <v>2</v>
      </c>
      <c r="B9" s="79" t="s">
        <v>42</v>
      </c>
      <c r="D9" s="75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8"/>
    </row>
    <row r="10" spans="1:17" x14ac:dyDescent="0.3">
      <c r="A10" s="75">
        <f>A9+1</f>
        <v>3</v>
      </c>
      <c r="B10" s="80" t="s">
        <v>101</v>
      </c>
      <c r="D10" s="75" t="s">
        <v>102</v>
      </c>
      <c r="E10" s="81">
        <f>E95</f>
        <v>292945712.06200004</v>
      </c>
      <c r="F10" s="81">
        <f t="shared" ref="F10:P10" si="0">F95</f>
        <v>209125084.00199997</v>
      </c>
      <c r="G10" s="81">
        <f t="shared" si="0"/>
        <v>229152606.20699999</v>
      </c>
      <c r="H10" s="81">
        <f t="shared" si="0"/>
        <v>174130864.29800999</v>
      </c>
      <c r="I10" s="81">
        <f t="shared" si="0"/>
        <v>159047392.68922001</v>
      </c>
      <c r="J10" s="81">
        <f t="shared" si="0"/>
        <v>151500181.59101999</v>
      </c>
      <c r="K10" s="81">
        <f t="shared" si="0"/>
        <v>166667942.63099</v>
      </c>
      <c r="L10" s="81">
        <f t="shared" si="0"/>
        <v>194633616.92300999</v>
      </c>
      <c r="M10" s="81">
        <f t="shared" si="0"/>
        <v>145837333.60800001</v>
      </c>
      <c r="N10" s="81">
        <f t="shared" si="0"/>
        <v>161623305.058</v>
      </c>
      <c r="O10" s="81">
        <f t="shared" si="0"/>
        <v>216281572.46800002</v>
      </c>
      <c r="P10" s="81">
        <f t="shared" si="0"/>
        <v>273758077.04299998</v>
      </c>
      <c r="Q10" s="82">
        <f>SUM(E10:P10)</f>
        <v>2374703688.5802498</v>
      </c>
    </row>
    <row r="11" spans="1:17" x14ac:dyDescent="0.3">
      <c r="A11" s="75">
        <f>A10+1</f>
        <v>4</v>
      </c>
      <c r="B11" s="74" t="s">
        <v>103</v>
      </c>
      <c r="D11" s="83" t="s">
        <v>104</v>
      </c>
      <c r="E11" s="84">
        <f>E10/$Q10</f>
        <v>0.12336095381952339</v>
      </c>
      <c r="F11" s="84">
        <f t="shared" ref="F11:P11" si="1">F10/$Q10</f>
        <v>8.8063654007725214E-2</v>
      </c>
      <c r="G11" s="84">
        <f t="shared" si="1"/>
        <v>9.6497347146498991E-2</v>
      </c>
      <c r="H11" s="84">
        <f t="shared" si="1"/>
        <v>7.3327407177320975E-2</v>
      </c>
      <c r="I11" s="84">
        <f t="shared" si="1"/>
        <v>6.6975679304355121E-2</v>
      </c>
      <c r="J11" s="84">
        <f t="shared" si="1"/>
        <v>6.3797509693344731E-2</v>
      </c>
      <c r="K11" s="84">
        <f t="shared" si="1"/>
        <v>7.0184732281539847E-2</v>
      </c>
      <c r="L11" s="84">
        <f t="shared" si="1"/>
        <v>8.1961222302802103E-2</v>
      </c>
      <c r="M11" s="84">
        <f t="shared" si="1"/>
        <v>6.1412855131913711E-2</v>
      </c>
      <c r="N11" s="84">
        <f t="shared" si="1"/>
        <v>6.8060409319795512E-2</v>
      </c>
      <c r="O11" s="84">
        <f t="shared" si="1"/>
        <v>9.1077288298359038E-2</v>
      </c>
      <c r="P11" s="84">
        <f t="shared" si="1"/>
        <v>0.11528094151682146</v>
      </c>
      <c r="Q11" s="84">
        <f>SUM(E11:P11)</f>
        <v>1.0000000000000002</v>
      </c>
    </row>
    <row r="12" spans="1:17" x14ac:dyDescent="0.3">
      <c r="A12" s="75"/>
      <c r="B12" s="74"/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1:17" x14ac:dyDescent="0.3">
      <c r="A13" s="75">
        <v>5</v>
      </c>
      <c r="B13" s="79" t="s">
        <v>105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1:17" x14ac:dyDescent="0.3">
      <c r="A14" s="75">
        <v>6</v>
      </c>
      <c r="B14" s="80" t="s">
        <v>101</v>
      </c>
      <c r="D14" s="75" t="s">
        <v>102</v>
      </c>
      <c r="E14" s="81">
        <f>E98</f>
        <v>176964440.734</v>
      </c>
      <c r="F14" s="81">
        <f t="shared" ref="F14:P14" si="2">F98</f>
        <v>175619316.72100002</v>
      </c>
      <c r="G14" s="81">
        <f t="shared" si="2"/>
        <v>167056292.088</v>
      </c>
      <c r="H14" s="81">
        <f t="shared" si="2"/>
        <v>162007859.72499999</v>
      </c>
      <c r="I14" s="81">
        <f t="shared" si="2"/>
        <v>174616872.97705001</v>
      </c>
      <c r="J14" s="81">
        <f t="shared" si="2"/>
        <v>181537286.56</v>
      </c>
      <c r="K14" s="81">
        <f t="shared" si="2"/>
        <v>199722134.123</v>
      </c>
      <c r="L14" s="81">
        <f t="shared" si="2"/>
        <v>191613197.248</v>
      </c>
      <c r="M14" s="81">
        <f t="shared" si="2"/>
        <v>170241283.23899999</v>
      </c>
      <c r="N14" s="81">
        <f t="shared" si="2"/>
        <v>183287816.55399999</v>
      </c>
      <c r="O14" s="81">
        <f t="shared" si="2"/>
        <v>175272144.72799999</v>
      </c>
      <c r="P14" s="81">
        <f t="shared" si="2"/>
        <v>173094448.984</v>
      </c>
      <c r="Q14" s="82">
        <f>SUM(E14:P14)</f>
        <v>2131033093.6810496</v>
      </c>
    </row>
    <row r="15" spans="1:17" x14ac:dyDescent="0.3">
      <c r="A15" s="75">
        <v>7</v>
      </c>
      <c r="B15" s="74" t="s">
        <v>103</v>
      </c>
      <c r="D15" s="83" t="s">
        <v>104</v>
      </c>
      <c r="E15" s="87">
        <f>E14/$Q14</f>
        <v>8.3041620169454836E-2</v>
      </c>
      <c r="F15" s="87">
        <f t="shared" ref="F15:P15" si="3">F14/$Q14</f>
        <v>8.2410412696896793E-2</v>
      </c>
      <c r="G15" s="87">
        <f t="shared" si="3"/>
        <v>7.8392162272541047E-2</v>
      </c>
      <c r="H15" s="87">
        <f t="shared" si="3"/>
        <v>7.6023155250562066E-2</v>
      </c>
      <c r="I15" s="87">
        <f t="shared" si="3"/>
        <v>8.1940009986154069E-2</v>
      </c>
      <c r="J15" s="87">
        <f t="shared" si="3"/>
        <v>8.5187455370024659E-2</v>
      </c>
      <c r="K15" s="87">
        <f t="shared" si="3"/>
        <v>9.3720803639895184E-2</v>
      </c>
      <c r="L15" s="87">
        <f t="shared" si="3"/>
        <v>8.9915636606570051E-2</v>
      </c>
      <c r="M15" s="87">
        <f t="shared" si="3"/>
        <v>7.9886738382336869E-2</v>
      </c>
      <c r="N15" s="87">
        <f t="shared" si="3"/>
        <v>8.6008902019159617E-2</v>
      </c>
      <c r="O15" s="87">
        <f t="shared" si="3"/>
        <v>8.2247500166805418E-2</v>
      </c>
      <c r="P15" s="87">
        <f t="shared" si="3"/>
        <v>8.1225603439599586E-2</v>
      </c>
      <c r="Q15" s="87">
        <f>SUM(E15:P15)</f>
        <v>1.0000000000000002</v>
      </c>
    </row>
    <row r="16" spans="1:17" x14ac:dyDescent="0.3">
      <c r="A16" s="75"/>
      <c r="B16" s="74"/>
      <c r="D16" s="88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1:17" x14ac:dyDescent="0.3">
      <c r="A17" s="75"/>
      <c r="B17" s="79"/>
      <c r="D17" s="75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8"/>
    </row>
    <row r="18" spans="1:17" x14ac:dyDescent="0.3">
      <c r="A18" s="75"/>
      <c r="B18" s="74"/>
      <c r="D18" s="75"/>
      <c r="E18" s="87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3">
      <c r="A19" s="75">
        <v>8</v>
      </c>
      <c r="B19" s="76" t="s">
        <v>106</v>
      </c>
      <c r="D19" s="75"/>
      <c r="E19" s="87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x14ac:dyDescent="0.3">
      <c r="A20" s="75"/>
      <c r="B20" s="76"/>
      <c r="C20" s="89" t="s">
        <v>107</v>
      </c>
      <c r="D20" s="75"/>
      <c r="E20" s="8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x14ac:dyDescent="0.3">
      <c r="A21" s="75">
        <f>A19+1</f>
        <v>9</v>
      </c>
      <c r="B21" s="79" t="s">
        <v>42</v>
      </c>
      <c r="D21" s="75"/>
      <c r="E21" s="87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 ht="27" x14ac:dyDescent="0.3">
      <c r="A22" s="75">
        <f>A21+1</f>
        <v>10</v>
      </c>
      <c r="B22" s="74" t="s">
        <v>108</v>
      </c>
      <c r="D22" s="161" t="s">
        <v>212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90">
        <f>'Page 2 Revenue per Customer'!E13</f>
        <v>785.66</v>
      </c>
    </row>
    <row r="23" spans="1:17" x14ac:dyDescent="0.3">
      <c r="A23" s="75">
        <f>A22+1</f>
        <v>11</v>
      </c>
      <c r="B23" s="74" t="s">
        <v>109</v>
      </c>
      <c r="D23" s="75" t="str">
        <f>"("&amp;A11&amp;") x ("&amp;A22&amp;")"</f>
        <v>(4) x (10)</v>
      </c>
      <c r="E23" s="91">
        <f>$Q22*E$11</f>
        <v>96.919766977846749</v>
      </c>
      <c r="F23" s="91">
        <f t="shared" ref="F23:P23" si="4">$Q22*F$11</f>
        <v>69.188090407709396</v>
      </c>
      <c r="G23" s="91">
        <f t="shared" si="4"/>
        <v>75.814105759118391</v>
      </c>
      <c r="H23" s="91">
        <f t="shared" si="4"/>
        <v>57.610410722933992</v>
      </c>
      <c r="I23" s="91">
        <f t="shared" si="4"/>
        <v>52.620112202259641</v>
      </c>
      <c r="J23" s="91">
        <f t="shared" si="4"/>
        <v>50.123151465673217</v>
      </c>
      <c r="K23" s="91">
        <f t="shared" si="4"/>
        <v>55.141336764314595</v>
      </c>
      <c r="L23" s="91">
        <f t="shared" si="4"/>
        <v>64.393653914419502</v>
      </c>
      <c r="M23" s="91">
        <f t="shared" si="4"/>
        <v>48.249623762939322</v>
      </c>
      <c r="N23" s="91">
        <f t="shared" si="4"/>
        <v>53.47234118619054</v>
      </c>
      <c r="O23" s="91">
        <f t="shared" si="4"/>
        <v>71.55578232448876</v>
      </c>
      <c r="P23" s="91">
        <f t="shared" si="4"/>
        <v>90.571624512105942</v>
      </c>
      <c r="Q23" s="90">
        <f>SUM(E23:P23)</f>
        <v>785.66</v>
      </c>
    </row>
    <row r="24" spans="1:17" x14ac:dyDescent="0.3">
      <c r="A24" s="75"/>
      <c r="B24" s="74"/>
      <c r="D24" s="75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0"/>
    </row>
    <row r="25" spans="1:17" x14ac:dyDescent="0.3">
      <c r="A25" s="75">
        <f>A23+1</f>
        <v>12</v>
      </c>
      <c r="B25" s="79" t="s">
        <v>105</v>
      </c>
      <c r="D25" s="92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90"/>
    </row>
    <row r="26" spans="1:17" ht="27" x14ac:dyDescent="0.3">
      <c r="A26" s="75">
        <f>A25+1</f>
        <v>13</v>
      </c>
      <c r="B26" s="74" t="str">
        <f>B22</f>
        <v xml:space="preserve">  -UE-190334 Decoupled RPC</v>
      </c>
      <c r="D26" s="161" t="s">
        <v>212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90">
        <f>'Page 2 Revenue per Customer'!F13</f>
        <v>4634.8100000000004</v>
      </c>
    </row>
    <row r="27" spans="1:17" x14ac:dyDescent="0.3">
      <c r="A27" s="75">
        <f>A26+1</f>
        <v>14</v>
      </c>
      <c r="B27" s="74" t="s">
        <v>109</v>
      </c>
      <c r="D27" s="75" t="str">
        <f>"("&amp;A15&amp;") x ("&amp;A26&amp;")"</f>
        <v>(7) x (13)</v>
      </c>
      <c r="E27" s="91">
        <f>$Q26*E$15</f>
        <v>384.882131577591</v>
      </c>
      <c r="F27" s="91">
        <f t="shared" ref="F27:P27" si="5">$Q26*F$15</f>
        <v>381.95660487170426</v>
      </c>
      <c r="G27" s="91">
        <f t="shared" si="5"/>
        <v>363.33277762239601</v>
      </c>
      <c r="H27" s="91">
        <f t="shared" si="5"/>
        <v>352.35288018685759</v>
      </c>
      <c r="I27" s="91">
        <f t="shared" si="5"/>
        <v>379.7763776839268</v>
      </c>
      <c r="J27" s="91">
        <f t="shared" si="5"/>
        <v>394.82767002354404</v>
      </c>
      <c r="K27" s="91">
        <f t="shared" si="5"/>
        <v>434.37811791822264</v>
      </c>
      <c r="L27" s="91">
        <f t="shared" si="5"/>
        <v>416.74189170049698</v>
      </c>
      <c r="M27" s="91">
        <f t="shared" si="5"/>
        <v>370.25985392183878</v>
      </c>
      <c r="N27" s="91">
        <f t="shared" si="5"/>
        <v>398.63491916742123</v>
      </c>
      <c r="O27" s="91">
        <f t="shared" si="5"/>
        <v>381.20153624811144</v>
      </c>
      <c r="P27" s="91">
        <f t="shared" si="5"/>
        <v>376.4652390778906</v>
      </c>
      <c r="Q27" s="90">
        <f>SUM(E27:P27)</f>
        <v>4634.8100000000013</v>
      </c>
    </row>
    <row r="28" spans="1:17" x14ac:dyDescent="0.3">
      <c r="B28" s="75"/>
      <c r="C28" s="74"/>
      <c r="D28" s="75"/>
      <c r="E28" s="91"/>
      <c r="F28" s="91"/>
      <c r="G28" s="91"/>
      <c r="H28" s="91"/>
      <c r="I28" s="93"/>
      <c r="J28" s="91"/>
      <c r="K28" s="91"/>
      <c r="L28" s="91"/>
      <c r="M28" s="91"/>
      <c r="N28" s="91"/>
      <c r="O28" s="91"/>
      <c r="P28" s="91"/>
      <c r="Q28" s="90"/>
    </row>
    <row r="29" spans="1:17" x14ac:dyDescent="0.3">
      <c r="A29" s="75"/>
      <c r="B29" s="76"/>
      <c r="C29" s="89" t="s">
        <v>110</v>
      </c>
      <c r="D29" s="75"/>
      <c r="E29" s="8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3">
      <c r="A30" s="75">
        <f>A27+1</f>
        <v>15</v>
      </c>
      <c r="B30" s="79" t="s">
        <v>42</v>
      </c>
      <c r="D30" s="75"/>
      <c r="E30" s="87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 ht="27" x14ac:dyDescent="0.3">
      <c r="A31" s="75">
        <f>A30+1</f>
        <v>16</v>
      </c>
      <c r="B31" s="74" t="s">
        <v>108</v>
      </c>
      <c r="D31" s="161" t="s">
        <v>213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90">
        <f>'Page 2 Revenue per Customer'!E20</f>
        <v>430.09</v>
      </c>
    </row>
    <row r="32" spans="1:17" x14ac:dyDescent="0.3">
      <c r="A32" s="75">
        <f>A31+1</f>
        <v>17</v>
      </c>
      <c r="B32" s="74" t="s">
        <v>109</v>
      </c>
      <c r="D32" s="75" t="str">
        <f>"("&amp;A11&amp;") x ("&amp;A31&amp;")"</f>
        <v>(4) x (16)</v>
      </c>
      <c r="E32" s="91">
        <f>$Q31*E$11</f>
        <v>53.056312628238814</v>
      </c>
      <c r="F32" s="91">
        <f t="shared" ref="F32:P32" si="6">$Q31*F$11</f>
        <v>37.875296952182538</v>
      </c>
      <c r="G32" s="91">
        <f t="shared" si="6"/>
        <v>41.502544034237751</v>
      </c>
      <c r="H32" s="91">
        <f t="shared" si="6"/>
        <v>31.537384552893975</v>
      </c>
      <c r="I32" s="91">
        <f t="shared" si="6"/>
        <v>28.805569912010093</v>
      </c>
      <c r="J32" s="91">
        <f t="shared" si="6"/>
        <v>27.438670944010635</v>
      </c>
      <c r="K32" s="91">
        <f t="shared" si="6"/>
        <v>30.18575150696747</v>
      </c>
      <c r="L32" s="91">
        <f t="shared" si="6"/>
        <v>35.250702100212152</v>
      </c>
      <c r="M32" s="91">
        <f t="shared" si="6"/>
        <v>26.413054863684767</v>
      </c>
      <c r="N32" s="91">
        <f t="shared" si="6"/>
        <v>29.272101444350849</v>
      </c>
      <c r="O32" s="91">
        <f t="shared" si="6"/>
        <v>39.171430924241236</v>
      </c>
      <c r="P32" s="91">
        <f t="shared" si="6"/>
        <v>49.581180136969735</v>
      </c>
      <c r="Q32" s="90">
        <f>SUM(E32:P32)</f>
        <v>430.09</v>
      </c>
    </row>
    <row r="33" spans="1:17" x14ac:dyDescent="0.3">
      <c r="A33" s="75"/>
      <c r="B33" s="74"/>
      <c r="D33" s="75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0"/>
    </row>
    <row r="34" spans="1:17" x14ac:dyDescent="0.3">
      <c r="A34" s="75">
        <f>A32+1</f>
        <v>18</v>
      </c>
      <c r="B34" s="79" t="s">
        <v>105</v>
      </c>
      <c r="D34" s="92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90"/>
    </row>
    <row r="35" spans="1:17" ht="27" x14ac:dyDescent="0.3">
      <c r="A35" s="75">
        <f>A34+1</f>
        <v>19</v>
      </c>
      <c r="B35" s="74" t="str">
        <f>B31</f>
        <v xml:space="preserve">  -UE-190334 Decoupled RPC</v>
      </c>
      <c r="D35" s="161" t="s">
        <v>213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90">
        <f>'Page 2 Revenue per Customer'!F20</f>
        <v>2310.63</v>
      </c>
    </row>
    <row r="36" spans="1:17" x14ac:dyDescent="0.3">
      <c r="A36" s="75">
        <f>A35+1</f>
        <v>20</v>
      </c>
      <c r="B36" s="74" t="s">
        <v>109</v>
      </c>
      <c r="D36" s="75" t="str">
        <f>"("&amp;A15&amp;") x ("&amp;A35&amp;")"</f>
        <v>(7) x (19)</v>
      </c>
      <c r="E36" s="91">
        <f>$Q35*E$15</f>
        <v>191.87845881214744</v>
      </c>
      <c r="F36" s="91">
        <f t="shared" ref="F36:P36" si="7">$Q35*F$15</f>
        <v>190.41997188983063</v>
      </c>
      <c r="G36" s="91">
        <f t="shared" si="7"/>
        <v>181.13528191180151</v>
      </c>
      <c r="H36" s="91">
        <f t="shared" si="7"/>
        <v>175.66138321660623</v>
      </c>
      <c r="I36" s="91">
        <f t="shared" si="7"/>
        <v>189.33304527430718</v>
      </c>
      <c r="J36" s="91">
        <f t="shared" si="7"/>
        <v>196.83669000164008</v>
      </c>
      <c r="K36" s="91">
        <f t="shared" si="7"/>
        <v>216.55410051445102</v>
      </c>
      <c r="L36" s="91">
        <f t="shared" si="7"/>
        <v>207.76176741223898</v>
      </c>
      <c r="M36" s="91">
        <f t="shared" si="7"/>
        <v>184.58869430837905</v>
      </c>
      <c r="N36" s="91">
        <f t="shared" si="7"/>
        <v>198.73474927253079</v>
      </c>
      <c r="O36" s="91">
        <f t="shared" si="7"/>
        <v>190.04354131042561</v>
      </c>
      <c r="P36" s="91">
        <f t="shared" si="7"/>
        <v>187.68231607564201</v>
      </c>
      <c r="Q36" s="90">
        <f>SUM(E36:P36)</f>
        <v>2310.6300000000006</v>
      </c>
    </row>
    <row r="37" spans="1:17" x14ac:dyDescent="0.3">
      <c r="B37" s="75"/>
      <c r="C37" s="79"/>
      <c r="D37" s="92"/>
      <c r="E37" s="74"/>
      <c r="F37" s="74"/>
      <c r="G37" s="74"/>
      <c r="H37" s="74"/>
      <c r="I37" s="74"/>
      <c r="J37" s="91"/>
      <c r="K37" s="74"/>
      <c r="L37" s="91"/>
      <c r="M37" s="74"/>
      <c r="N37" s="74"/>
      <c r="O37" s="74"/>
      <c r="P37" s="74"/>
      <c r="Q37" s="90"/>
    </row>
    <row r="38" spans="1:17" x14ac:dyDescent="0.3">
      <c r="B38" s="75"/>
      <c r="C38" s="74"/>
      <c r="D38" s="75"/>
      <c r="E38" s="74"/>
      <c r="F38" s="74"/>
      <c r="G38" s="74"/>
      <c r="H38" s="74"/>
      <c r="I38" s="74"/>
      <c r="J38" s="91"/>
      <c r="K38" s="74"/>
      <c r="L38" s="91"/>
      <c r="M38" s="74"/>
      <c r="N38" s="74"/>
      <c r="O38" s="74"/>
      <c r="P38" s="74"/>
      <c r="Q38" s="90"/>
    </row>
    <row r="39" spans="1:17" x14ac:dyDescent="0.3">
      <c r="B39" s="75"/>
      <c r="C39" s="74"/>
      <c r="D39" s="75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0"/>
    </row>
    <row r="40" spans="1:17" x14ac:dyDescent="0.3">
      <c r="B40" s="75"/>
      <c r="C40" s="74"/>
      <c r="D40" s="92"/>
      <c r="E40" s="75"/>
      <c r="F40" s="75"/>
      <c r="G40" s="75"/>
      <c r="H40" s="75"/>
      <c r="I40" s="74"/>
      <c r="J40" s="91"/>
      <c r="K40" s="74"/>
      <c r="L40" s="91"/>
      <c r="M40" s="74"/>
      <c r="N40" s="74"/>
      <c r="O40" s="74"/>
      <c r="P40" s="74"/>
      <c r="Q40" s="90"/>
    </row>
    <row r="41" spans="1:17" x14ac:dyDescent="0.3">
      <c r="B41" s="75"/>
      <c r="C41" s="80" t="s">
        <v>111</v>
      </c>
      <c r="D41" s="75"/>
      <c r="E41" s="75"/>
      <c r="F41" s="75"/>
      <c r="G41" s="75"/>
      <c r="H41" s="75"/>
      <c r="I41" s="74"/>
      <c r="J41" s="91"/>
      <c r="K41" s="74"/>
      <c r="L41" s="91"/>
      <c r="M41" s="74"/>
      <c r="N41" s="74"/>
      <c r="O41" s="74"/>
      <c r="P41" s="74"/>
      <c r="Q41" s="74"/>
    </row>
    <row r="42" spans="1:17" x14ac:dyDescent="0.3">
      <c r="B42" s="93"/>
      <c r="C42" s="93"/>
      <c r="D42" s="93"/>
      <c r="E42" s="93"/>
      <c r="F42" s="93"/>
      <c r="G42" s="93"/>
      <c r="H42" s="93"/>
      <c r="I42" s="93"/>
      <c r="J42" s="91"/>
      <c r="K42" s="93"/>
      <c r="L42" s="93"/>
      <c r="M42" s="93"/>
      <c r="N42" s="93"/>
      <c r="O42" s="93"/>
      <c r="P42" s="93"/>
      <c r="Q42" s="93"/>
    </row>
    <row r="43" spans="1:17" x14ac:dyDescent="0.3">
      <c r="B43" s="93"/>
      <c r="C43" s="93"/>
      <c r="D43" s="93"/>
      <c r="E43" s="93"/>
      <c r="F43" s="93"/>
      <c r="G43" s="93"/>
      <c r="H43" s="93"/>
      <c r="I43" s="91"/>
      <c r="J43" s="93"/>
      <c r="K43" s="93"/>
      <c r="L43" s="93"/>
      <c r="M43" s="93"/>
      <c r="N43" s="93"/>
      <c r="O43" s="93"/>
      <c r="P43" s="93"/>
      <c r="Q43" s="93"/>
    </row>
    <row r="44" spans="1:17" ht="15.6" x14ac:dyDescent="0.3">
      <c r="B44" s="38" t="s">
        <v>191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</row>
    <row r="46" spans="1:17" x14ac:dyDescent="0.3">
      <c r="B46" t="s">
        <v>112</v>
      </c>
    </row>
    <row r="47" spans="1:17" x14ac:dyDescent="0.3">
      <c r="B47" t="s">
        <v>113</v>
      </c>
    </row>
    <row r="48" spans="1:17" x14ac:dyDescent="0.3">
      <c r="B48" t="s">
        <v>114</v>
      </c>
    </row>
    <row r="49" spans="2:18" x14ac:dyDescent="0.3">
      <c r="B49" t="s">
        <v>115</v>
      </c>
    </row>
    <row r="50" spans="2:18" x14ac:dyDescent="0.3">
      <c r="E50" s="94">
        <v>43101</v>
      </c>
      <c r="F50" s="94">
        <v>43132</v>
      </c>
      <c r="G50" s="94">
        <v>43160</v>
      </c>
      <c r="H50" s="94">
        <v>43191</v>
      </c>
      <c r="I50" s="94">
        <v>43221</v>
      </c>
      <c r="J50" s="94">
        <v>43252</v>
      </c>
      <c r="K50" s="94">
        <v>43282</v>
      </c>
      <c r="L50" s="94">
        <v>43313</v>
      </c>
      <c r="M50" s="94">
        <v>43344</v>
      </c>
      <c r="N50" s="94">
        <v>43374</v>
      </c>
      <c r="O50" s="94">
        <v>43405</v>
      </c>
      <c r="P50" s="94">
        <v>43435</v>
      </c>
      <c r="Q50" s="95" t="s">
        <v>116</v>
      </c>
      <c r="R50" s="95" t="s">
        <v>117</v>
      </c>
    </row>
    <row r="51" spans="2:18" x14ac:dyDescent="0.3">
      <c r="B51" t="s">
        <v>118</v>
      </c>
    </row>
    <row r="52" spans="2:18" x14ac:dyDescent="0.3">
      <c r="C52" t="s">
        <v>119</v>
      </c>
      <c r="E52" s="96">
        <v>290781554.06200004</v>
      </c>
      <c r="F52" s="96">
        <v>227575425.00199997</v>
      </c>
      <c r="G52" s="96">
        <v>233136064.20699999</v>
      </c>
      <c r="H52" s="96">
        <v>195827349.29800999</v>
      </c>
      <c r="I52" s="96">
        <v>159686942.68922001</v>
      </c>
      <c r="J52" s="96">
        <v>149276244.59101999</v>
      </c>
      <c r="K52" s="96">
        <v>162965398.63099</v>
      </c>
      <c r="L52" s="96">
        <v>205105319.92300999</v>
      </c>
      <c r="M52" s="96">
        <v>165901549.60800001</v>
      </c>
      <c r="N52" s="96">
        <v>149412587.058</v>
      </c>
      <c r="O52" s="96">
        <v>181215231.46800002</v>
      </c>
      <c r="P52" s="96">
        <v>245751615.04300001</v>
      </c>
      <c r="Q52" s="97">
        <f t="shared" ref="Q52:Q57" si="8">SUM(E52:P52)</f>
        <v>2366635281.5802498</v>
      </c>
    </row>
    <row r="53" spans="2:18" x14ac:dyDescent="0.3">
      <c r="C53" t="s">
        <v>120</v>
      </c>
      <c r="E53" s="96">
        <v>64968017.218999997</v>
      </c>
      <c r="F53" s="96">
        <v>55958109.224000007</v>
      </c>
      <c r="G53" s="96">
        <v>55740105.916000001</v>
      </c>
      <c r="H53" s="96">
        <v>50692240.114</v>
      </c>
      <c r="I53" s="96">
        <v>46948189.068040006</v>
      </c>
      <c r="J53" s="96">
        <v>46100696.828000002</v>
      </c>
      <c r="K53" s="96">
        <v>48168343.664999999</v>
      </c>
      <c r="L53" s="96">
        <v>55210418.299999997</v>
      </c>
      <c r="M53" s="96">
        <v>48512488.306999996</v>
      </c>
      <c r="N53" s="96">
        <v>45641900.678999998</v>
      </c>
      <c r="O53" s="96">
        <v>47727635.006999999</v>
      </c>
      <c r="P53" s="96">
        <v>57034428.782000005</v>
      </c>
      <c r="Q53" s="97">
        <f t="shared" si="8"/>
        <v>622702573.10904002</v>
      </c>
    </row>
    <row r="54" spans="2:18" x14ac:dyDescent="0.3">
      <c r="C54" t="s">
        <v>121</v>
      </c>
      <c r="E54" s="96">
        <v>125937052.837</v>
      </c>
      <c r="F54" s="96">
        <v>113399610.21799999</v>
      </c>
      <c r="G54" s="96">
        <v>112223930.37199999</v>
      </c>
      <c r="H54" s="96">
        <v>111090733.608</v>
      </c>
      <c r="I54" s="96">
        <v>112273215.22399999</v>
      </c>
      <c r="J54" s="96">
        <v>113413112.17999999</v>
      </c>
      <c r="K54" s="96">
        <v>114915539.823</v>
      </c>
      <c r="L54" s="96">
        <v>124759437.27500001</v>
      </c>
      <c r="M54" s="96">
        <v>113710882.943</v>
      </c>
      <c r="N54" s="96">
        <v>110448175.94400001</v>
      </c>
      <c r="O54" s="96">
        <v>109051287.447</v>
      </c>
      <c r="P54" s="96">
        <v>119116948.25899999</v>
      </c>
      <c r="Q54" s="97">
        <f t="shared" si="8"/>
        <v>1380339926.1299999</v>
      </c>
    </row>
    <row r="55" spans="2:18" x14ac:dyDescent="0.3">
      <c r="C55" t="s">
        <v>122</v>
      </c>
      <c r="E55" s="96">
        <v>85895739.5</v>
      </c>
      <c r="F55" s="96">
        <v>82389792.700000003</v>
      </c>
      <c r="G55" s="96">
        <v>59452404.5</v>
      </c>
      <c r="H55" s="96">
        <v>91719050</v>
      </c>
      <c r="I55" s="96">
        <v>50375927.600000001</v>
      </c>
      <c r="J55" s="96">
        <v>94067376.900000006</v>
      </c>
      <c r="K55" s="96">
        <v>91430986</v>
      </c>
      <c r="L55" s="96">
        <v>95462593.189999998</v>
      </c>
      <c r="M55" s="96">
        <v>98727948.689999998</v>
      </c>
      <c r="N55" s="96">
        <v>89411353.701000005</v>
      </c>
      <c r="O55" s="96">
        <v>95120660.879999995</v>
      </c>
      <c r="P55" s="96">
        <v>88922599.900000006</v>
      </c>
      <c r="Q55" s="97">
        <f t="shared" si="8"/>
        <v>1022976433.5610001</v>
      </c>
    </row>
    <row r="56" spans="2:18" x14ac:dyDescent="0.3">
      <c r="C56" t="s">
        <v>123</v>
      </c>
      <c r="E56" s="96">
        <v>5199805.6780000003</v>
      </c>
      <c r="F56" s="96">
        <v>4295325.2790000001</v>
      </c>
      <c r="G56" s="96">
        <v>4226647.8</v>
      </c>
      <c r="H56" s="96">
        <v>5323831.0029999996</v>
      </c>
      <c r="I56" s="96">
        <v>10126135.685010001</v>
      </c>
      <c r="J56" s="96">
        <v>18516636.552000001</v>
      </c>
      <c r="K56" s="96">
        <v>23083952.635000002</v>
      </c>
      <c r="L56" s="96">
        <v>28015837.673000004</v>
      </c>
      <c r="M56" s="96">
        <v>23798947.989000004</v>
      </c>
      <c r="N56" s="96">
        <v>12939703.931</v>
      </c>
      <c r="O56" s="96">
        <v>6282585.2740000002</v>
      </c>
      <c r="P56" s="96">
        <v>3998282.9430000004</v>
      </c>
      <c r="Q56" s="97">
        <f t="shared" si="8"/>
        <v>145807692.44200999</v>
      </c>
    </row>
    <row r="57" spans="2:18" x14ac:dyDescent="0.3">
      <c r="C57" t="s">
        <v>124</v>
      </c>
      <c r="E57" s="96">
        <v>1677509.9980299999</v>
      </c>
      <c r="F57" s="96">
        <v>1505148.60812</v>
      </c>
      <c r="G57" s="96">
        <v>1474261.9374699998</v>
      </c>
      <c r="H57" s="96">
        <v>1503568.73648</v>
      </c>
      <c r="I57" s="96">
        <v>1565521.43</v>
      </c>
      <c r="J57" s="96">
        <v>1544276.2680000002</v>
      </c>
      <c r="K57" s="96">
        <v>1517440.93136</v>
      </c>
      <c r="L57" s="96">
        <v>1578869.159</v>
      </c>
      <c r="M57" s="96">
        <v>1535455.0220000001</v>
      </c>
      <c r="N57" s="96">
        <v>1534835.862</v>
      </c>
      <c r="O57" s="96">
        <v>1517745.8010000002</v>
      </c>
      <c r="P57" s="96">
        <v>1587397.7870499999</v>
      </c>
      <c r="Q57" s="97">
        <f t="shared" si="8"/>
        <v>18542031.540509999</v>
      </c>
    </row>
    <row r="58" spans="2:18" x14ac:dyDescent="0.3">
      <c r="B58" t="s">
        <v>125</v>
      </c>
      <c r="E58" s="98">
        <f t="shared" ref="E58:M58" si="9">SUM(E52:E57)</f>
        <v>574459679.29402995</v>
      </c>
      <c r="F58" s="98">
        <f t="shared" si="9"/>
        <v>485123411.03111994</v>
      </c>
      <c r="G58" s="98">
        <f t="shared" si="9"/>
        <v>466253414.73246998</v>
      </c>
      <c r="H58" s="98">
        <f t="shared" si="9"/>
        <v>456156772.75949001</v>
      </c>
      <c r="I58" s="98">
        <f t="shared" si="9"/>
        <v>380975931.69627005</v>
      </c>
      <c r="J58" s="98">
        <f t="shared" si="9"/>
        <v>422918343.31901997</v>
      </c>
      <c r="K58" s="98">
        <f t="shared" si="9"/>
        <v>442081661.68535</v>
      </c>
      <c r="L58" s="98">
        <f t="shared" si="9"/>
        <v>510132475.52000999</v>
      </c>
      <c r="M58" s="98">
        <f t="shared" si="9"/>
        <v>452187272.55900007</v>
      </c>
      <c r="N58" s="98">
        <f>SUM(N52:N57)</f>
        <v>409388557.17499995</v>
      </c>
      <c r="O58" s="98">
        <f>SUM(O52:O57)</f>
        <v>440915145.87700003</v>
      </c>
      <c r="P58" s="98">
        <f>SUM(P52:P57)</f>
        <v>516411272.71405011</v>
      </c>
      <c r="Q58" s="98">
        <f>SUM(Q52:Q57)</f>
        <v>5557003938.3628101</v>
      </c>
    </row>
    <row r="59" spans="2:18" x14ac:dyDescent="0.3"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</row>
    <row r="60" spans="2:18" x14ac:dyDescent="0.3">
      <c r="B60" t="s">
        <v>126</v>
      </c>
    </row>
    <row r="61" spans="2:18" x14ac:dyDescent="0.3">
      <c r="C61" t="s">
        <v>119</v>
      </c>
      <c r="E61" s="96">
        <v>-16807345</v>
      </c>
      <c r="F61" s="96">
        <v>-11417924</v>
      </c>
      <c r="G61" s="96">
        <v>-2538576</v>
      </c>
      <c r="H61" s="96">
        <v>-21339210</v>
      </c>
      <c r="I61" s="96">
        <v>-11882566</v>
      </c>
      <c r="J61" s="96">
        <v>-6167987</v>
      </c>
      <c r="K61" s="96">
        <v>22269076</v>
      </c>
      <c r="L61" s="96">
        <v>-2879705</v>
      </c>
      <c r="M61" s="96">
        <v>-26562728</v>
      </c>
      <c r="N61" s="96">
        <v>10771561</v>
      </c>
      <c r="O61" s="96">
        <v>32345083</v>
      </c>
      <c r="P61" s="96">
        <v>12693423</v>
      </c>
      <c r="Q61" s="97">
        <f t="shared" ref="Q61:Q66" si="10">SUM(E61:P61)</f>
        <v>-21516898</v>
      </c>
      <c r="R61" s="97">
        <v>-21516898</v>
      </c>
    </row>
    <row r="62" spans="2:18" x14ac:dyDescent="0.3">
      <c r="C62" t="s">
        <v>120</v>
      </c>
      <c r="E62" s="96">
        <v>-5056613</v>
      </c>
      <c r="F62" s="96">
        <v>226900</v>
      </c>
      <c r="G62" s="96">
        <v>-1492318</v>
      </c>
      <c r="H62" s="96">
        <v>-3135024</v>
      </c>
      <c r="I62" s="96">
        <v>-94436</v>
      </c>
      <c r="J62" s="96">
        <v>-612520</v>
      </c>
      <c r="K62" s="96">
        <v>5513065</v>
      </c>
      <c r="L62" s="96">
        <v>-3427114</v>
      </c>
      <c r="M62" s="96">
        <v>-5492340</v>
      </c>
      <c r="N62" s="96">
        <v>4178114</v>
      </c>
      <c r="O62" s="96">
        <v>5066221</v>
      </c>
      <c r="P62" s="96">
        <v>-648853</v>
      </c>
      <c r="Q62" s="97">
        <f t="shared" si="10"/>
        <v>-4974918</v>
      </c>
      <c r="R62" s="97">
        <v>-4974918</v>
      </c>
    </row>
    <row r="63" spans="2:18" x14ac:dyDescent="0.3">
      <c r="C63" t="s">
        <v>121</v>
      </c>
      <c r="E63" s="96">
        <v>-17335146</v>
      </c>
      <c r="F63" s="96">
        <v>2932085</v>
      </c>
      <c r="G63" s="96">
        <v>-3284636</v>
      </c>
      <c r="H63" s="96">
        <v>-1903474</v>
      </c>
      <c r="I63" s="96">
        <v>4768104</v>
      </c>
      <c r="J63" s="96">
        <v>131589</v>
      </c>
      <c r="K63" s="96">
        <v>11356739</v>
      </c>
      <c r="L63" s="96">
        <v>-11474036</v>
      </c>
      <c r="M63" s="96">
        <v>-10604470</v>
      </c>
      <c r="N63" s="96">
        <v>11698081</v>
      </c>
      <c r="O63" s="96">
        <v>8235200</v>
      </c>
      <c r="P63" s="96">
        <v>-7362830</v>
      </c>
      <c r="Q63" s="97">
        <f t="shared" si="10"/>
        <v>-12842794</v>
      </c>
      <c r="R63" s="97">
        <v>-12842794</v>
      </c>
    </row>
    <row r="64" spans="2:18" x14ac:dyDescent="0.3">
      <c r="C64" t="s">
        <v>122</v>
      </c>
      <c r="E64" s="96">
        <v>9694517</v>
      </c>
      <c r="F64" s="96">
        <v>4244920</v>
      </c>
      <c r="G64" s="96">
        <v>29856455</v>
      </c>
      <c r="H64" s="96">
        <v>3968084</v>
      </c>
      <c r="I64" s="96">
        <v>42504574</v>
      </c>
      <c r="J64" s="96">
        <v>1641436</v>
      </c>
      <c r="K64" s="96">
        <v>1095411</v>
      </c>
      <c r="L64" s="96">
        <v>3752803</v>
      </c>
      <c r="M64" s="96">
        <v>-8960868</v>
      </c>
      <c r="N64" s="96">
        <v>5368369</v>
      </c>
      <c r="O64" s="96">
        <v>-7500338</v>
      </c>
      <c r="P64" s="96">
        <v>4713680</v>
      </c>
      <c r="Q64" s="97">
        <f t="shared" si="10"/>
        <v>90379043</v>
      </c>
    </row>
    <row r="65" spans="2:18" x14ac:dyDescent="0.3">
      <c r="C65" t="s">
        <v>123</v>
      </c>
      <c r="E65" s="96">
        <v>329032</v>
      </c>
      <c r="F65" s="96">
        <v>-115788</v>
      </c>
      <c r="G65" s="96">
        <v>-137275</v>
      </c>
      <c r="H65" s="96">
        <v>22402</v>
      </c>
      <c r="I65" s="96">
        <v>930226</v>
      </c>
      <c r="J65" s="96">
        <v>2217873</v>
      </c>
      <c r="K65" s="96">
        <v>2033088</v>
      </c>
      <c r="L65" s="96">
        <v>726896</v>
      </c>
      <c r="M65" s="96">
        <v>-1530437</v>
      </c>
      <c r="N65" s="96">
        <v>-1792052</v>
      </c>
      <c r="O65" s="96">
        <v>-1310272</v>
      </c>
      <c r="P65" s="96">
        <v>-1358868</v>
      </c>
      <c r="Q65" s="97">
        <f t="shared" si="10"/>
        <v>14825</v>
      </c>
      <c r="R65" s="97">
        <v>14825</v>
      </c>
    </row>
    <row r="66" spans="2:18" x14ac:dyDescent="0.3">
      <c r="C66" t="s">
        <v>124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97">
        <f t="shared" si="10"/>
        <v>0</v>
      </c>
    </row>
    <row r="67" spans="2:18" x14ac:dyDescent="0.3">
      <c r="B67" t="s">
        <v>127</v>
      </c>
      <c r="E67" s="98">
        <f t="shared" ref="E67:M67" si="11">SUM(E61:E66)</f>
        <v>-29175555</v>
      </c>
      <c r="F67" s="98">
        <f t="shared" si="11"/>
        <v>-4129807</v>
      </c>
      <c r="G67" s="98">
        <f t="shared" si="11"/>
        <v>22403650</v>
      </c>
      <c r="H67" s="98">
        <f t="shared" si="11"/>
        <v>-22387222</v>
      </c>
      <c r="I67" s="98">
        <f t="shared" si="11"/>
        <v>36225902</v>
      </c>
      <c r="J67" s="98">
        <f t="shared" si="11"/>
        <v>-2789609</v>
      </c>
      <c r="K67" s="98">
        <f t="shared" si="11"/>
        <v>42267379</v>
      </c>
      <c r="L67" s="98">
        <f t="shared" si="11"/>
        <v>-13301156</v>
      </c>
      <c r="M67" s="98">
        <f t="shared" si="11"/>
        <v>-53150843</v>
      </c>
      <c r="N67" s="98">
        <f>SUM(N61:N66)</f>
        <v>30224073</v>
      </c>
      <c r="O67" s="98">
        <f>SUM(O61:O66)</f>
        <v>36835894</v>
      </c>
      <c r="P67" s="98">
        <f>SUM(P61:P66)</f>
        <v>8036552</v>
      </c>
      <c r="Q67" s="98">
        <f>SUM(Q61:Q66)</f>
        <v>51059258</v>
      </c>
    </row>
    <row r="69" spans="2:18" x14ac:dyDescent="0.3">
      <c r="B69" t="s">
        <v>128</v>
      </c>
    </row>
    <row r="70" spans="2:18" x14ac:dyDescent="0.3">
      <c r="C70" t="s">
        <v>120</v>
      </c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>
        <f>SUM(E70:P70)</f>
        <v>0</v>
      </c>
    </row>
    <row r="71" spans="2:18" x14ac:dyDescent="0.3">
      <c r="C71" t="s">
        <v>121</v>
      </c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>
        <f>SUM(E71:P71)</f>
        <v>0</v>
      </c>
    </row>
    <row r="72" spans="2:18" x14ac:dyDescent="0.3">
      <c r="B72" t="s">
        <v>128</v>
      </c>
      <c r="E72" s="96">
        <f t="shared" ref="E72:M72" si="12">SUM(E70:E71)</f>
        <v>0</v>
      </c>
      <c r="F72" s="96">
        <f t="shared" si="12"/>
        <v>0</v>
      </c>
      <c r="G72" s="96">
        <f t="shared" si="12"/>
        <v>0</v>
      </c>
      <c r="H72" s="96">
        <f t="shared" si="12"/>
        <v>0</v>
      </c>
      <c r="I72" s="96">
        <f t="shared" si="12"/>
        <v>0</v>
      </c>
      <c r="J72" s="96">
        <f t="shared" si="12"/>
        <v>0</v>
      </c>
      <c r="K72" s="96">
        <f t="shared" si="12"/>
        <v>0</v>
      </c>
      <c r="L72" s="96">
        <f t="shared" si="12"/>
        <v>0</v>
      </c>
      <c r="M72" s="96">
        <f t="shared" si="12"/>
        <v>0</v>
      </c>
      <c r="N72" s="96">
        <f>SUM(N70:N71)</f>
        <v>0</v>
      </c>
      <c r="O72" s="96">
        <f>SUM(O70:O71)</f>
        <v>0</v>
      </c>
      <c r="P72" s="96">
        <f>SUM(P70:P71)</f>
        <v>0</v>
      </c>
      <c r="Q72" s="96">
        <f>SUM(E72:P72)</f>
        <v>0</v>
      </c>
    </row>
    <row r="73" spans="2:18" x14ac:dyDescent="0.3"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8" x14ac:dyDescent="0.3">
      <c r="B74" t="s">
        <v>129</v>
      </c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8" x14ac:dyDescent="0.3">
      <c r="C75" t="s">
        <v>122</v>
      </c>
      <c r="E75" s="96">
        <v>-2351888</v>
      </c>
      <c r="F75" s="96">
        <v>424875</v>
      </c>
      <c r="G75" s="96">
        <v>5841699</v>
      </c>
      <c r="H75" s="96">
        <v>-3190697</v>
      </c>
      <c r="I75" s="96">
        <v>1186875</v>
      </c>
      <c r="J75" s="96">
        <v>-4277827</v>
      </c>
      <c r="K75" s="96">
        <v>2936196</v>
      </c>
      <c r="L75" s="96">
        <v>-487447</v>
      </c>
      <c r="M75" s="96">
        <v>-355727</v>
      </c>
      <c r="N75" s="96">
        <v>340938</v>
      </c>
      <c r="O75" s="96">
        <v>1302277</v>
      </c>
      <c r="P75" s="96">
        <v>-1160739</v>
      </c>
      <c r="Q75" s="96">
        <f>SUM(E75:P75)</f>
        <v>208535</v>
      </c>
    </row>
    <row r="77" spans="2:18" x14ac:dyDescent="0.3">
      <c r="B77" t="s">
        <v>130</v>
      </c>
    </row>
    <row r="78" spans="2:18" x14ac:dyDescent="0.3">
      <c r="C78" t="s">
        <v>119</v>
      </c>
      <c r="E78" s="96">
        <v>18971503</v>
      </c>
      <c r="F78" s="96">
        <v>-7032417</v>
      </c>
      <c r="G78" s="96">
        <v>-1444882</v>
      </c>
      <c r="H78" s="96">
        <v>-357275</v>
      </c>
      <c r="I78" s="96">
        <v>11243016</v>
      </c>
      <c r="J78" s="96">
        <v>8391924</v>
      </c>
      <c r="K78" s="96">
        <v>-18566532</v>
      </c>
      <c r="L78" s="96">
        <v>-7591998</v>
      </c>
      <c r="M78" s="96">
        <v>6498512</v>
      </c>
      <c r="N78" s="96">
        <v>1439157</v>
      </c>
      <c r="O78" s="96">
        <v>2721258</v>
      </c>
      <c r="P78" s="96">
        <v>15313039</v>
      </c>
      <c r="Q78" s="97">
        <f t="shared" ref="Q78:Q83" si="13">SUM(E78:P78)</f>
        <v>29585305</v>
      </c>
      <c r="R78" s="97">
        <v>29585305</v>
      </c>
    </row>
    <row r="79" spans="2:18" x14ac:dyDescent="0.3">
      <c r="C79" t="s">
        <v>120</v>
      </c>
      <c r="E79" s="96">
        <v>1930773</v>
      </c>
      <c r="F79" s="96">
        <v>-710823</v>
      </c>
      <c r="G79" s="96">
        <v>-145200</v>
      </c>
      <c r="H79" s="96">
        <v>-42341</v>
      </c>
      <c r="I79" s="96">
        <v>444874</v>
      </c>
      <c r="J79" s="96">
        <v>944145</v>
      </c>
      <c r="K79" s="96">
        <v>-2529540</v>
      </c>
      <c r="L79" s="96">
        <v>-1038088</v>
      </c>
      <c r="M79" s="96">
        <v>865276</v>
      </c>
      <c r="N79" s="96">
        <v>123714</v>
      </c>
      <c r="O79" s="96">
        <v>198669</v>
      </c>
      <c r="P79" s="96">
        <v>1536838</v>
      </c>
      <c r="Q79" s="97">
        <f t="shared" si="13"/>
        <v>1578297</v>
      </c>
      <c r="R79" s="97">
        <v>1578297</v>
      </c>
    </row>
    <row r="80" spans="2:18" x14ac:dyDescent="0.3">
      <c r="C80" t="s">
        <v>121</v>
      </c>
      <c r="E80" s="96">
        <v>991519</v>
      </c>
      <c r="F80" s="96">
        <v>-366102</v>
      </c>
      <c r="G80" s="96">
        <v>-74963</v>
      </c>
      <c r="H80" s="96">
        <v>-40508</v>
      </c>
      <c r="I80" s="96">
        <v>-779435</v>
      </c>
      <c r="J80" s="96">
        <v>825754</v>
      </c>
      <c r="K80" s="96">
        <v>-2819054</v>
      </c>
      <c r="L80" s="96">
        <v>-1160154</v>
      </c>
      <c r="M80" s="96">
        <v>980935</v>
      </c>
      <c r="N80" s="96">
        <v>50179</v>
      </c>
      <c r="O80" s="96">
        <v>20819</v>
      </c>
      <c r="P80" s="96">
        <v>778502</v>
      </c>
      <c r="Q80" s="97">
        <f t="shared" si="13"/>
        <v>-1592508</v>
      </c>
      <c r="R80" s="97">
        <v>-1592508</v>
      </c>
    </row>
    <row r="81" spans="2:18" x14ac:dyDescent="0.3">
      <c r="C81" t="s">
        <v>122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97">
        <f t="shared" si="13"/>
        <v>0</v>
      </c>
    </row>
    <row r="82" spans="2:18" x14ac:dyDescent="0.3">
      <c r="C82" t="s">
        <v>123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0</v>
      </c>
      <c r="M82" s="96">
        <v>0</v>
      </c>
      <c r="N82" s="96">
        <v>0</v>
      </c>
      <c r="O82" s="96">
        <v>0</v>
      </c>
      <c r="P82" s="96">
        <v>0</v>
      </c>
      <c r="Q82" s="97">
        <f t="shared" si="13"/>
        <v>0</v>
      </c>
    </row>
    <row r="83" spans="2:18" x14ac:dyDescent="0.3">
      <c r="C83" t="s">
        <v>124</v>
      </c>
      <c r="E83" s="96">
        <v>0</v>
      </c>
      <c r="F83" s="96">
        <v>0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96">
        <v>0</v>
      </c>
      <c r="N83" s="96">
        <v>0</v>
      </c>
      <c r="O83" s="96">
        <v>0</v>
      </c>
      <c r="P83" s="96">
        <v>0</v>
      </c>
      <c r="Q83" s="97">
        <f t="shared" si="13"/>
        <v>0</v>
      </c>
    </row>
    <row r="84" spans="2:18" x14ac:dyDescent="0.3">
      <c r="B84" t="s">
        <v>131</v>
      </c>
      <c r="E84" s="98">
        <f t="shared" ref="E84:M84" si="14">SUM(E78:E83)</f>
        <v>21893795</v>
      </c>
      <c r="F84" s="98">
        <f t="shared" si="14"/>
        <v>-8109342</v>
      </c>
      <c r="G84" s="98">
        <f t="shared" si="14"/>
        <v>-1665045</v>
      </c>
      <c r="H84" s="98">
        <f t="shared" si="14"/>
        <v>-440124</v>
      </c>
      <c r="I84" s="98">
        <f t="shared" si="14"/>
        <v>10908455</v>
      </c>
      <c r="J84" s="98">
        <f t="shared" si="14"/>
        <v>10161823</v>
      </c>
      <c r="K84" s="98">
        <f t="shared" si="14"/>
        <v>-23915126</v>
      </c>
      <c r="L84" s="98">
        <f t="shared" si="14"/>
        <v>-9790240</v>
      </c>
      <c r="M84" s="98">
        <f t="shared" si="14"/>
        <v>8344723</v>
      </c>
      <c r="N84" s="98">
        <f>SUM(N78:N83)</f>
        <v>1613050</v>
      </c>
      <c r="O84" s="98">
        <f>SUM(O78:O83)</f>
        <v>2940746</v>
      </c>
      <c r="P84" s="98">
        <f>SUM(P78:P83)</f>
        <v>17628379</v>
      </c>
      <c r="Q84" s="98">
        <f>SUM(Q78:Q83)</f>
        <v>29571094</v>
      </c>
    </row>
    <row r="86" spans="2:18" x14ac:dyDescent="0.3">
      <c r="B86" t="s">
        <v>132</v>
      </c>
      <c r="R86" s="95"/>
    </row>
    <row r="87" spans="2:18" x14ac:dyDescent="0.3">
      <c r="C87" t="s">
        <v>119</v>
      </c>
      <c r="E87" s="97">
        <f t="shared" ref="E87:P87" si="15">E52+E61+E78</f>
        <v>292945712.06200004</v>
      </c>
      <c r="F87" s="97">
        <f t="shared" si="15"/>
        <v>209125084.00199997</v>
      </c>
      <c r="G87" s="97">
        <f t="shared" si="15"/>
        <v>229152606.20699999</v>
      </c>
      <c r="H87" s="97">
        <f t="shared" si="15"/>
        <v>174130864.29800999</v>
      </c>
      <c r="I87" s="97">
        <f t="shared" si="15"/>
        <v>159047392.68922001</v>
      </c>
      <c r="J87" s="97">
        <f t="shared" si="15"/>
        <v>151500181.59101999</v>
      </c>
      <c r="K87" s="97">
        <f t="shared" si="15"/>
        <v>166667942.63099</v>
      </c>
      <c r="L87" s="97">
        <f t="shared" si="15"/>
        <v>194633616.92300999</v>
      </c>
      <c r="M87" s="97">
        <f t="shared" si="15"/>
        <v>145837333.60800001</v>
      </c>
      <c r="N87" s="97">
        <f t="shared" si="15"/>
        <v>161623305.058</v>
      </c>
      <c r="O87" s="97">
        <f t="shared" si="15"/>
        <v>216281572.46800002</v>
      </c>
      <c r="P87" s="97">
        <f t="shared" si="15"/>
        <v>273758077.04299998</v>
      </c>
      <c r="Q87" s="97">
        <f t="shared" ref="Q87:Q92" si="16">SUM(E87:P87)</f>
        <v>2374703688.5802498</v>
      </c>
      <c r="R87" s="96">
        <v>2374703688.5802503</v>
      </c>
    </row>
    <row r="88" spans="2:18" x14ac:dyDescent="0.3">
      <c r="C88" t="s">
        <v>120</v>
      </c>
      <c r="E88" s="97">
        <f t="shared" ref="E88:P89" si="17">E53+E62+E79+E70</f>
        <v>61842177.218999997</v>
      </c>
      <c r="F88" s="97">
        <f t="shared" si="17"/>
        <v>55474186.224000007</v>
      </c>
      <c r="G88" s="97">
        <f t="shared" si="17"/>
        <v>54102587.916000001</v>
      </c>
      <c r="H88" s="97">
        <f t="shared" si="17"/>
        <v>47514875.114</v>
      </c>
      <c r="I88" s="97">
        <f t="shared" si="17"/>
        <v>47298627.068040006</v>
      </c>
      <c r="J88" s="97">
        <f t="shared" si="17"/>
        <v>46432321.828000002</v>
      </c>
      <c r="K88" s="97">
        <f t="shared" si="17"/>
        <v>51151868.664999999</v>
      </c>
      <c r="L88" s="97">
        <f t="shared" si="17"/>
        <v>50745216.299999997</v>
      </c>
      <c r="M88" s="97">
        <f t="shared" si="17"/>
        <v>43885424.306999996</v>
      </c>
      <c r="N88" s="97">
        <f t="shared" si="17"/>
        <v>49943728.678999998</v>
      </c>
      <c r="O88" s="97">
        <f t="shared" si="17"/>
        <v>52992525.006999999</v>
      </c>
      <c r="P88" s="97">
        <f t="shared" si="17"/>
        <v>57922413.782000005</v>
      </c>
      <c r="Q88" s="97">
        <f t="shared" si="16"/>
        <v>619305952.10904002</v>
      </c>
      <c r="R88" s="96">
        <v>619305952.10904014</v>
      </c>
    </row>
    <row r="89" spans="2:18" x14ac:dyDescent="0.3">
      <c r="C89" t="s">
        <v>121</v>
      </c>
      <c r="E89" s="97">
        <f t="shared" si="17"/>
        <v>109593425.837</v>
      </c>
      <c r="F89" s="97">
        <f t="shared" si="17"/>
        <v>115965593.21799999</v>
      </c>
      <c r="G89" s="97">
        <f t="shared" si="17"/>
        <v>108864331.37199999</v>
      </c>
      <c r="H89" s="97">
        <f t="shared" si="17"/>
        <v>109146751.608</v>
      </c>
      <c r="I89" s="97">
        <f t="shared" si="17"/>
        <v>116261884.22399999</v>
      </c>
      <c r="J89" s="97">
        <f t="shared" si="17"/>
        <v>114370455.17999999</v>
      </c>
      <c r="K89" s="97">
        <f t="shared" si="17"/>
        <v>123453224.823</v>
      </c>
      <c r="L89" s="97">
        <f t="shared" si="17"/>
        <v>112125247.27500001</v>
      </c>
      <c r="M89" s="97">
        <f t="shared" si="17"/>
        <v>104087347.943</v>
      </c>
      <c r="N89" s="97">
        <f t="shared" si="17"/>
        <v>122196435.94400001</v>
      </c>
      <c r="O89" s="97">
        <f t="shared" si="17"/>
        <v>117307306.447</v>
      </c>
      <c r="P89" s="97">
        <f t="shared" si="17"/>
        <v>112532620.25899999</v>
      </c>
      <c r="Q89" s="97">
        <f t="shared" si="16"/>
        <v>1365904624.1299999</v>
      </c>
      <c r="R89" s="96">
        <v>1365904624.1300001</v>
      </c>
    </row>
    <row r="90" spans="2:18" x14ac:dyDescent="0.3">
      <c r="C90" t="s">
        <v>122</v>
      </c>
      <c r="E90" s="97">
        <f t="shared" ref="E90:M90" si="18">E55+E64+E75+E81</f>
        <v>93238368.5</v>
      </c>
      <c r="F90" s="97">
        <f t="shared" si="18"/>
        <v>87059587.700000003</v>
      </c>
      <c r="G90" s="97">
        <f t="shared" si="18"/>
        <v>95150558.5</v>
      </c>
      <c r="H90" s="97">
        <f t="shared" si="18"/>
        <v>92496437</v>
      </c>
      <c r="I90" s="97">
        <f t="shared" si="18"/>
        <v>94067376.599999994</v>
      </c>
      <c r="J90" s="97">
        <f t="shared" si="18"/>
        <v>91430985.900000006</v>
      </c>
      <c r="K90" s="97">
        <f t="shared" si="18"/>
        <v>95462593</v>
      </c>
      <c r="L90" s="97">
        <f t="shared" si="18"/>
        <v>98727949.189999998</v>
      </c>
      <c r="M90" s="97">
        <f t="shared" si="18"/>
        <v>89411353.689999998</v>
      </c>
      <c r="N90" s="97">
        <f>N55+N64+N75+N81</f>
        <v>95120660.701000005</v>
      </c>
      <c r="O90" s="97">
        <f>O55+O64+O75+O81</f>
        <v>88922599.879999995</v>
      </c>
      <c r="P90" s="97">
        <f>P55+P64+P75+P81</f>
        <v>92475540.900000006</v>
      </c>
      <c r="Q90" s="97">
        <f t="shared" si="16"/>
        <v>1113564011.5609999</v>
      </c>
      <c r="R90" s="96">
        <v>1113564011.698</v>
      </c>
    </row>
    <row r="91" spans="2:18" x14ac:dyDescent="0.3">
      <c r="C91" t="s">
        <v>133</v>
      </c>
      <c r="E91" s="97">
        <f t="shared" ref="E91:P92" si="19">E56+E65+E82</f>
        <v>5528837.6780000003</v>
      </c>
      <c r="F91" s="97">
        <f t="shared" si="19"/>
        <v>4179537.2790000001</v>
      </c>
      <c r="G91" s="97">
        <f t="shared" si="19"/>
        <v>4089372.8</v>
      </c>
      <c r="H91" s="97">
        <f t="shared" si="19"/>
        <v>5346233.0029999996</v>
      </c>
      <c r="I91" s="97">
        <f t="shared" si="19"/>
        <v>11056361.685010001</v>
      </c>
      <c r="J91" s="97">
        <f t="shared" si="19"/>
        <v>20734509.552000001</v>
      </c>
      <c r="K91" s="97">
        <f t="shared" si="19"/>
        <v>25117040.635000002</v>
      </c>
      <c r="L91" s="97">
        <f t="shared" si="19"/>
        <v>28742733.673000004</v>
      </c>
      <c r="M91" s="97">
        <f t="shared" si="19"/>
        <v>22268510.989000004</v>
      </c>
      <c r="N91" s="97">
        <f t="shared" si="19"/>
        <v>11147651.931</v>
      </c>
      <c r="O91" s="97">
        <f t="shared" si="19"/>
        <v>4972313.2740000002</v>
      </c>
      <c r="P91" s="97">
        <f t="shared" si="19"/>
        <v>2639414.9430000004</v>
      </c>
      <c r="Q91" s="97">
        <f t="shared" si="16"/>
        <v>145822517.44200999</v>
      </c>
      <c r="R91" s="96">
        <v>145822517.44201002</v>
      </c>
    </row>
    <row r="92" spans="2:18" x14ac:dyDescent="0.3">
      <c r="C92" t="s">
        <v>124</v>
      </c>
      <c r="E92" s="97">
        <f t="shared" si="19"/>
        <v>1677509.9980299999</v>
      </c>
      <c r="F92" s="97">
        <f t="shared" si="19"/>
        <v>1505148.60812</v>
      </c>
      <c r="G92" s="97">
        <f t="shared" si="19"/>
        <v>1474261.9374699998</v>
      </c>
      <c r="H92" s="97">
        <f t="shared" si="19"/>
        <v>1503568.73648</v>
      </c>
      <c r="I92" s="97">
        <f t="shared" si="19"/>
        <v>1565521.43</v>
      </c>
      <c r="J92" s="97">
        <f t="shared" si="19"/>
        <v>1544276.2680000002</v>
      </c>
      <c r="K92" s="97">
        <f t="shared" si="19"/>
        <v>1517440.93136</v>
      </c>
      <c r="L92" s="97">
        <f t="shared" si="19"/>
        <v>1578869.159</v>
      </c>
      <c r="M92" s="97">
        <f t="shared" si="19"/>
        <v>1535455.0220000001</v>
      </c>
      <c r="N92" s="97">
        <f t="shared" si="19"/>
        <v>1534835.862</v>
      </c>
      <c r="O92" s="97">
        <f t="shared" si="19"/>
        <v>1517745.8010000002</v>
      </c>
      <c r="P92" s="97">
        <f>P57+P66+P83</f>
        <v>1587397.7870499999</v>
      </c>
      <c r="Q92" s="97">
        <f t="shared" si="16"/>
        <v>18542031.540509999</v>
      </c>
      <c r="R92" s="96">
        <v>18542031.540509999</v>
      </c>
    </row>
    <row r="93" spans="2:18" x14ac:dyDescent="0.3">
      <c r="B93" t="s">
        <v>134</v>
      </c>
      <c r="E93" s="101">
        <f t="shared" ref="E93:M93" si="20">SUM(E87:E92)</f>
        <v>564826031.29402995</v>
      </c>
      <c r="F93" s="101">
        <f t="shared" si="20"/>
        <v>473309137.03112</v>
      </c>
      <c r="G93" s="101">
        <f t="shared" si="20"/>
        <v>492833718.73246998</v>
      </c>
      <c r="H93" s="101">
        <f t="shared" si="20"/>
        <v>430138729.75949001</v>
      </c>
      <c r="I93" s="101">
        <f t="shared" si="20"/>
        <v>429297163.69626999</v>
      </c>
      <c r="J93" s="101">
        <f t="shared" si="20"/>
        <v>426012730.31901997</v>
      </c>
      <c r="K93" s="101">
        <f t="shared" si="20"/>
        <v>463370110.68535</v>
      </c>
      <c r="L93" s="101">
        <f t="shared" si="20"/>
        <v>486553632.52000999</v>
      </c>
      <c r="M93" s="101">
        <f t="shared" si="20"/>
        <v>407025425.55900007</v>
      </c>
      <c r="N93" s="101">
        <f>SUM(N87:N92)</f>
        <v>441566618.17499995</v>
      </c>
      <c r="O93" s="101">
        <f>SUM(O87:O92)</f>
        <v>481994062.87700003</v>
      </c>
      <c r="P93" s="101">
        <f>SUM(P87:P92)</f>
        <v>540915464.71404994</v>
      </c>
      <c r="Q93" s="101">
        <f>SUM(Q87:Q92)</f>
        <v>5637842825.3628101</v>
      </c>
      <c r="R93" s="101">
        <f>SUM(R87:R92)</f>
        <v>5637842825.4998102</v>
      </c>
    </row>
    <row r="95" spans="2:18" x14ac:dyDescent="0.3">
      <c r="C95" t="s">
        <v>135</v>
      </c>
      <c r="E95" s="97">
        <f t="shared" ref="E95:M95" si="21">E87</f>
        <v>292945712.06200004</v>
      </c>
      <c r="F95" s="97">
        <f t="shared" si="21"/>
        <v>209125084.00199997</v>
      </c>
      <c r="G95" s="97">
        <f t="shared" si="21"/>
        <v>229152606.20699999</v>
      </c>
      <c r="H95" s="97">
        <f t="shared" si="21"/>
        <v>174130864.29800999</v>
      </c>
      <c r="I95" s="97">
        <f t="shared" si="21"/>
        <v>159047392.68922001</v>
      </c>
      <c r="J95" s="97">
        <f t="shared" si="21"/>
        <v>151500181.59101999</v>
      </c>
      <c r="K95" s="97">
        <f t="shared" si="21"/>
        <v>166667942.63099</v>
      </c>
      <c r="L95" s="97">
        <f t="shared" si="21"/>
        <v>194633616.92300999</v>
      </c>
      <c r="M95" s="97">
        <f t="shared" si="21"/>
        <v>145837333.60800001</v>
      </c>
      <c r="N95" s="97">
        <f>N87</f>
        <v>161623305.058</v>
      </c>
      <c r="O95" s="97">
        <f>O87</f>
        <v>216281572.46800002</v>
      </c>
      <c r="P95" s="97">
        <f>P87</f>
        <v>273758077.04299998</v>
      </c>
      <c r="Q95" s="97">
        <f>SUM(E95:P95)</f>
        <v>2374703688.5802498</v>
      </c>
    </row>
    <row r="96" spans="2:18" x14ac:dyDescent="0.3">
      <c r="C96" t="s">
        <v>136</v>
      </c>
      <c r="E96" s="97">
        <v>215198</v>
      </c>
      <c r="F96" s="102">
        <v>214198</v>
      </c>
      <c r="G96" s="97">
        <v>216045</v>
      </c>
      <c r="H96" s="97">
        <v>214971</v>
      </c>
      <c r="I96" s="97">
        <v>215099</v>
      </c>
      <c r="J96" s="97">
        <v>214829</v>
      </c>
      <c r="K96" s="97">
        <v>215408</v>
      </c>
      <c r="L96" s="97">
        <v>215648</v>
      </c>
      <c r="M96" s="97">
        <v>214122</v>
      </c>
      <c r="N96" s="97">
        <v>218388</v>
      </c>
      <c r="O96" s="97">
        <v>216943</v>
      </c>
      <c r="P96" s="97">
        <v>217126</v>
      </c>
      <c r="Q96" s="97">
        <f>SUM(E96:P96)</f>
        <v>2587975</v>
      </c>
      <c r="R96" s="97">
        <v>2587975</v>
      </c>
    </row>
    <row r="97" spans="3:18" x14ac:dyDescent="0.3">
      <c r="C97" t="s">
        <v>137</v>
      </c>
      <c r="E97" s="103">
        <f t="shared" ref="E97:M97" si="22">E95/E96</f>
        <v>1361.2845475422637</v>
      </c>
      <c r="F97" s="103">
        <f t="shared" si="22"/>
        <v>976.31669764423555</v>
      </c>
      <c r="G97" s="103">
        <f t="shared" si="22"/>
        <v>1060.6707223356245</v>
      </c>
      <c r="H97" s="103">
        <f t="shared" si="22"/>
        <v>810.02025528099136</v>
      </c>
      <c r="I97" s="103">
        <f t="shared" si="22"/>
        <v>739.41484009325939</v>
      </c>
      <c r="J97" s="103">
        <f t="shared" si="22"/>
        <v>705.21289765823042</v>
      </c>
      <c r="K97" s="103">
        <f t="shared" si="22"/>
        <v>773.73144280152087</v>
      </c>
      <c r="L97" s="103">
        <f t="shared" si="22"/>
        <v>902.55238593916931</v>
      </c>
      <c r="M97" s="103">
        <f t="shared" si="22"/>
        <v>681.09457976293891</v>
      </c>
      <c r="N97" s="103">
        <f>N95/N96</f>
        <v>740.07411148048425</v>
      </c>
      <c r="O97" s="103">
        <f>O95/O96</f>
        <v>996.95114600609384</v>
      </c>
      <c r="P97" s="103">
        <f>P95/P96</f>
        <v>1260.8258662850142</v>
      </c>
      <c r="Q97" s="103">
        <f>Q95/Q96</f>
        <v>917.59143290806514</v>
      </c>
    </row>
    <row r="98" spans="3:18" x14ac:dyDescent="0.3">
      <c r="C98" t="s">
        <v>138</v>
      </c>
      <c r="E98" s="97">
        <f t="shared" ref="E98:M98" si="23">E88+E89+E91</f>
        <v>176964440.734</v>
      </c>
      <c r="F98" s="97">
        <f t="shared" si="23"/>
        <v>175619316.72100002</v>
      </c>
      <c r="G98" s="97">
        <f t="shared" si="23"/>
        <v>167056292.088</v>
      </c>
      <c r="H98" s="97">
        <f t="shared" si="23"/>
        <v>162007859.72499999</v>
      </c>
      <c r="I98" s="97">
        <f t="shared" si="23"/>
        <v>174616872.97705001</v>
      </c>
      <c r="J98" s="97">
        <f t="shared" si="23"/>
        <v>181537286.56</v>
      </c>
      <c r="K98" s="97">
        <f t="shared" si="23"/>
        <v>199722134.123</v>
      </c>
      <c r="L98" s="97">
        <f t="shared" si="23"/>
        <v>191613197.248</v>
      </c>
      <c r="M98" s="97">
        <f t="shared" si="23"/>
        <v>170241283.23899999</v>
      </c>
      <c r="N98" s="97">
        <f>N88+N89+N91</f>
        <v>183287816.55399999</v>
      </c>
      <c r="O98" s="97">
        <f>O88+O89+O91</f>
        <v>175272144.72799999</v>
      </c>
      <c r="P98" s="97">
        <f>P88+P89+P91</f>
        <v>173094448.984</v>
      </c>
      <c r="Q98" s="97">
        <f>SUM(E98:P98)</f>
        <v>2131033093.6810496</v>
      </c>
    </row>
    <row r="99" spans="3:18" x14ac:dyDescent="0.3">
      <c r="C99" t="s">
        <v>139</v>
      </c>
      <c r="E99" s="97">
        <v>36868</v>
      </c>
      <c r="F99" s="102">
        <v>36445</v>
      </c>
      <c r="G99" s="97">
        <v>36552</v>
      </c>
      <c r="H99" s="97">
        <v>36255</v>
      </c>
      <c r="I99" s="97">
        <v>36544</v>
      </c>
      <c r="J99" s="97">
        <v>36486</v>
      </c>
      <c r="K99" s="97">
        <v>36644</v>
      </c>
      <c r="L99" s="97">
        <v>36729</v>
      </c>
      <c r="M99" s="97">
        <v>35718</v>
      </c>
      <c r="N99" s="97">
        <v>37528</v>
      </c>
      <c r="O99" s="97">
        <v>36613</v>
      </c>
      <c r="P99" s="97">
        <v>36651</v>
      </c>
      <c r="Q99" s="97">
        <f>SUM(E99:P99)</f>
        <v>439033</v>
      </c>
      <c r="R99" s="96">
        <f>386800+22787+29446</f>
        <v>439033</v>
      </c>
    </row>
    <row r="100" spans="3:18" x14ac:dyDescent="0.3">
      <c r="C100" t="s">
        <v>140</v>
      </c>
      <c r="E100" s="97">
        <f t="shared" ref="E100:M100" si="24">E98/E99</f>
        <v>4799.9468572746009</v>
      </c>
      <c r="F100" s="97">
        <f t="shared" si="24"/>
        <v>4818.749258361916</v>
      </c>
      <c r="G100" s="97">
        <f t="shared" si="24"/>
        <v>4570.3734977019039</v>
      </c>
      <c r="H100" s="97">
        <f t="shared" si="24"/>
        <v>4468.5659833126465</v>
      </c>
      <c r="I100" s="97">
        <f t="shared" si="24"/>
        <v>4778.2638183299587</v>
      </c>
      <c r="J100" s="97">
        <f t="shared" si="24"/>
        <v>4975.5327128213567</v>
      </c>
      <c r="K100" s="97">
        <f t="shared" si="24"/>
        <v>5450.336593248554</v>
      </c>
      <c r="L100" s="97">
        <f t="shared" si="24"/>
        <v>5216.9456627732852</v>
      </c>
      <c r="M100" s="97">
        <f t="shared" si="24"/>
        <v>4766.2602396270786</v>
      </c>
      <c r="N100" s="97">
        <f>N98/N99</f>
        <v>4884.028366926028</v>
      </c>
      <c r="O100" s="97">
        <f>O98/O99</f>
        <v>4787.1560573566758</v>
      </c>
      <c r="P100" s="97">
        <f>P98/P99</f>
        <v>4722.7756127800058</v>
      </c>
      <c r="Q100" s="97">
        <f>Q98/Q99</f>
        <v>4853.9246336404085</v>
      </c>
    </row>
    <row r="102" spans="3:18" x14ac:dyDescent="0.3">
      <c r="C102" t="s">
        <v>141</v>
      </c>
      <c r="E102" s="104">
        <f>E93/$Q93</f>
        <v>0.10018477789999083</v>
      </c>
      <c r="F102" s="104">
        <f t="shared" ref="F102:P102" si="25">F93/$Q93</f>
        <v>8.3952169596118759E-2</v>
      </c>
      <c r="G102" s="104">
        <f t="shared" si="25"/>
        <v>8.7415299432501439E-2</v>
      </c>
      <c r="H102" s="104">
        <f t="shared" si="25"/>
        <v>7.6294913335369446E-2</v>
      </c>
      <c r="I102" s="104">
        <f t="shared" si="25"/>
        <v>7.6145642401558716E-2</v>
      </c>
      <c r="J102" s="104">
        <f t="shared" si="25"/>
        <v>7.5563073238318762E-2</v>
      </c>
      <c r="K102" s="104">
        <f t="shared" si="25"/>
        <v>8.218925660729659E-2</v>
      </c>
      <c r="L102" s="104">
        <f t="shared" si="25"/>
        <v>8.630138292099318E-2</v>
      </c>
      <c r="M102" s="104">
        <f t="shared" si="25"/>
        <v>7.2195241720454828E-2</v>
      </c>
      <c r="N102" s="104">
        <f t="shared" si="25"/>
        <v>7.8321909966793724E-2</v>
      </c>
      <c r="O102" s="104">
        <f t="shared" si="25"/>
        <v>8.5492639260652398E-2</v>
      </c>
      <c r="P102" s="104">
        <f t="shared" si="25"/>
        <v>9.5943693619951281E-2</v>
      </c>
      <c r="Q102" s="104">
        <f>SUM(E102:P102)</f>
        <v>1</v>
      </c>
    </row>
  </sheetData>
  <mergeCells count="1">
    <mergeCell ref="B5:Q5"/>
  </mergeCells>
  <printOptions horizontalCentered="1"/>
  <pageMargins left="0.45" right="0.45" top="0.75" bottom="0.75" header="0.3" footer="0.3"/>
  <pageSetup scale="55" fitToHeight="6" orientation="landscape" r:id="rId1"/>
  <headerFooter scaleWithDoc="0">
    <oddFooter>&amp;L&amp;A&amp;C&amp;F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A41" workbookViewId="0">
      <selection activeCell="B30" sqref="B30"/>
    </sheetView>
  </sheetViews>
  <sheetFormatPr defaultRowHeight="14.4" x14ac:dyDescent="0.3"/>
  <cols>
    <col min="1" max="1" width="5.109375" customWidth="1"/>
    <col min="2" max="2" width="22.5546875" customWidth="1"/>
    <col min="3" max="3" width="3" customWidth="1"/>
    <col min="4" max="4" width="3.5546875" customWidth="1"/>
    <col min="5" max="5" width="3" customWidth="1"/>
    <col min="6" max="6" width="12.109375" customWidth="1"/>
    <col min="7" max="7" width="11.5546875" customWidth="1"/>
    <col min="8" max="8" width="11.44140625" customWidth="1"/>
    <col min="9" max="9" width="10.6640625" customWidth="1"/>
    <col min="10" max="10" width="11" customWidth="1"/>
    <col min="11" max="11" width="10.88671875" customWidth="1"/>
    <col min="12" max="12" width="10.6640625" customWidth="1"/>
  </cols>
  <sheetData>
    <row r="1" spans="1:12" x14ac:dyDescent="0.3">
      <c r="A1" s="105"/>
      <c r="B1" s="106" t="s">
        <v>142</v>
      </c>
      <c r="C1" s="106"/>
      <c r="D1" s="106"/>
      <c r="F1" s="106" t="s">
        <v>143</v>
      </c>
      <c r="G1" s="106"/>
      <c r="H1" s="106"/>
      <c r="J1" s="105" t="s">
        <v>144</v>
      </c>
      <c r="K1" s="106"/>
      <c r="L1" s="107"/>
    </row>
    <row r="2" spans="1:12" x14ac:dyDescent="0.3">
      <c r="A2" s="105"/>
      <c r="B2" s="106" t="s">
        <v>145</v>
      </c>
      <c r="C2" s="106"/>
      <c r="D2" s="106"/>
      <c r="F2" s="108" t="s">
        <v>146</v>
      </c>
      <c r="G2" s="106"/>
      <c r="H2" s="106"/>
      <c r="J2" s="105" t="s">
        <v>147</v>
      </c>
      <c r="K2" s="106"/>
      <c r="L2" s="109">
        <v>43585</v>
      </c>
    </row>
    <row r="3" spans="1:12" x14ac:dyDescent="0.3">
      <c r="A3" s="105"/>
      <c r="B3" s="106" t="s">
        <v>148</v>
      </c>
      <c r="C3" s="106"/>
      <c r="D3" s="106"/>
      <c r="F3" s="106" t="s">
        <v>149</v>
      </c>
      <c r="G3" s="106"/>
      <c r="H3" s="106"/>
      <c r="I3" s="106"/>
      <c r="J3" s="106"/>
      <c r="K3" s="106"/>
      <c r="L3" s="110" t="s">
        <v>4</v>
      </c>
    </row>
    <row r="4" spans="1:12" x14ac:dyDescent="0.3">
      <c r="A4" s="105"/>
      <c r="B4" s="106" t="s">
        <v>150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x14ac:dyDescent="0.3">
      <c r="A5" s="105"/>
      <c r="B5" s="105" t="s">
        <v>59</v>
      </c>
      <c r="C5" s="105" t="s">
        <v>60</v>
      </c>
      <c r="D5" s="105" t="s">
        <v>61</v>
      </c>
      <c r="E5" s="105" t="s">
        <v>89</v>
      </c>
      <c r="F5" s="105" t="s">
        <v>90</v>
      </c>
      <c r="G5" s="105" t="s">
        <v>91</v>
      </c>
      <c r="H5" s="105" t="s">
        <v>92</v>
      </c>
      <c r="I5" s="105" t="s">
        <v>93</v>
      </c>
      <c r="J5" s="105" t="s">
        <v>94</v>
      </c>
      <c r="K5" s="105" t="s">
        <v>95</v>
      </c>
      <c r="L5" s="105" t="s">
        <v>96</v>
      </c>
    </row>
    <row r="6" spans="1:12" x14ac:dyDescent="0.3">
      <c r="A6" s="105"/>
      <c r="B6" s="105" t="s">
        <v>4</v>
      </c>
      <c r="C6" s="105" t="s">
        <v>4</v>
      </c>
      <c r="D6" s="105" t="s">
        <v>4</v>
      </c>
      <c r="E6" s="105" t="s">
        <v>4</v>
      </c>
      <c r="F6" s="105" t="s">
        <v>4</v>
      </c>
      <c r="G6" s="105" t="s">
        <v>42</v>
      </c>
      <c r="H6" s="105" t="s">
        <v>151</v>
      </c>
      <c r="I6" s="105" t="s">
        <v>152</v>
      </c>
      <c r="J6" s="105" t="s">
        <v>153</v>
      </c>
      <c r="K6" s="105" t="s">
        <v>154</v>
      </c>
      <c r="L6" s="105" t="s">
        <v>155</v>
      </c>
    </row>
    <row r="7" spans="1:12" x14ac:dyDescent="0.3">
      <c r="A7" s="105"/>
      <c r="B7" s="105" t="s">
        <v>4</v>
      </c>
      <c r="C7" s="105" t="s">
        <v>4</v>
      </c>
      <c r="D7" s="105" t="s">
        <v>4</v>
      </c>
      <c r="E7" s="105" t="s">
        <v>4</v>
      </c>
      <c r="F7" s="105" t="s">
        <v>156</v>
      </c>
      <c r="G7" s="105" t="s">
        <v>157</v>
      </c>
      <c r="H7" s="105" t="s">
        <v>157</v>
      </c>
      <c r="I7" s="105" t="s">
        <v>157</v>
      </c>
      <c r="J7" s="105" t="s">
        <v>158</v>
      </c>
      <c r="K7" s="105" t="s">
        <v>157</v>
      </c>
      <c r="L7" s="105" t="s">
        <v>159</v>
      </c>
    </row>
    <row r="8" spans="1:12" x14ac:dyDescent="0.3">
      <c r="A8" s="105"/>
      <c r="B8" s="111" t="s">
        <v>160</v>
      </c>
      <c r="C8" s="105" t="s">
        <v>4</v>
      </c>
      <c r="D8" s="105" t="s">
        <v>4</v>
      </c>
      <c r="E8" s="105" t="s">
        <v>4</v>
      </c>
      <c r="F8" s="105" t="s">
        <v>75</v>
      </c>
      <c r="G8" s="105" t="s">
        <v>161</v>
      </c>
      <c r="H8" s="105" t="s">
        <v>162</v>
      </c>
      <c r="I8" s="105" t="s">
        <v>163</v>
      </c>
      <c r="J8" s="105" t="s">
        <v>164</v>
      </c>
      <c r="K8" s="105" t="s">
        <v>165</v>
      </c>
      <c r="L8" s="105" t="s">
        <v>166</v>
      </c>
    </row>
    <row r="9" spans="1:12" x14ac:dyDescent="0.3">
      <c r="A9" s="105"/>
      <c r="B9" s="112" t="s">
        <v>167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x14ac:dyDescent="0.3">
      <c r="A10" s="105">
        <v>1</v>
      </c>
      <c r="B10" s="106" t="s">
        <v>168</v>
      </c>
      <c r="C10" s="106"/>
      <c r="D10" s="107"/>
      <c r="E10" s="105"/>
      <c r="F10" s="113">
        <f>SUM(G10:Q10)</f>
        <v>232996271.8037436</v>
      </c>
      <c r="G10" s="113">
        <v>96154912.56774047</v>
      </c>
      <c r="H10" s="113">
        <v>29579434.992291287</v>
      </c>
      <c r="I10" s="113">
        <v>58913788.394840106</v>
      </c>
      <c r="J10" s="113">
        <v>42373812.716076434</v>
      </c>
      <c r="K10" s="113">
        <v>5400727.9003917975</v>
      </c>
      <c r="L10" s="113">
        <v>573595.23240352911</v>
      </c>
    </row>
    <row r="11" spans="1:12" x14ac:dyDescent="0.3">
      <c r="A11" s="105">
        <v>2</v>
      </c>
      <c r="B11" s="106" t="s">
        <v>169</v>
      </c>
      <c r="C11" s="106"/>
      <c r="D11" s="107"/>
      <c r="E11" s="105"/>
      <c r="F11" s="113">
        <f>SUM(G11:Q11)</f>
        <v>49397045.344838127</v>
      </c>
      <c r="G11" s="113">
        <v>16631690.536803015</v>
      </c>
      <c r="H11" s="113">
        <v>8158041.8198397513</v>
      </c>
      <c r="I11" s="113">
        <v>14261527.385327591</v>
      </c>
      <c r="J11" s="113">
        <v>9131847.0973078609</v>
      </c>
      <c r="K11" s="113">
        <v>1088315.0792842747</v>
      </c>
      <c r="L11" s="113">
        <v>125623.42627563284</v>
      </c>
    </row>
    <row r="12" spans="1:12" x14ac:dyDescent="0.3">
      <c r="A12" s="105">
        <v>3</v>
      </c>
      <c r="B12" s="106" t="s">
        <v>170</v>
      </c>
      <c r="C12" s="106"/>
      <c r="D12" s="107"/>
      <c r="E12" s="105"/>
      <c r="F12" s="113">
        <f>SUM(G12:Q12)</f>
        <v>122205402.48897752</v>
      </c>
      <c r="G12" s="113">
        <v>57353610.481387615</v>
      </c>
      <c r="H12" s="113">
        <v>23105515.262454282</v>
      </c>
      <c r="I12" s="113">
        <v>30130344.286352515</v>
      </c>
      <c r="J12" s="113">
        <v>3911015.4521189635</v>
      </c>
      <c r="K12" s="113">
        <v>3231469.943951257</v>
      </c>
      <c r="L12" s="113">
        <v>4473447.0627128724</v>
      </c>
    </row>
    <row r="13" spans="1:12" x14ac:dyDescent="0.3">
      <c r="A13" s="105">
        <v>4</v>
      </c>
      <c r="B13" s="106" t="s">
        <v>171</v>
      </c>
      <c r="C13" s="106"/>
      <c r="D13" s="107"/>
      <c r="E13" s="105"/>
      <c r="F13" s="113">
        <f>SUM(G13:Q13)</f>
        <v>97420280.36244069</v>
      </c>
      <c r="G13" s="113">
        <v>45933786.41406884</v>
      </c>
      <c r="H13" s="113">
        <v>14218007.925414665</v>
      </c>
      <c r="I13" s="113">
        <v>22371339.933479808</v>
      </c>
      <c r="J13" s="113">
        <v>11327324.734496735</v>
      </c>
      <c r="K13" s="113">
        <v>2318487.0763726705</v>
      </c>
      <c r="L13" s="113">
        <v>1251334.2786079647</v>
      </c>
    </row>
    <row r="14" spans="1:12" x14ac:dyDescent="0.3">
      <c r="A14" s="105">
        <v>5</v>
      </c>
      <c r="B14" s="106" t="s">
        <v>172</v>
      </c>
      <c r="C14" s="106"/>
      <c r="D14" s="107"/>
      <c r="E14" s="105"/>
      <c r="F14" s="114">
        <f>SUM(F10:F13)</f>
        <v>502019000</v>
      </c>
      <c r="G14" s="114">
        <f t="shared" ref="G14:L14" si="0">SUM(G10:G13)</f>
        <v>216073999.99999994</v>
      </c>
      <c r="H14" s="114">
        <f t="shared" si="0"/>
        <v>75060999.999999985</v>
      </c>
      <c r="I14" s="114">
        <f t="shared" si="0"/>
        <v>125677000.00000003</v>
      </c>
      <c r="J14" s="114">
        <f t="shared" si="0"/>
        <v>66743999.999999993</v>
      </c>
      <c r="K14" s="114">
        <f t="shared" si="0"/>
        <v>12039000</v>
      </c>
      <c r="L14" s="114">
        <f t="shared" si="0"/>
        <v>6423999.9999999991</v>
      </c>
    </row>
    <row r="15" spans="1:12" x14ac:dyDescent="0.3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 x14ac:dyDescent="0.3">
      <c r="A16" s="105"/>
      <c r="B16" s="106" t="s">
        <v>173</v>
      </c>
      <c r="C16" s="106"/>
      <c r="D16" s="107"/>
      <c r="E16" s="105"/>
      <c r="F16" s="113"/>
      <c r="G16" s="113"/>
      <c r="H16" s="113"/>
      <c r="I16" s="113"/>
      <c r="J16" s="113"/>
      <c r="K16" s="113"/>
      <c r="L16" s="113"/>
    </row>
    <row r="17" spans="1:12" x14ac:dyDescent="0.3">
      <c r="A17" s="105">
        <v>6</v>
      </c>
      <c r="B17" s="106" t="s">
        <v>168</v>
      </c>
      <c r="C17" s="106"/>
      <c r="D17" s="107"/>
      <c r="E17" s="105"/>
      <c r="F17" s="115">
        <v>4.1327202441546584E-2</v>
      </c>
      <c r="G17" s="115">
        <v>4.0491330776612301E-2</v>
      </c>
      <c r="H17" s="115">
        <v>4.7762232700601086E-2</v>
      </c>
      <c r="I17" s="115">
        <v>4.3131699944256217E-2</v>
      </c>
      <c r="J17" s="115">
        <v>3.8052426496768321E-2</v>
      </c>
      <c r="K17" s="115">
        <v>3.7036309696888564E-2</v>
      </c>
      <c r="L17" s="115">
        <v>3.0934863687190763E-2</v>
      </c>
    </row>
    <row r="18" spans="1:12" x14ac:dyDescent="0.3">
      <c r="A18" s="105">
        <v>7</v>
      </c>
      <c r="B18" s="106" t="s">
        <v>169</v>
      </c>
      <c r="C18" s="106"/>
      <c r="D18" s="106"/>
      <c r="E18" s="105"/>
      <c r="F18" s="115">
        <v>8.7616925248482913E-3</v>
      </c>
      <c r="G18" s="115">
        <v>7.0036908662935984E-3</v>
      </c>
      <c r="H18" s="115">
        <v>1.317287811217379E-2</v>
      </c>
      <c r="I18" s="115">
        <v>1.0441085808438987E-2</v>
      </c>
      <c r="J18" s="115">
        <v>8.2005587455244201E-3</v>
      </c>
      <c r="K18" s="115">
        <v>7.4632855177247746E-3</v>
      </c>
      <c r="L18" s="115">
        <v>6.7750625322851796E-3</v>
      </c>
    </row>
    <row r="19" spans="1:12" x14ac:dyDescent="0.3">
      <c r="A19" s="105">
        <v>8</v>
      </c>
      <c r="B19" s="106" t="s">
        <v>170</v>
      </c>
      <c r="C19" s="106"/>
      <c r="D19" s="106"/>
      <c r="E19" s="105"/>
      <c r="F19" s="115">
        <v>2.1675915108060995E-2</v>
      </c>
      <c r="G19" s="115">
        <v>2.4151901876035539E-2</v>
      </c>
      <c r="H19" s="115">
        <v>3.7308724690658684E-2</v>
      </c>
      <c r="I19" s="115">
        <v>2.2058893246965475E-2</v>
      </c>
      <c r="J19" s="115">
        <v>3.5121604236245411E-3</v>
      </c>
      <c r="K19" s="115">
        <v>2.2160294654297162E-2</v>
      </c>
      <c r="L19" s="115">
        <v>0.2412598070542038</v>
      </c>
    </row>
    <row r="20" spans="1:12" x14ac:dyDescent="0.3">
      <c r="A20" s="105">
        <v>9</v>
      </c>
      <c r="B20" s="106" t="s">
        <v>171</v>
      </c>
      <c r="C20" s="106"/>
      <c r="D20" s="106"/>
      <c r="E20" s="105"/>
      <c r="F20" s="115">
        <v>1.7279708457490099E-2</v>
      </c>
      <c r="G20" s="115">
        <v>1.9342954923951709E-2</v>
      </c>
      <c r="H20" s="115">
        <v>2.295797074046959E-2</v>
      </c>
      <c r="I20" s="115">
        <v>1.6378405593185697E-2</v>
      </c>
      <c r="J20" s="115">
        <v>1.0172136143437737E-2</v>
      </c>
      <c r="K20" s="115">
        <v>1.5899376338241854E-2</v>
      </c>
      <c r="L20" s="115">
        <v>6.748636172173389E-2</v>
      </c>
    </row>
    <row r="21" spans="1:12" x14ac:dyDescent="0.3">
      <c r="A21" s="105">
        <v>10</v>
      </c>
      <c r="B21" s="106" t="s">
        <v>174</v>
      </c>
      <c r="C21" s="106"/>
      <c r="D21" s="106"/>
      <c r="E21" s="106"/>
      <c r="F21" s="116">
        <f>SUM(F17:F20)</f>
        <v>8.9044518531945976E-2</v>
      </c>
      <c r="G21" s="116">
        <f t="shared" ref="G21:L21" si="1">SUM(G17:G20)</f>
        <v>9.0989878442893163E-2</v>
      </c>
      <c r="H21" s="116">
        <f t="shared" si="1"/>
        <v>0.12120180624390314</v>
      </c>
      <c r="I21" s="116">
        <f t="shared" si="1"/>
        <v>9.2010084592846375E-2</v>
      </c>
      <c r="J21" s="116">
        <f t="shared" si="1"/>
        <v>5.9937281809355016E-2</v>
      </c>
      <c r="K21" s="116">
        <f t="shared" si="1"/>
        <v>8.2559266207152357E-2</v>
      </c>
      <c r="L21" s="116">
        <f t="shared" si="1"/>
        <v>0.34645609499541363</v>
      </c>
    </row>
    <row r="22" spans="1:12" x14ac:dyDescent="0.3">
      <c r="A22" s="105"/>
    </row>
    <row r="23" spans="1:12" x14ac:dyDescent="0.3">
      <c r="A23" s="105"/>
      <c r="B23" s="112" t="s">
        <v>175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x14ac:dyDescent="0.3">
      <c r="A24" s="105">
        <v>11</v>
      </c>
      <c r="B24" s="106" t="s">
        <v>168</v>
      </c>
      <c r="C24" s="106"/>
      <c r="D24" s="106"/>
      <c r="E24" s="106"/>
      <c r="F24" s="113">
        <f>SUM(G24:Q24)</f>
        <v>232363347.6711435</v>
      </c>
      <c r="G24" s="113">
        <v>104039734.52627778</v>
      </c>
      <c r="H24" s="113">
        <v>25404341.345693164</v>
      </c>
      <c r="I24" s="113">
        <v>54909924.321173899</v>
      </c>
      <c r="J24" s="113">
        <v>41936969.555553995</v>
      </c>
      <c r="K24" s="113">
        <v>5509057.1578390989</v>
      </c>
      <c r="L24" s="113">
        <v>563320.76460556197</v>
      </c>
    </row>
    <row r="25" spans="1:12" x14ac:dyDescent="0.3">
      <c r="A25" s="105">
        <v>12</v>
      </c>
      <c r="B25" s="106" t="s">
        <v>169</v>
      </c>
      <c r="F25" s="113">
        <f>SUM(G25:Q25)</f>
        <v>48971984.111054316</v>
      </c>
      <c r="G25" s="113">
        <v>21927004.741513815</v>
      </c>
      <c r="H25" s="113">
        <v>5354118.9400224267</v>
      </c>
      <c r="I25" s="113">
        <v>11572599.415297827</v>
      </c>
      <c r="J25" s="113">
        <v>8838470.5562382676</v>
      </c>
      <c r="K25" s="113">
        <v>1161067.1919842137</v>
      </c>
      <c r="L25" s="113">
        <v>118723.26599775738</v>
      </c>
    </row>
    <row r="26" spans="1:12" x14ac:dyDescent="0.3">
      <c r="A26" s="105">
        <v>13</v>
      </c>
      <c r="B26" s="106" t="s">
        <v>170</v>
      </c>
      <c r="F26" s="113">
        <f>SUM(G26:Q26)</f>
        <v>122849116.80370751</v>
      </c>
      <c r="G26" s="113">
        <v>70989192.656298667</v>
      </c>
      <c r="H26" s="113">
        <v>16000476.263635602</v>
      </c>
      <c r="I26" s="113">
        <v>24416971.502815925</v>
      </c>
      <c r="J26" s="113">
        <v>3795184.2247888814</v>
      </c>
      <c r="K26" s="113">
        <v>3435112.3145500105</v>
      </c>
      <c r="L26" s="113">
        <v>4212179.8416184252</v>
      </c>
    </row>
    <row r="27" spans="1:12" x14ac:dyDescent="0.3">
      <c r="A27" s="105">
        <v>14</v>
      </c>
      <c r="B27" s="106" t="s">
        <v>171</v>
      </c>
      <c r="F27" s="113">
        <f>SUM(G27:Q27)</f>
        <v>97834551.414099276</v>
      </c>
      <c r="G27" s="113">
        <v>51179746.380421109</v>
      </c>
      <c r="H27" s="113">
        <v>11619073.993910566</v>
      </c>
      <c r="I27" s="113">
        <v>20269837.631319646</v>
      </c>
      <c r="J27" s="113">
        <v>11171386.402098939</v>
      </c>
      <c r="K27" s="113">
        <v>2384524.75741832</v>
      </c>
      <c r="L27" s="113">
        <v>1209982.2489306931</v>
      </c>
    </row>
    <row r="28" spans="1:12" x14ac:dyDescent="0.3">
      <c r="A28" s="105">
        <v>15</v>
      </c>
      <c r="B28" s="106" t="s">
        <v>176</v>
      </c>
      <c r="C28" s="106"/>
      <c r="D28" s="106"/>
      <c r="E28" s="106"/>
      <c r="F28" s="114">
        <f>SUM(F24:F27)</f>
        <v>502019000.00000459</v>
      </c>
      <c r="G28" s="114">
        <f>SUM(G24:G27)</f>
        <v>248135678.30451137</v>
      </c>
      <c r="H28" s="114">
        <f t="shared" ref="H28:L28" si="2">SUM(H24:H27)</f>
        <v>58378010.543261759</v>
      </c>
      <c r="I28" s="114">
        <f t="shared" si="2"/>
        <v>111169332.87060729</v>
      </c>
      <c r="J28" s="114">
        <f t="shared" si="2"/>
        <v>65742010.738680087</v>
      </c>
      <c r="K28" s="114">
        <f t="shared" si="2"/>
        <v>12489761.421791643</v>
      </c>
      <c r="L28" s="114">
        <f t="shared" si="2"/>
        <v>6104206.1211524382</v>
      </c>
    </row>
    <row r="29" spans="1:12" x14ac:dyDescent="0.3">
      <c r="A29" s="105"/>
      <c r="B29" s="106"/>
    </row>
    <row r="30" spans="1:12" x14ac:dyDescent="0.3">
      <c r="A30" s="105"/>
      <c r="B30" s="106" t="s">
        <v>173</v>
      </c>
    </row>
    <row r="31" spans="1:12" x14ac:dyDescent="0.3">
      <c r="A31" s="105">
        <v>16</v>
      </c>
      <c r="B31" s="106" t="s">
        <v>168</v>
      </c>
      <c r="C31" s="106"/>
      <c r="D31" s="106"/>
      <c r="E31" s="106"/>
      <c r="F31" s="115">
        <v>4.1214938912370339E-2</v>
      </c>
      <c r="G31" s="115">
        <v>4.3811670065703842E-2</v>
      </c>
      <c r="H31" s="115">
        <v>4.102066396044126E-2</v>
      </c>
      <c r="I31" s="115">
        <v>4.0200408839946862E-2</v>
      </c>
      <c r="J31" s="115">
        <v>3.766013368215243E-2</v>
      </c>
      <c r="K31" s="115">
        <v>3.7779193989904175E-2</v>
      </c>
      <c r="L31" s="115">
        <v>3.0380746004837117E-2</v>
      </c>
    </row>
    <row r="32" spans="1:12" x14ac:dyDescent="0.3">
      <c r="A32" s="105">
        <v>17</v>
      </c>
      <c r="B32" s="106" t="s">
        <v>169</v>
      </c>
      <c r="C32" s="106"/>
      <c r="D32" s="106"/>
      <c r="E32" s="106"/>
      <c r="F32" s="115">
        <v>8.686298221229018E-3</v>
      </c>
      <c r="G32" s="115">
        <v>9.2335750532090127E-3</v>
      </c>
      <c r="H32" s="115">
        <v>8.6453535974129088E-3</v>
      </c>
      <c r="I32" s="115">
        <v>8.4724798583724736E-3</v>
      </c>
      <c r="J32" s="115">
        <v>7.9371014696892582E-3</v>
      </c>
      <c r="K32" s="115">
        <v>7.9621941512929284E-3</v>
      </c>
      <c r="L32" s="115">
        <v>6.4029263889608962E-3</v>
      </c>
    </row>
    <row r="33" spans="1:12" x14ac:dyDescent="0.3">
      <c r="A33" s="105">
        <v>18</v>
      </c>
      <c r="B33" s="106" t="s">
        <v>170</v>
      </c>
      <c r="C33" s="106"/>
      <c r="D33" s="106"/>
      <c r="E33" s="106"/>
      <c r="F33" s="115">
        <v>2.1790092522118703E-2</v>
      </c>
      <c r="G33" s="115">
        <v>2.9893916022083827E-2</v>
      </c>
      <c r="H33" s="115">
        <v>2.5836141590377615E-2</v>
      </c>
      <c r="I33" s="115">
        <v>1.7876044252132149E-2</v>
      </c>
      <c r="J33" s="115">
        <v>3.4081419513303035E-3</v>
      </c>
      <c r="K33" s="115">
        <v>2.355680305909142E-2</v>
      </c>
      <c r="L33" s="115">
        <v>0.22716926826673717</v>
      </c>
    </row>
    <row r="34" spans="1:12" x14ac:dyDescent="0.3">
      <c r="A34" s="105">
        <v>19</v>
      </c>
      <c r="B34" s="106" t="s">
        <v>171</v>
      </c>
      <c r="C34" s="106"/>
      <c r="D34" s="106"/>
      <c r="E34" s="106"/>
      <c r="F34" s="115">
        <v>1.735318887623254E-2</v>
      </c>
      <c r="G34" s="115">
        <v>2.1552055785946569E-2</v>
      </c>
      <c r="H34" s="115">
        <v>1.8761444091385974E-2</v>
      </c>
      <c r="I34" s="115">
        <v>1.483986310256436E-2</v>
      </c>
      <c r="J34" s="115">
        <v>1.0032100787843114E-2</v>
      </c>
      <c r="K34" s="115">
        <v>1.6352239739616619E-2</v>
      </c>
      <c r="L34" s="115">
        <v>6.5256183838464585E-2</v>
      </c>
    </row>
    <row r="35" spans="1:12" x14ac:dyDescent="0.3">
      <c r="A35" s="105">
        <v>20</v>
      </c>
      <c r="B35" s="106" t="s">
        <v>177</v>
      </c>
      <c r="C35" s="106"/>
      <c r="D35" s="106"/>
      <c r="E35" s="106"/>
      <c r="F35" s="117">
        <f>SUM(F31:F34)</f>
        <v>8.9044518531950598E-2</v>
      </c>
      <c r="G35" s="117">
        <f t="shared" ref="G35:L35" si="3">SUM(G31:G34)</f>
        <v>0.10449121692694326</v>
      </c>
      <c r="H35" s="117">
        <f t="shared" si="3"/>
        <v>9.4263603239617758E-2</v>
      </c>
      <c r="I35" s="117">
        <f t="shared" si="3"/>
        <v>8.1388796053015841E-2</v>
      </c>
      <c r="J35" s="117">
        <f t="shared" si="3"/>
        <v>5.9037477891015107E-2</v>
      </c>
      <c r="K35" s="117">
        <f t="shared" si="3"/>
        <v>8.5650430939905139E-2</v>
      </c>
      <c r="L35" s="117">
        <f t="shared" si="3"/>
        <v>0.32920912449899981</v>
      </c>
    </row>
    <row r="36" spans="1:12" x14ac:dyDescent="0.3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</row>
    <row r="37" spans="1:12" x14ac:dyDescent="0.3">
      <c r="A37" s="105">
        <v>21</v>
      </c>
      <c r="B37" s="112" t="s">
        <v>178</v>
      </c>
      <c r="F37" s="118">
        <f>F14/F28</f>
        <v>0.9999999999999909</v>
      </c>
      <c r="G37" s="118">
        <f t="shared" ref="G37:L37" si="4">G14/G28</f>
        <v>0.87078972873394922</v>
      </c>
      <c r="H37" s="118">
        <f t="shared" si="4"/>
        <v>1.2857752311441837</v>
      </c>
      <c r="I37" s="118">
        <f t="shared" si="4"/>
        <v>1.130500622381881</v>
      </c>
      <c r="J37" s="118">
        <f t="shared" si="4"/>
        <v>1.0152412323575368</v>
      </c>
      <c r="K37" s="118">
        <f t="shared" si="4"/>
        <v>0.96390952504463601</v>
      </c>
      <c r="L37" s="118">
        <f t="shared" si="4"/>
        <v>1.0523891022846368</v>
      </c>
    </row>
    <row r="38" spans="1:12" ht="15" thickBot="1" x14ac:dyDescent="0.35">
      <c r="A38" s="105"/>
    </row>
    <row r="39" spans="1:12" ht="15" thickTop="1" x14ac:dyDescent="0.3">
      <c r="A39" s="105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3">
      <c r="A40" s="105"/>
      <c r="B40" s="112" t="s">
        <v>179</v>
      </c>
    </row>
    <row r="41" spans="1:12" x14ac:dyDescent="0.3">
      <c r="A41" s="105">
        <v>22</v>
      </c>
      <c r="B41" s="106" t="s">
        <v>168</v>
      </c>
      <c r="C41" s="106"/>
      <c r="D41" s="106"/>
      <c r="E41" s="105"/>
      <c r="F41" s="113">
        <f>SUM(G41:Q41)</f>
        <v>245754174.50351864</v>
      </c>
      <c r="G41" s="113">
        <v>101472457.76860365</v>
      </c>
      <c r="H41" s="113">
        <v>30947542.868713491</v>
      </c>
      <c r="I41" s="113">
        <v>62071906.476412952</v>
      </c>
      <c r="J41" s="113">
        <v>45024618.206672221</v>
      </c>
      <c r="K41" s="113">
        <v>5664124.3144834805</v>
      </c>
      <c r="L41" s="113">
        <v>573524.86863281881</v>
      </c>
    </row>
    <row r="42" spans="1:12" x14ac:dyDescent="0.3">
      <c r="A42" s="105">
        <v>23</v>
      </c>
      <c r="B42" s="106" t="s">
        <v>169</v>
      </c>
      <c r="C42" s="106"/>
      <c r="D42" s="107"/>
      <c r="E42" s="105"/>
      <c r="F42" s="113">
        <f>SUM(G42:Q42)</f>
        <v>57985557.534435071</v>
      </c>
      <c r="G42" s="113">
        <v>20212051.875762023</v>
      </c>
      <c r="H42" s="113">
        <v>9079083.4394395147</v>
      </c>
      <c r="I42" s="113">
        <v>16387315.310680786</v>
      </c>
      <c r="J42" s="113">
        <v>10915786.826448552</v>
      </c>
      <c r="K42" s="113">
        <v>1265694.1673251097</v>
      </c>
      <c r="L42" s="113">
        <v>125625.91477908797</v>
      </c>
    </row>
    <row r="43" spans="1:12" x14ac:dyDescent="0.3">
      <c r="A43" s="105">
        <v>24</v>
      </c>
      <c r="B43" s="106" t="s">
        <v>170</v>
      </c>
      <c r="C43" s="106"/>
      <c r="D43" s="107"/>
      <c r="E43" s="105"/>
      <c r="F43" s="113">
        <f>SUM(G43:Q43)</f>
        <v>139473325.85061592</v>
      </c>
      <c r="G43" s="113">
        <v>66570357.469605625</v>
      </c>
      <c r="H43" s="113">
        <v>25438935.081376694</v>
      </c>
      <c r="I43" s="113">
        <v>34647202.956745431</v>
      </c>
      <c r="J43" s="113">
        <v>4615293.8148732316</v>
      </c>
      <c r="K43" s="113">
        <v>3727940.983175186</v>
      </c>
      <c r="L43" s="113">
        <v>4473595.5448397519</v>
      </c>
    </row>
    <row r="44" spans="1:12" x14ac:dyDescent="0.3">
      <c r="A44" s="105">
        <v>25</v>
      </c>
      <c r="B44" s="106" t="s">
        <v>171</v>
      </c>
      <c r="C44" s="106"/>
      <c r="D44" s="107"/>
      <c r="E44" s="105"/>
      <c r="F44" s="113">
        <f>SUM(G44:Q44)</f>
        <v>104580942.1114303</v>
      </c>
      <c r="G44" s="113">
        <v>49475132.88602864</v>
      </c>
      <c r="H44" s="113">
        <v>15070438.610470276</v>
      </c>
      <c r="I44" s="113">
        <v>24030575.25616084</v>
      </c>
      <c r="J44" s="113">
        <v>12274301.152005991</v>
      </c>
      <c r="K44" s="113">
        <v>2479240.5350162238</v>
      </c>
      <c r="L44" s="113">
        <v>1251253.6717483394</v>
      </c>
    </row>
    <row r="45" spans="1:12" x14ac:dyDescent="0.3">
      <c r="A45" s="105">
        <v>26</v>
      </c>
      <c r="B45" s="106" t="s">
        <v>180</v>
      </c>
      <c r="C45" s="106"/>
      <c r="D45" s="107"/>
      <c r="E45" s="105"/>
      <c r="F45" s="114">
        <f>SUM(F41:F44)</f>
        <v>547794000</v>
      </c>
      <c r="G45" s="114">
        <f t="shared" ref="G45:L45" si="5">SUM(G41:G44)</f>
        <v>237729999.99999994</v>
      </c>
      <c r="H45" s="114">
        <f t="shared" si="5"/>
        <v>80535999.99999997</v>
      </c>
      <c r="I45" s="114">
        <f t="shared" si="5"/>
        <v>137137000</v>
      </c>
      <c r="J45" s="114">
        <f t="shared" si="5"/>
        <v>72830000</v>
      </c>
      <c r="K45" s="114">
        <f t="shared" si="5"/>
        <v>13137000</v>
      </c>
      <c r="L45" s="114">
        <f t="shared" si="5"/>
        <v>6423999.9999999981</v>
      </c>
    </row>
    <row r="46" spans="1:12" x14ac:dyDescent="0.3">
      <c r="A46" s="105"/>
    </row>
    <row r="47" spans="1:12" ht="15" thickBot="1" x14ac:dyDescent="0.35">
      <c r="A47" s="105"/>
      <c r="B47" s="106" t="s">
        <v>173</v>
      </c>
      <c r="C47" s="106"/>
      <c r="D47" s="107"/>
      <c r="E47" s="105"/>
      <c r="F47" s="113"/>
      <c r="G47" s="113"/>
      <c r="H47" s="113"/>
      <c r="I47" s="113"/>
      <c r="J47" s="113"/>
      <c r="K47" s="113"/>
      <c r="L47" s="113"/>
    </row>
    <row r="48" spans="1:12" x14ac:dyDescent="0.3">
      <c r="A48" s="120">
        <v>27</v>
      </c>
      <c r="B48" s="121" t="s">
        <v>168</v>
      </c>
      <c r="C48" s="121"/>
      <c r="D48" s="122"/>
      <c r="E48" s="123"/>
      <c r="F48" s="124">
        <v>4.3590107437928946E-2</v>
      </c>
      <c r="G48" s="124">
        <v>4.2730576550935595E-2</v>
      </c>
      <c r="H48" s="124">
        <v>4.9971331243904293E-2</v>
      </c>
      <c r="I48" s="124">
        <v>4.5443807265720886E-2</v>
      </c>
      <c r="J48" s="124">
        <v>4.0432896287485469E-2</v>
      </c>
      <c r="K48" s="124">
        <v>3.884259050667381E-2</v>
      </c>
      <c r="L48" s="125">
        <v>3.0931068861968246E-2</v>
      </c>
    </row>
    <row r="49" spans="1:12" ht="15" thickBot="1" x14ac:dyDescent="0.35">
      <c r="A49" s="126">
        <v>28</v>
      </c>
      <c r="B49" s="127" t="s">
        <v>169</v>
      </c>
      <c r="C49" s="127"/>
      <c r="D49" s="128"/>
      <c r="E49" s="129"/>
      <c r="F49" s="130">
        <v>1.0285061028487415E-2</v>
      </c>
      <c r="G49" s="130">
        <v>8.5113995356083452E-3</v>
      </c>
      <c r="H49" s="130">
        <v>1.4660093948910593E-2</v>
      </c>
      <c r="I49" s="130">
        <v>1.1997408181173846E-2</v>
      </c>
      <c r="J49" s="130">
        <v>9.8025678890640653E-3</v>
      </c>
      <c r="K49" s="130">
        <v>8.679689483930041E-3</v>
      </c>
      <c r="L49" s="131">
        <v>6.7751967410631135E-3</v>
      </c>
    </row>
    <row r="50" spans="1:12" x14ac:dyDescent="0.3">
      <c r="A50" s="105">
        <v>29</v>
      </c>
      <c r="B50" s="106" t="s">
        <v>170</v>
      </c>
      <c r="C50" s="106"/>
      <c r="D50" s="107"/>
      <c r="E50" s="105"/>
      <c r="F50" s="115">
        <v>2.4738775122888395E-2</v>
      </c>
      <c r="G50" s="115">
        <v>2.80331216808101E-2</v>
      </c>
      <c r="H50" s="115">
        <v>4.1076522838547971E-2</v>
      </c>
      <c r="I50" s="115">
        <v>2.536575566695309E-2</v>
      </c>
      <c r="J50" s="115">
        <v>4.1446147371303806E-3</v>
      </c>
      <c r="K50" s="115">
        <v>2.5564920012834409E-2</v>
      </c>
      <c r="L50" s="115">
        <v>0.24126781492124227</v>
      </c>
    </row>
    <row r="51" spans="1:12" x14ac:dyDescent="0.3">
      <c r="A51" s="105">
        <v>30</v>
      </c>
      <c r="B51" s="106" t="s">
        <v>171</v>
      </c>
      <c r="C51" s="106"/>
      <c r="D51" s="107"/>
      <c r="E51" s="105"/>
      <c r="F51" s="115">
        <v>1.8549815122395022E-2</v>
      </c>
      <c r="G51" s="115">
        <v>2.0834234231077005E-2</v>
      </c>
      <c r="H51" s="115">
        <v>2.4334399761218952E-2</v>
      </c>
      <c r="I51" s="115">
        <v>1.7593157555751009E-2</v>
      </c>
      <c r="J51" s="115">
        <v>1.1022537563836062E-2</v>
      </c>
      <c r="K51" s="115">
        <v>1.7001767532350467E-2</v>
      </c>
      <c r="L51" s="115">
        <v>6.7482014471139912E-2</v>
      </c>
    </row>
    <row r="52" spans="1:12" x14ac:dyDescent="0.3">
      <c r="A52" s="105">
        <v>31</v>
      </c>
      <c r="B52" s="106" t="s">
        <v>181</v>
      </c>
      <c r="C52" s="106"/>
      <c r="D52" s="107"/>
      <c r="E52" s="105"/>
      <c r="F52" s="117">
        <f>SUM(F48:F51)</f>
        <v>9.7163758711699785E-2</v>
      </c>
      <c r="G52" s="117">
        <f t="shared" ref="G52:L52" si="6">SUM(G48:G51)</f>
        <v>0.10010933199843106</v>
      </c>
      <c r="H52" s="117">
        <f t="shared" si="6"/>
        <v>0.13004234779258181</v>
      </c>
      <c r="I52" s="117">
        <f t="shared" si="6"/>
        <v>0.10040012866959884</v>
      </c>
      <c r="J52" s="117">
        <f t="shared" si="6"/>
        <v>6.5402616477515982E-2</v>
      </c>
      <c r="K52" s="117">
        <f t="shared" si="6"/>
        <v>9.0088967535788725E-2</v>
      </c>
      <c r="L52" s="117">
        <f t="shared" si="6"/>
        <v>0.34645609499541352</v>
      </c>
    </row>
    <row r="53" spans="1:12" x14ac:dyDescent="0.3">
      <c r="A53" s="105"/>
    </row>
    <row r="54" spans="1:12" x14ac:dyDescent="0.3">
      <c r="A54" s="105"/>
      <c r="B54" s="112" t="s">
        <v>182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</row>
    <row r="55" spans="1:12" x14ac:dyDescent="0.3">
      <c r="A55" s="105">
        <v>32</v>
      </c>
      <c r="B55" s="106" t="s">
        <v>168</v>
      </c>
      <c r="C55" s="106"/>
      <c r="D55" s="106"/>
      <c r="E55" s="105"/>
      <c r="F55" s="113">
        <f>SUM(G55:Q55)</f>
        <v>244710268.73927695</v>
      </c>
      <c r="G55" s="113">
        <v>109568017.72162718</v>
      </c>
      <c r="H55" s="113">
        <v>26754233.230652206</v>
      </c>
      <c r="I55" s="113">
        <v>57827632.764633849</v>
      </c>
      <c r="J55" s="113">
        <v>44165343.600465573</v>
      </c>
      <c r="K55" s="113">
        <v>5801787.8942887271</v>
      </c>
      <c r="L55" s="113">
        <v>593253.52760942886</v>
      </c>
    </row>
    <row r="56" spans="1:12" x14ac:dyDescent="0.3">
      <c r="A56" s="105">
        <v>33</v>
      </c>
      <c r="B56" s="106" t="s">
        <v>169</v>
      </c>
      <c r="C56" s="106"/>
      <c r="D56" s="107"/>
      <c r="E56" s="105"/>
      <c r="F56" s="113">
        <f>SUM(G56:Q56)</f>
        <v>57284487.928699329</v>
      </c>
      <c r="G56" s="113">
        <v>25648894.183649186</v>
      </c>
      <c r="H56" s="113">
        <v>6262927.0052242549</v>
      </c>
      <c r="I56" s="113">
        <v>13536932.25918653</v>
      </c>
      <c r="J56" s="113">
        <v>10338712.410320908</v>
      </c>
      <c r="K56" s="113">
        <v>1358146.7190057172</v>
      </c>
      <c r="L56" s="113">
        <v>138875.35131273401</v>
      </c>
    </row>
    <row r="57" spans="1:12" x14ac:dyDescent="0.3">
      <c r="A57" s="105">
        <v>34</v>
      </c>
      <c r="B57" s="106" t="s">
        <v>170</v>
      </c>
      <c r="C57" s="106"/>
      <c r="D57" s="107"/>
      <c r="E57" s="105"/>
      <c r="F57" s="113">
        <f>SUM(G57:Q57)</f>
        <v>140813500.69508213</v>
      </c>
      <c r="G57" s="113">
        <v>80570378.468411922</v>
      </c>
      <c r="H57" s="113">
        <v>18302896.698902652</v>
      </c>
      <c r="I57" s="113">
        <v>28590774.100869097</v>
      </c>
      <c r="J57" s="113">
        <v>4387452.7010706132</v>
      </c>
      <c r="K57" s="113">
        <v>3986727.3756720531</v>
      </c>
      <c r="L57" s="113">
        <v>4975271.3501557922</v>
      </c>
    </row>
    <row r="58" spans="1:12" x14ac:dyDescent="0.3">
      <c r="A58" s="105">
        <v>35</v>
      </c>
      <c r="B58" s="106" t="s">
        <v>171</v>
      </c>
      <c r="C58" s="106"/>
      <c r="D58" s="107"/>
      <c r="E58" s="105"/>
      <c r="F58" s="113">
        <f>SUM(G58:Q58)</f>
        <v>104985742.6369416</v>
      </c>
      <c r="G58" s="113">
        <v>54861301.862587996</v>
      </c>
      <c r="H58" s="113">
        <v>12460165.494191281</v>
      </c>
      <c r="I58" s="113">
        <v>21802889.497554343</v>
      </c>
      <c r="J58" s="113">
        <v>11967568.985240672</v>
      </c>
      <c r="K58" s="113">
        <v>2563160.4638425643</v>
      </c>
      <c r="L58" s="113">
        <v>1330656.3335247312</v>
      </c>
    </row>
    <row r="59" spans="1:12" x14ac:dyDescent="0.3">
      <c r="A59" s="105">
        <v>36</v>
      </c>
      <c r="B59" s="106" t="s">
        <v>183</v>
      </c>
      <c r="C59" s="106"/>
      <c r="D59" s="107"/>
      <c r="E59" s="105"/>
      <c r="F59" s="114">
        <f>SUM(F55:F58)</f>
        <v>547794000</v>
      </c>
      <c r="G59" s="114">
        <f>SUM(G55:G58)</f>
        <v>270648592.23627627</v>
      </c>
      <c r="H59" s="114">
        <f t="shared" ref="H59:L59" si="7">SUM(H55:H58)</f>
        <v>63780222.428970389</v>
      </c>
      <c r="I59" s="114">
        <f t="shared" si="7"/>
        <v>121758228.62224384</v>
      </c>
      <c r="J59" s="114">
        <f t="shared" si="7"/>
        <v>70859077.697097763</v>
      </c>
      <c r="K59" s="114">
        <f t="shared" si="7"/>
        <v>13709822.452809062</v>
      </c>
      <c r="L59" s="114">
        <f t="shared" si="7"/>
        <v>7038056.5626026858</v>
      </c>
    </row>
    <row r="60" spans="1:12" x14ac:dyDescent="0.3">
      <c r="A60" s="105"/>
    </row>
    <row r="61" spans="1:12" x14ac:dyDescent="0.3">
      <c r="A61" s="105"/>
      <c r="B61" s="106" t="s">
        <v>173</v>
      </c>
      <c r="C61" s="106"/>
      <c r="D61" s="107"/>
      <c r="E61" s="105"/>
      <c r="F61" s="113"/>
      <c r="G61" s="113"/>
      <c r="H61" s="113"/>
      <c r="I61" s="113"/>
      <c r="J61" s="113"/>
      <c r="K61" s="113"/>
      <c r="L61" s="113"/>
    </row>
    <row r="62" spans="1:12" x14ac:dyDescent="0.3">
      <c r="A62" s="105">
        <v>37</v>
      </c>
      <c r="B62" s="106" t="s">
        <v>168</v>
      </c>
      <c r="C62" s="106"/>
      <c r="D62" s="107"/>
      <c r="E62" s="105"/>
      <c r="F62" s="115">
        <v>4.3404946943667845E-2</v>
      </c>
      <c r="G62" s="115">
        <v>4.6139658698962492E-2</v>
      </c>
      <c r="H62" s="115">
        <v>4.3200348945866753E-2</v>
      </c>
      <c r="I62" s="115">
        <v>4.2336508529627649E-2</v>
      </c>
      <c r="J62" s="115">
        <v>3.9661252630769799E-2</v>
      </c>
      <c r="K62" s="115">
        <v>3.9786639358918262E-2</v>
      </c>
      <c r="L62" s="115">
        <v>3.1995065460432216E-2</v>
      </c>
    </row>
    <row r="63" spans="1:12" x14ac:dyDescent="0.3">
      <c r="A63" s="105">
        <v>38</v>
      </c>
      <c r="B63" s="106" t="s">
        <v>169</v>
      </c>
      <c r="C63" s="106"/>
      <c r="D63" s="107"/>
      <c r="E63" s="105"/>
      <c r="F63" s="115">
        <v>1.0160710345545436E-2</v>
      </c>
      <c r="G63" s="115">
        <v>1.0800881938432524E-2</v>
      </c>
      <c r="H63" s="115">
        <v>1.0112815781922689E-2</v>
      </c>
      <c r="I63" s="115">
        <v>9.910598457119309E-3</v>
      </c>
      <c r="J63" s="115">
        <v>9.2843449491082398E-3</v>
      </c>
      <c r="K63" s="115">
        <v>9.3136968620951537E-3</v>
      </c>
      <c r="L63" s="115">
        <v>7.4897590141541131E-3</v>
      </c>
    </row>
    <row r="64" spans="1:12" x14ac:dyDescent="0.3">
      <c r="A64" s="105">
        <v>39</v>
      </c>
      <c r="B64" s="106" t="s">
        <v>170</v>
      </c>
      <c r="C64" s="106"/>
      <c r="D64" s="107"/>
      <c r="E64" s="105"/>
      <c r="F64" s="115">
        <v>2.4976485695147183E-2</v>
      </c>
      <c r="G64" s="115">
        <v>3.3928602899648726E-2</v>
      </c>
      <c r="H64" s="115">
        <v>2.9553884699145685E-2</v>
      </c>
      <c r="I64" s="115">
        <v>2.0931749990817147E-2</v>
      </c>
      <c r="J64" s="115">
        <v>3.9400094236078931E-3</v>
      </c>
      <c r="K64" s="115">
        <v>2.7339586901192037E-2</v>
      </c>
      <c r="L64" s="115">
        <v>0.26832395447035107</v>
      </c>
    </row>
    <row r="65" spans="1:12" x14ac:dyDescent="0.3">
      <c r="A65" s="105">
        <v>40</v>
      </c>
      <c r="B65" s="106" t="s">
        <v>171</v>
      </c>
      <c r="C65" s="106"/>
      <c r="D65" s="107"/>
      <c r="E65" s="105"/>
      <c r="F65" s="115">
        <v>1.8621615727343499E-2</v>
      </c>
      <c r="G65" s="115">
        <v>2.3102377832111918E-2</v>
      </c>
      <c r="H65" s="115">
        <v>2.0119563608184541E-2</v>
      </c>
      <c r="I65" s="115">
        <v>1.5962234195902644E-2</v>
      </c>
      <c r="J65" s="115">
        <v>1.0747086702044634E-2</v>
      </c>
      <c r="K65" s="115">
        <v>1.7577261156742782E-2</v>
      </c>
      <c r="L65" s="115">
        <v>7.1764320842760451E-2</v>
      </c>
    </row>
    <row r="66" spans="1:12" x14ac:dyDescent="0.3">
      <c r="A66" s="105">
        <v>41</v>
      </c>
      <c r="B66" s="106" t="s">
        <v>184</v>
      </c>
      <c r="C66" s="106"/>
      <c r="D66" s="107"/>
      <c r="E66" s="105"/>
      <c r="F66" s="117">
        <f>SUM(F62:F65)</f>
        <v>9.7163758711703963E-2</v>
      </c>
      <c r="G66" s="117">
        <f t="shared" ref="G66:L66" si="8">SUM(G62:G65)</f>
        <v>0.11397152136915566</v>
      </c>
      <c r="H66" s="117">
        <f t="shared" si="8"/>
        <v>0.10298661303511966</v>
      </c>
      <c r="I66" s="117">
        <f t="shared" si="8"/>
        <v>8.9141091173466747E-2</v>
      </c>
      <c r="J66" s="117">
        <f t="shared" si="8"/>
        <v>6.3632693705530569E-2</v>
      </c>
      <c r="K66" s="117">
        <f t="shared" si="8"/>
        <v>9.4017184278948243E-2</v>
      </c>
      <c r="L66" s="117">
        <f t="shared" si="8"/>
        <v>0.37957309978769788</v>
      </c>
    </row>
    <row r="67" spans="1:12" x14ac:dyDescent="0.3">
      <c r="A67" s="105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</row>
    <row r="68" spans="1:12" x14ac:dyDescent="0.3">
      <c r="A68" s="105">
        <v>42</v>
      </c>
      <c r="B68" s="112" t="s">
        <v>185</v>
      </c>
      <c r="C68" s="106"/>
      <c r="D68" s="106"/>
      <c r="E68" s="106"/>
      <c r="F68" s="118">
        <f>F45/F59</f>
        <v>1</v>
      </c>
      <c r="G68" s="118">
        <f t="shared" ref="G68:L68" si="9">G45/G59</f>
        <v>0.87837146329016047</v>
      </c>
      <c r="H68" s="118">
        <f t="shared" si="9"/>
        <v>1.2627111811924121</v>
      </c>
      <c r="I68" s="118">
        <f t="shared" si="9"/>
        <v>1.1263058074330974</v>
      </c>
      <c r="J68" s="118">
        <f t="shared" si="9"/>
        <v>1.0278146762130798</v>
      </c>
      <c r="K68" s="118">
        <f t="shared" si="9"/>
        <v>0.95821809839034833</v>
      </c>
      <c r="L68" s="118">
        <f t="shared" si="9"/>
        <v>0.91275197106747774</v>
      </c>
    </row>
    <row r="69" spans="1:12" x14ac:dyDescent="0.3">
      <c r="A69" s="105"/>
      <c r="B69" s="112"/>
      <c r="C69" s="106"/>
      <c r="D69" s="106"/>
      <c r="E69" s="106"/>
      <c r="F69" s="118"/>
      <c r="G69" s="118"/>
      <c r="H69" s="118"/>
      <c r="I69" s="118"/>
      <c r="J69" s="118"/>
      <c r="K69" s="118"/>
      <c r="L69" s="118"/>
    </row>
    <row r="70" spans="1:12" x14ac:dyDescent="0.3">
      <c r="A70" s="105">
        <v>43</v>
      </c>
      <c r="B70" s="112" t="s">
        <v>186</v>
      </c>
      <c r="C70" s="106"/>
      <c r="D70" s="106"/>
      <c r="E70" s="106"/>
      <c r="F70" s="132">
        <f>F14/F59</f>
        <v>0.91643756594632286</v>
      </c>
      <c r="G70" s="132">
        <f t="shared" ref="G70:L70" si="10">G14/G59</f>
        <v>0.79835626786252523</v>
      </c>
      <c r="H70" s="132">
        <f t="shared" si="10"/>
        <v>1.1768695238338589</v>
      </c>
      <c r="I70" s="132">
        <f t="shared" si="10"/>
        <v>1.032184858650615</v>
      </c>
      <c r="J70" s="132">
        <f t="shared" si="10"/>
        <v>0.94192589247790459</v>
      </c>
      <c r="K70" s="132">
        <f t="shared" si="10"/>
        <v>0.87812953387542081</v>
      </c>
      <c r="L70" s="132">
        <f t="shared" si="10"/>
        <v>0.91275197106747785</v>
      </c>
    </row>
    <row r="71" spans="1:12" x14ac:dyDescent="0.3">
      <c r="A71" s="105"/>
      <c r="B71" s="112"/>
      <c r="C71" s="106"/>
      <c r="D71" s="106"/>
      <c r="E71" s="106"/>
      <c r="F71" s="132"/>
      <c r="G71" s="132"/>
      <c r="H71" s="132"/>
      <c r="I71" s="132"/>
      <c r="J71" s="132"/>
      <c r="K71" s="132"/>
      <c r="L71" s="132"/>
    </row>
    <row r="72" spans="1:12" x14ac:dyDescent="0.3">
      <c r="A72" s="105">
        <v>44</v>
      </c>
      <c r="B72" s="112" t="s">
        <v>187</v>
      </c>
      <c r="C72" s="106"/>
      <c r="D72" s="106"/>
      <c r="E72" s="106"/>
      <c r="F72" s="133">
        <f>SUM(G72:L72)</f>
        <v>45775000</v>
      </c>
      <c r="G72" s="133">
        <f>ROUND(G59-G14,-3)</f>
        <v>54575000</v>
      </c>
      <c r="H72" s="133">
        <f t="shared" ref="H72:I72" si="11">ROUND(H59-H14,-3)</f>
        <v>-11281000</v>
      </c>
      <c r="I72" s="133">
        <f t="shared" si="11"/>
        <v>-3919000</v>
      </c>
      <c r="J72" s="133">
        <f>ROUND(J59-J14,-3)</f>
        <v>4115000</v>
      </c>
      <c r="K72" s="133">
        <f>ROUND(K59-K14,-3)</f>
        <v>1671000</v>
      </c>
      <c r="L72" s="133">
        <f t="shared" ref="L72" si="12">ROUND(L59-L14,-3)</f>
        <v>614000</v>
      </c>
    </row>
    <row r="74" spans="1:12" x14ac:dyDescent="0.3">
      <c r="A74" s="111" t="s">
        <v>188</v>
      </c>
      <c r="B74" s="106"/>
      <c r="C74" s="106"/>
      <c r="D74" s="107"/>
      <c r="E74" s="134"/>
      <c r="F74" s="113"/>
      <c r="G74" s="113"/>
      <c r="H74" s="113"/>
      <c r="L74" s="135" t="s">
        <v>189</v>
      </c>
    </row>
    <row r="75" spans="1:12" ht="15.6" x14ac:dyDescent="0.3">
      <c r="A75" s="38" t="s">
        <v>190</v>
      </c>
    </row>
  </sheetData>
  <printOptions horizontalCentered="1"/>
  <pageMargins left="0.7" right="0.7" top="0.31" bottom="0.46" header="0.3" footer="0.3"/>
  <pageSetup scale="67" orientation="portrait" r:id="rId1"/>
  <headerFooter scaleWithDoc="0">
    <oddFooter>&amp;L&amp;A&amp;C&amp;F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30" sqref="B30"/>
    </sheetView>
  </sheetViews>
  <sheetFormatPr defaultRowHeight="14.4" x14ac:dyDescent="0.3"/>
  <cols>
    <col min="1" max="1" width="20" customWidth="1"/>
    <col min="2" max="3" width="16.6640625" customWidth="1"/>
    <col min="4" max="4" width="15.44140625" customWidth="1"/>
    <col min="5" max="5" width="16.33203125" customWidth="1"/>
    <col min="6" max="6" width="16.6640625" customWidth="1"/>
    <col min="7" max="7" width="15.44140625" customWidth="1"/>
    <col min="8" max="9" width="16.33203125" customWidth="1"/>
    <col min="10" max="10" width="16.77734375" customWidth="1"/>
    <col min="11" max="11" width="15.88671875" customWidth="1"/>
  </cols>
  <sheetData>
    <row r="1" spans="1:5" x14ac:dyDescent="0.3">
      <c r="A1" s="136" t="s">
        <v>143</v>
      </c>
      <c r="B1" s="136"/>
      <c r="C1" s="136"/>
      <c r="D1" s="136"/>
      <c r="E1" s="137"/>
    </row>
    <row r="2" spans="1:5" x14ac:dyDescent="0.3">
      <c r="A2" s="138" t="s">
        <v>194</v>
      </c>
      <c r="B2" s="138"/>
      <c r="C2" s="138"/>
      <c r="D2" s="138"/>
      <c r="E2" s="138"/>
    </row>
    <row r="3" spans="1:5" x14ac:dyDescent="0.3">
      <c r="A3" s="139" t="s">
        <v>195</v>
      </c>
      <c r="B3" s="139"/>
      <c r="C3" s="139"/>
      <c r="D3" s="139"/>
      <c r="E3" s="139"/>
    </row>
    <row r="4" spans="1:5" x14ac:dyDescent="0.3">
      <c r="A4" s="136" t="s">
        <v>196</v>
      </c>
      <c r="B4" s="136"/>
      <c r="C4" s="136"/>
      <c r="D4" s="136"/>
      <c r="E4" s="137"/>
    </row>
    <row r="5" spans="1:5" x14ac:dyDescent="0.3">
      <c r="A5" s="139" t="str">
        <f>'Page 1 Decoupling Base'!A4:K4</f>
        <v>Washington Docket No. UE-190334  2018 Test Year At Proposed Rates</v>
      </c>
      <c r="B5" s="139"/>
      <c r="C5" s="139"/>
      <c r="D5" s="139"/>
      <c r="E5" s="139"/>
    </row>
    <row r="7" spans="1:5" x14ac:dyDescent="0.3">
      <c r="A7" s="140"/>
      <c r="B7" s="140"/>
      <c r="C7" s="140"/>
      <c r="D7" s="140"/>
      <c r="E7" s="141"/>
    </row>
    <row r="8" spans="1:5" x14ac:dyDescent="0.3">
      <c r="A8" s="142" t="s">
        <v>197</v>
      </c>
      <c r="B8" s="142"/>
      <c r="C8" s="142"/>
      <c r="D8" s="142"/>
      <c r="E8" s="143"/>
    </row>
    <row r="9" spans="1:5" x14ac:dyDescent="0.3">
      <c r="A9" s="144" t="s">
        <v>198</v>
      </c>
      <c r="B9" s="142"/>
      <c r="C9" s="144" t="s">
        <v>160</v>
      </c>
      <c r="D9" s="145"/>
      <c r="E9" s="146" t="s">
        <v>199</v>
      </c>
    </row>
    <row r="10" spans="1:5" x14ac:dyDescent="0.3">
      <c r="A10" s="140"/>
      <c r="B10" s="147"/>
      <c r="C10" s="147"/>
      <c r="D10" s="140"/>
      <c r="E10" s="141"/>
    </row>
    <row r="11" spans="1:5" x14ac:dyDescent="0.3">
      <c r="A11" s="147">
        <v>1</v>
      </c>
      <c r="B11" s="147"/>
      <c r="C11" s="142" t="s">
        <v>72</v>
      </c>
      <c r="D11" s="140"/>
      <c r="E11" s="148">
        <v>1</v>
      </c>
    </row>
    <row r="12" spans="1:5" x14ac:dyDescent="0.3">
      <c r="A12" s="147"/>
      <c r="B12" s="147"/>
      <c r="C12" s="147"/>
      <c r="D12" s="140"/>
      <c r="E12" s="148"/>
    </row>
    <row r="13" spans="1:5" x14ac:dyDescent="0.3">
      <c r="A13" s="147"/>
      <c r="B13" s="147"/>
      <c r="C13" s="149" t="s">
        <v>200</v>
      </c>
      <c r="D13" s="150"/>
      <c r="E13" s="148"/>
    </row>
    <row r="14" spans="1:5" x14ac:dyDescent="0.3">
      <c r="A14" s="147">
        <v>2</v>
      </c>
      <c r="B14" s="147"/>
      <c r="C14" s="151" t="s">
        <v>201</v>
      </c>
      <c r="D14" s="150"/>
      <c r="E14" s="150">
        <v>3.7820000000000002E-3</v>
      </c>
    </row>
    <row r="15" spans="1:5" x14ac:dyDescent="0.3">
      <c r="A15" s="147"/>
      <c r="B15" s="147"/>
      <c r="C15" s="151"/>
      <c r="D15" s="150"/>
      <c r="E15" s="150"/>
    </row>
    <row r="16" spans="1:5" x14ac:dyDescent="0.3">
      <c r="A16" s="147">
        <v>3</v>
      </c>
      <c r="B16" s="147"/>
      <c r="C16" s="151" t="s">
        <v>202</v>
      </c>
      <c r="D16" s="150"/>
      <c r="E16" s="150">
        <v>2E-3</v>
      </c>
    </row>
    <row r="17" spans="1:5" x14ac:dyDescent="0.3">
      <c r="A17" s="147"/>
      <c r="B17" s="147"/>
      <c r="C17" s="151"/>
      <c r="D17" s="150"/>
      <c r="E17" s="150"/>
    </row>
    <row r="18" spans="1:5" x14ac:dyDescent="0.3">
      <c r="A18" s="147">
        <v>4</v>
      </c>
      <c r="B18" s="147"/>
      <c r="C18" s="151" t="s">
        <v>203</v>
      </c>
      <c r="D18" s="150"/>
      <c r="E18" s="150">
        <v>3.8587000000000003E-2</v>
      </c>
    </row>
    <row r="19" spans="1:5" x14ac:dyDescent="0.3">
      <c r="A19" s="147"/>
      <c r="B19" s="147"/>
      <c r="C19" s="151"/>
      <c r="D19" s="150"/>
      <c r="E19" s="150"/>
    </row>
    <row r="20" spans="1:5" x14ac:dyDescent="0.3">
      <c r="A20" s="147">
        <v>6</v>
      </c>
      <c r="B20" s="147"/>
      <c r="C20" s="151" t="s">
        <v>204</v>
      </c>
      <c r="D20" s="150"/>
      <c r="E20" s="152">
        <f>SUM(E14:E18)</f>
        <v>4.4369000000000006E-2</v>
      </c>
    </row>
    <row r="21" spans="1:5" x14ac:dyDescent="0.3">
      <c r="A21" s="140"/>
      <c r="B21" s="147"/>
      <c r="C21" s="151"/>
      <c r="D21" s="150"/>
      <c r="E21" s="153"/>
    </row>
    <row r="22" spans="1:5" x14ac:dyDescent="0.3">
      <c r="A22" s="147">
        <v>7</v>
      </c>
      <c r="B22" s="147"/>
      <c r="C22" s="151" t="s">
        <v>205</v>
      </c>
      <c r="D22" s="150"/>
      <c r="E22" s="153">
        <f>E11-E20</f>
        <v>0.95563100000000001</v>
      </c>
    </row>
    <row r="23" spans="1:5" x14ac:dyDescent="0.3">
      <c r="A23" s="140"/>
      <c r="B23" s="147"/>
      <c r="C23" s="151"/>
      <c r="D23" s="150"/>
      <c r="E23" s="153"/>
    </row>
    <row r="24" spans="1:5" x14ac:dyDescent="0.3">
      <c r="A24" s="147">
        <v>8</v>
      </c>
      <c r="B24" s="147"/>
      <c r="C24" s="151" t="s">
        <v>206</v>
      </c>
      <c r="D24" s="154"/>
      <c r="E24" s="155">
        <f>ROUND(E22*0.21,6)</f>
        <v>0.200683</v>
      </c>
    </row>
    <row r="25" spans="1:5" x14ac:dyDescent="0.3">
      <c r="A25" s="140"/>
      <c r="B25" s="147"/>
      <c r="C25" s="151"/>
      <c r="D25" s="150"/>
      <c r="E25" s="153"/>
    </row>
    <row r="26" spans="1:5" ht="15" thickBot="1" x14ac:dyDescent="0.35">
      <c r="A26" s="147">
        <v>9</v>
      </c>
      <c r="B26" s="147"/>
      <c r="C26" s="149" t="s">
        <v>194</v>
      </c>
      <c r="D26" s="150"/>
      <c r="E26" s="156">
        <f>ROUND(E22-E24,6)</f>
        <v>0.75494799999999995</v>
      </c>
    </row>
    <row r="27" spans="1:5" ht="15" thickTop="1" x14ac:dyDescent="0.3">
      <c r="A27" s="140"/>
      <c r="B27" s="147"/>
      <c r="C27" s="147"/>
      <c r="D27" s="140"/>
      <c r="E27" s="141"/>
    </row>
    <row r="28" spans="1:5" x14ac:dyDescent="0.3">
      <c r="A28" s="140"/>
      <c r="B28" s="147"/>
      <c r="C28" s="147"/>
      <c r="D28" s="140"/>
      <c r="E28" s="141"/>
    </row>
    <row r="29" spans="1:5" x14ac:dyDescent="0.3">
      <c r="A29" s="140"/>
      <c r="B29" s="147"/>
      <c r="C29" s="157" t="s">
        <v>207</v>
      </c>
      <c r="D29" s="158"/>
      <c r="E29" s="158"/>
    </row>
    <row r="30" spans="1:5" x14ac:dyDescent="0.3">
      <c r="A30" s="140"/>
      <c r="B30" s="140"/>
      <c r="C30" s="159"/>
      <c r="D30" s="159"/>
      <c r="E30" s="159"/>
    </row>
    <row r="31" spans="1:5" x14ac:dyDescent="0.3">
      <c r="A31" s="140"/>
      <c r="B31" s="140"/>
      <c r="C31" s="160"/>
      <c r="D31" s="160"/>
      <c r="E31" s="160"/>
    </row>
    <row r="33" spans="1:1" ht="15.6" x14ac:dyDescent="0.3">
      <c r="A33" s="38" t="s">
        <v>208</v>
      </c>
    </row>
  </sheetData>
  <mergeCells count="3">
    <mergeCell ref="A2:E2"/>
    <mergeCell ref="A3:E3"/>
    <mergeCell ref="A5:E5"/>
  </mergeCells>
  <pageMargins left="0.7" right="0.7" top="0.75" bottom="0.75" header="0.3" footer="0.3"/>
  <pageSetup orientation="portrait" r:id="rId1"/>
  <headerFooter scaleWithDoc="0">
    <oddFooter>&amp;L&amp;A&amp;C&amp;F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F7F07-F340-4C47-ABF0-B8E5344872E5}"/>
</file>

<file path=customXml/itemProps2.xml><?xml version="1.0" encoding="utf-8"?>
<ds:datastoreItem xmlns:ds="http://schemas.openxmlformats.org/officeDocument/2006/customXml" ds:itemID="{EF5A6A98-B066-4006-A0C0-305312F52E92}"/>
</file>

<file path=customXml/itemProps3.xml><?xml version="1.0" encoding="utf-8"?>
<ds:datastoreItem xmlns:ds="http://schemas.openxmlformats.org/officeDocument/2006/customXml" ds:itemID="{53B9EE3B-B1B2-46BB-95EA-9E5AB2BF27C4}"/>
</file>

<file path=customXml/itemProps4.xml><?xml version="1.0" encoding="utf-8"?>
<ds:datastoreItem xmlns:ds="http://schemas.openxmlformats.org/officeDocument/2006/customXml" ds:itemID="{DA9DCE99-1182-49E0-A1D0-EEDBE29B0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Page 1 Decoupling Base</vt:lpstr>
      <vt:lpstr>Page 2 Revenue per Customer</vt:lpstr>
      <vt:lpstr>Page 3 Monthly Shaping</vt:lpstr>
      <vt:lpstr>Page 4 Cost of Service</vt:lpstr>
      <vt:lpstr>Page 5 Revenue Conversion</vt:lpstr>
      <vt:lpstr>'Page 1 Decoupling Base'!Print_Area</vt:lpstr>
      <vt:lpstr>'Page 2 Revenue per Customer'!Print_Area</vt:lpstr>
      <vt:lpstr>'Page 3 Monthly Shaping'!Print_Area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2019-08-05T22:11:33Z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