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gif" ContentType="image/gif"/>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hreadedComments/threadedComment1.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1.xml" ContentType="application/vnd.openxmlformats-officedocument.spreadsheetml.comments+xml"/>
  <Override PartName="/xl/comments10.xml" ContentType="application/vnd.openxmlformats-officedocument.spreadsheetml.comments+xml"/>
  <Override PartName="/xl/comments14.xml" ContentType="application/vnd.openxmlformats-officedocument.spreadsheetml.comments+xml"/>
  <Override PartName="/xl/comments9.xml" ContentType="application/vnd.openxmlformats-officedocument.spreadsheetml.comments+xml"/>
  <Override PartName="/xl/comments15.xml" ContentType="application/vnd.openxmlformats-officedocument.spreadsheetml.comments+xml"/>
  <Override PartName="/xl/comments12.xml" ContentType="application/vnd.openxmlformats-officedocument.spreadsheetml.comments+xml"/>
  <Override PartName="/xl/comments16.xml" ContentType="application/vnd.openxmlformats-officedocument.spreadsheetml.comments+xml"/>
  <Override PartName="/xl/comments1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hidePivotFieldList="1" defaultThemeVersion="124226"/>
  <mc:AlternateContent xmlns:mc="http://schemas.openxmlformats.org/markup-compatibility/2006">
    <mc:Choice Requires="x15">
      <x15ac:absPath xmlns:x15ac="http://schemas.microsoft.com/office/spreadsheetml/2010/11/ac" url="https://stateofwa-my.sharepoint.com/personal/alexis_dunkin_utc_wa_gov/Documents/Local Computer Files/Downloads/"/>
    </mc:Choice>
  </mc:AlternateContent>
  <xr:revisionPtr revIDLastSave="0" documentId="8_{51D737B0-7269-4239-86E8-6707750D7B1C}" xr6:coauthVersionLast="47" xr6:coauthVersionMax="47" xr10:uidLastSave="{00000000-0000-0000-0000-000000000000}"/>
  <bookViews>
    <workbookView xWindow="1170" yWindow="1170" windowWidth="21600" windowHeight="12735" tabRatio="843" xr2:uid="{00000000-000D-0000-FFFF-FFFF00000000}"/>
  </bookViews>
  <sheets>
    <sheet name="Adjustment" sheetId="65" r:id="rId1"/>
    <sheet name="Revenue Requirement Reductions" sheetId="64" r:id="rId2"/>
    <sheet name="Updates" sheetId="63" r:id="rId3"/>
    <sheet name="Summary_RealizationSchedule" sheetId="11" r:id="rId4"/>
    <sheet name="Eliminate Regular Meter Reading" sheetId="3" r:id="rId5"/>
    <sheet name="Reduce Special Meter Reading" sheetId="6" r:id="rId6"/>
    <sheet name="Net Metering" sheetId="9" r:id="rId7"/>
    <sheet name="Customer Meter Base Repairs" sheetId="61" r:id="rId8"/>
    <sheet name="Natural Gas Meter Module Refres" sheetId="55" r:id="rId9"/>
    <sheet name="Meter Salvage Value" sheetId="7" r:id="rId10"/>
    <sheet name="Local Economy Jobs" sheetId="13" r:id="rId11"/>
    <sheet name="Open Close Transfer" sheetId="35" r:id="rId12"/>
    <sheet name="Credit Collections Connections" sheetId="34" r:id="rId13"/>
    <sheet name="After-Hours Fees" sheetId="25" r:id="rId14"/>
    <sheet name="Earlier Outage Notification" sheetId="20" r:id="rId15"/>
    <sheet name="More Rapid Restoration" sheetId="60" r:id="rId16"/>
    <sheet name="Reduced Customer Calls" sheetId="19" r:id="rId17"/>
    <sheet name="Avoided Single Lights Out" sheetId="29" r:id="rId18"/>
    <sheet name="Reduced Major Storms Cost" sheetId="32" r:id="rId19"/>
    <sheet name="Conservation Voltage Reduction" sheetId="37" r:id="rId20"/>
    <sheet name="Customer Energy Efficiency" sheetId="27" r:id="rId21"/>
    <sheet name="Behavioral Energy Efficiency " sheetId="28" r:id="rId22"/>
    <sheet name="Grid-Interactive Efficient Bldg" sheetId="62" r:id="rId23"/>
    <sheet name="Theft and Diversion" sheetId="31" r:id="rId24"/>
    <sheet name="Unbilled Usage" sheetId="36" r:id="rId25"/>
    <sheet name="Slow Failed Meters" sheetId="30" r:id="rId26"/>
    <sheet name="Stopped Meters" sheetId="18" r:id="rId27"/>
    <sheet name="Loss of Phase" sheetId="59" r:id="rId28"/>
    <sheet name="Estimated Bills" sheetId="39" r:id="rId29"/>
    <sheet name="Bill Inquiries" sheetId="43" r:id="rId30"/>
    <sheet name="Billing Analysis" sheetId="44" r:id="rId31"/>
    <sheet name="Rebilling" sheetId="45" r:id="rId32"/>
    <sheet name="Retail Load Analysis" sheetId="14" r:id="rId33"/>
    <sheet name="Meter Sampling" sheetId="15" r:id="rId34"/>
    <sheet name="ESRI_MAPINFO_SHEET" sheetId="57" state="veryHidden" r:id="rId35"/>
  </sheets>
  <externalReferences>
    <externalReference r:id="rId36"/>
    <externalReference r:id="rId37"/>
    <externalReference r:id="rId38"/>
  </externalReferences>
  <definedNames>
    <definedName name="_xlnm._FilterDatabase" localSheetId="3" hidden="1">Summary_RealizationSchedule!$A$1:$AF$55</definedName>
    <definedName name="aa" localSheetId="13">#REF!</definedName>
    <definedName name="aa" localSheetId="21">#REF!</definedName>
    <definedName name="aa" localSheetId="12">#REF!</definedName>
    <definedName name="aa" localSheetId="24">#REF!</definedName>
    <definedName name="aa">#REF!</definedName>
    <definedName name="ASSUME" localSheetId="0">#REF!</definedName>
    <definedName name="ASSUME" localSheetId="13">#REF!</definedName>
    <definedName name="ASSUME" localSheetId="21">#REF!</definedName>
    <definedName name="ASSUME" localSheetId="12">#REF!</definedName>
    <definedName name="ASSUME" localSheetId="1">#REF!</definedName>
    <definedName name="ASSUME" localSheetId="24">#REF!</definedName>
    <definedName name="ASSUME">#REF!</definedName>
    <definedName name="ASSUME2" localSheetId="13">#REF!</definedName>
    <definedName name="ASSUME2" localSheetId="21">#REF!</definedName>
    <definedName name="ASSUME2" localSheetId="12">#REF!</definedName>
    <definedName name="ASSUME2" localSheetId="24">#REF!</definedName>
    <definedName name="ASSUME2">#REF!</definedName>
    <definedName name="ASSUME3" localSheetId="13">#REF!</definedName>
    <definedName name="ASSUME3" localSheetId="21">#REF!</definedName>
    <definedName name="ASSUME3" localSheetId="12">#REF!</definedName>
    <definedName name="ASSUME3" localSheetId="24">#REF!</definedName>
    <definedName name="ASSUME3">#REF!</definedName>
    <definedName name="bb" localSheetId="13">#REF!</definedName>
    <definedName name="bb" localSheetId="21">#REF!</definedName>
    <definedName name="bb" localSheetId="12">#REF!</definedName>
    <definedName name="bb" localSheetId="24">#REF!</definedName>
    <definedName name="bb">#REF!</definedName>
    <definedName name="BILLINGS" localSheetId="0">#REF!</definedName>
    <definedName name="BILLINGS" localSheetId="13">#REF!</definedName>
    <definedName name="BILLINGS" localSheetId="21">#REF!</definedName>
    <definedName name="BILLINGS" localSheetId="12">#REF!</definedName>
    <definedName name="BILLINGS" localSheetId="1">#REF!</definedName>
    <definedName name="BILLINGS" localSheetId="24">#REF!</definedName>
    <definedName name="BILLINGS">#REF!</definedName>
    <definedName name="gotit" localSheetId="13">#REF!</definedName>
    <definedName name="gotit" localSheetId="21">#REF!</definedName>
    <definedName name="gotit" localSheetId="12">#REF!</definedName>
    <definedName name="gotit" localSheetId="24">#REF!</definedName>
    <definedName name="gotit">#REF!</definedName>
    <definedName name="OANDM" localSheetId="0">#REF!</definedName>
    <definedName name="OANDM" localSheetId="13">#REF!</definedName>
    <definedName name="OANDM" localSheetId="21">#REF!</definedName>
    <definedName name="OANDM" localSheetId="12">#REF!</definedName>
    <definedName name="OANDM" localSheetId="1">#REF!</definedName>
    <definedName name="OANDM" localSheetId="24">#REF!</definedName>
    <definedName name="OANDM">#REF!</definedName>
    <definedName name="option" localSheetId="0">[1]Decode!$B$1:$E$47</definedName>
    <definedName name="option" localSheetId="1">[1]Decode!$B$1:$E$47</definedName>
    <definedName name="option" localSheetId="24">[2]Decode!$B$1:$E$47</definedName>
    <definedName name="option">[3]Decode!$B$1:$E$47</definedName>
    <definedName name="_xlnm.Print_Area" localSheetId="0">Adjustment!$E$1:$K$17</definedName>
    <definedName name="_xlnm.Print_Area" localSheetId="1">'Revenue Requirement Reductions'!$A$1:$Q$50</definedName>
    <definedName name="qry_Step6_CombineInfo" localSheetId="13">#REF!</definedName>
    <definedName name="qry_Step6_CombineInfo" localSheetId="21">#REF!</definedName>
    <definedName name="qry_Step6_CombineInfo" localSheetId="12">#REF!</definedName>
    <definedName name="qry_Step6_CombineInfo" localSheetId="24">#REF!</definedName>
    <definedName name="qry_Step6_CombineInfo">#REF!</definedName>
    <definedName name="REVREQ" localSheetId="0">#REF!</definedName>
    <definedName name="REVREQ" localSheetId="13">#REF!</definedName>
    <definedName name="REVREQ" localSheetId="21">#REF!</definedName>
    <definedName name="REVREQ" localSheetId="12">#REF!</definedName>
    <definedName name="REVREQ" localSheetId="1">#REF!</definedName>
    <definedName name="REVREQ" localSheetId="24">#REF!</definedName>
    <definedName name="REVREQ">#REF!</definedName>
    <definedName name="SUPPL" localSheetId="0">#REF!</definedName>
    <definedName name="SUPPL" localSheetId="13">#REF!</definedName>
    <definedName name="SUPPL" localSheetId="21">#REF!</definedName>
    <definedName name="SUPPL" localSheetId="12">#REF!</definedName>
    <definedName name="SUPPL" localSheetId="1">#REF!</definedName>
    <definedName name="SUPPL" localSheetId="24">#REF!</definedName>
    <definedName name="SUPP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1" i="65" l="1"/>
  <c r="G7" i="65"/>
  <c r="F7" i="65"/>
  <c r="O55" i="64"/>
  <c r="F14" i="65"/>
  <c r="F9" i="65"/>
  <c r="L55" i="64"/>
  <c r="L54" i="64"/>
  <c r="S54" i="64"/>
  <c r="S55" i="64" s="1"/>
  <c r="F5" i="65"/>
  <c r="F4" i="65"/>
  <c r="I41" i="64" l="1"/>
  <c r="J26" i="64"/>
  <c r="K26" i="64"/>
  <c r="L26" i="64"/>
  <c r="M26" i="64"/>
  <c r="I26" i="64"/>
  <c r="O19" i="64"/>
  <c r="P19" i="64"/>
  <c r="Q19" i="64"/>
  <c r="R19" i="64"/>
  <c r="S19" i="64"/>
  <c r="T19" i="64"/>
  <c r="U19" i="64"/>
  <c r="V19" i="64"/>
  <c r="W19" i="64"/>
  <c r="X19" i="64"/>
  <c r="Y19" i="64"/>
  <c r="Z19" i="64"/>
  <c r="AA19" i="64"/>
  <c r="AB19" i="64"/>
  <c r="AC19" i="64"/>
  <c r="AD19" i="64"/>
  <c r="O20" i="64"/>
  <c r="P20" i="64"/>
  <c r="Q20" i="64"/>
  <c r="R20" i="64"/>
  <c r="S20" i="64"/>
  <c r="T20" i="64"/>
  <c r="U20" i="64"/>
  <c r="V20" i="64"/>
  <c r="W20" i="64"/>
  <c r="X20" i="64"/>
  <c r="Y20" i="64"/>
  <c r="Z20" i="64"/>
  <c r="AA20" i="64"/>
  <c r="AB20" i="64"/>
  <c r="AC20" i="64"/>
  <c r="AD20" i="64"/>
  <c r="O21" i="64"/>
  <c r="P21" i="64"/>
  <c r="Q21" i="64"/>
  <c r="R21" i="64"/>
  <c r="S21" i="64"/>
  <c r="T21" i="64"/>
  <c r="U21" i="64"/>
  <c r="V21" i="64"/>
  <c r="W21" i="64"/>
  <c r="X21" i="64"/>
  <c r="Y21" i="64"/>
  <c r="Z21" i="64"/>
  <c r="AA21" i="64"/>
  <c r="AB21" i="64"/>
  <c r="AC21" i="64"/>
  <c r="AD21" i="64"/>
  <c r="J19" i="64"/>
  <c r="K19" i="64"/>
  <c r="L19" i="64"/>
  <c r="M19" i="64"/>
  <c r="N19" i="64"/>
  <c r="J20" i="64"/>
  <c r="K20" i="64"/>
  <c r="L20" i="64"/>
  <c r="M20" i="64"/>
  <c r="N20" i="64"/>
  <c r="J21" i="64"/>
  <c r="K21" i="64"/>
  <c r="L21" i="64"/>
  <c r="M21" i="64"/>
  <c r="N21" i="64"/>
  <c r="I21" i="64"/>
  <c r="I20" i="64"/>
  <c r="AD22" i="64" l="1"/>
  <c r="AC22" i="64"/>
  <c r="AB22" i="64"/>
  <c r="AA22" i="64"/>
  <c r="Z22" i="64"/>
  <c r="Y22" i="64"/>
  <c r="X22" i="64"/>
  <c r="W22" i="64"/>
  <c r="V22" i="64"/>
  <c r="U22" i="64"/>
  <c r="T22" i="64"/>
  <c r="S22" i="64"/>
  <c r="R22" i="64"/>
  <c r="Q22" i="64"/>
  <c r="P22" i="64"/>
  <c r="O22" i="64"/>
  <c r="N22" i="64"/>
  <c r="M22" i="64"/>
  <c r="L22" i="64"/>
  <c r="K22" i="64"/>
  <c r="J22" i="64"/>
  <c r="H8" i="11" l="1"/>
  <c r="N44" i="11" l="1"/>
  <c r="O33" i="64" s="1"/>
  <c r="O44" i="11"/>
  <c r="P33" i="64" s="1"/>
  <c r="P44" i="11"/>
  <c r="Q33" i="64" s="1"/>
  <c r="Q44" i="11"/>
  <c r="R33" i="64" s="1"/>
  <c r="R44" i="11"/>
  <c r="S33" i="64" s="1"/>
  <c r="S44" i="11"/>
  <c r="T33" i="64" s="1"/>
  <c r="T44" i="11"/>
  <c r="U33" i="64" s="1"/>
  <c r="U44" i="11"/>
  <c r="V33" i="64" s="1"/>
  <c r="V44" i="11"/>
  <c r="W33" i="64" s="1"/>
  <c r="W44" i="11"/>
  <c r="X33" i="64" s="1"/>
  <c r="X44" i="11"/>
  <c r="Y33" i="64" s="1"/>
  <c r="Y44" i="11"/>
  <c r="Z33" i="64" s="1"/>
  <c r="Z44" i="11"/>
  <c r="AA33" i="64" s="1"/>
  <c r="AA44" i="11"/>
  <c r="AB33" i="64" s="1"/>
  <c r="AB44" i="11"/>
  <c r="AC33" i="64" s="1"/>
  <c r="AC44" i="11"/>
  <c r="AD33" i="64" s="1"/>
  <c r="M45" i="11"/>
  <c r="N34" i="64" s="1"/>
  <c r="N45" i="11"/>
  <c r="O34" i="64" s="1"/>
  <c r="O45" i="11"/>
  <c r="P34" i="64" s="1"/>
  <c r="P45" i="11"/>
  <c r="Q34" i="64" s="1"/>
  <c r="Q45" i="11"/>
  <c r="R34" i="64" s="1"/>
  <c r="R45" i="11"/>
  <c r="S34" i="64" s="1"/>
  <c r="S45" i="11"/>
  <c r="T34" i="64" s="1"/>
  <c r="T45" i="11"/>
  <c r="U34" i="64" s="1"/>
  <c r="U45" i="11"/>
  <c r="V34" i="64" s="1"/>
  <c r="V45" i="11"/>
  <c r="W34" i="64" s="1"/>
  <c r="W45" i="11"/>
  <c r="X34" i="64" s="1"/>
  <c r="X45" i="11"/>
  <c r="Y34" i="64" s="1"/>
  <c r="Y45" i="11"/>
  <c r="Z34" i="64" s="1"/>
  <c r="Z45" i="11"/>
  <c r="AA34" i="64" s="1"/>
  <c r="AA45" i="11"/>
  <c r="AB34" i="64" s="1"/>
  <c r="AB45" i="11"/>
  <c r="AC34" i="64" s="1"/>
  <c r="AC45" i="11"/>
  <c r="AD34" i="64" s="1"/>
  <c r="M46" i="11"/>
  <c r="N35" i="64" s="1"/>
  <c r="N46" i="11"/>
  <c r="O35" i="64" s="1"/>
  <c r="O46" i="11"/>
  <c r="P35" i="64" s="1"/>
  <c r="P46" i="11"/>
  <c r="Q35" i="64" s="1"/>
  <c r="Q46" i="11"/>
  <c r="R35" i="64" s="1"/>
  <c r="R46" i="11"/>
  <c r="S35" i="64" s="1"/>
  <c r="S46" i="11"/>
  <c r="T35" i="64" s="1"/>
  <c r="T46" i="11"/>
  <c r="U35" i="64" s="1"/>
  <c r="U46" i="11"/>
  <c r="V35" i="64" s="1"/>
  <c r="V46" i="11"/>
  <c r="W35" i="64" s="1"/>
  <c r="W46" i="11"/>
  <c r="X35" i="64" s="1"/>
  <c r="X46" i="11"/>
  <c r="Y35" i="64" s="1"/>
  <c r="Y46" i="11"/>
  <c r="Z35" i="64" s="1"/>
  <c r="Z46" i="11"/>
  <c r="AA35" i="64" s="1"/>
  <c r="AA46" i="11"/>
  <c r="AB35" i="64" s="1"/>
  <c r="AB46" i="11"/>
  <c r="AC35" i="64" s="1"/>
  <c r="AC46" i="11"/>
  <c r="AD35" i="64" s="1"/>
  <c r="M47" i="11"/>
  <c r="N36" i="64" s="1"/>
  <c r="N47" i="11"/>
  <c r="O36" i="64" s="1"/>
  <c r="O47" i="11"/>
  <c r="P36" i="64" s="1"/>
  <c r="P47" i="11"/>
  <c r="Q36" i="64" s="1"/>
  <c r="Q47" i="11"/>
  <c r="R36" i="64" s="1"/>
  <c r="R47" i="11"/>
  <c r="S36" i="64" s="1"/>
  <c r="S47" i="11"/>
  <c r="T36" i="64" s="1"/>
  <c r="T47" i="11"/>
  <c r="U36" i="64" s="1"/>
  <c r="U47" i="11"/>
  <c r="V36" i="64" s="1"/>
  <c r="V47" i="11"/>
  <c r="W36" i="64" s="1"/>
  <c r="W47" i="11"/>
  <c r="X36" i="64" s="1"/>
  <c r="X47" i="11"/>
  <c r="Y36" i="64" s="1"/>
  <c r="Y47" i="11"/>
  <c r="Z36" i="64" s="1"/>
  <c r="Z47" i="11"/>
  <c r="AA36" i="64" s="1"/>
  <c r="AA47" i="11"/>
  <c r="AB36" i="64" s="1"/>
  <c r="AB47" i="11"/>
  <c r="AC36" i="64" s="1"/>
  <c r="AC47" i="11"/>
  <c r="AD36" i="64" s="1"/>
  <c r="M44" i="11"/>
  <c r="N33" i="64" s="1"/>
  <c r="N38" i="11"/>
  <c r="O38" i="11"/>
  <c r="P38" i="11"/>
  <c r="Q38" i="11"/>
  <c r="R38" i="11"/>
  <c r="S38" i="11"/>
  <c r="T38" i="11"/>
  <c r="U38" i="11"/>
  <c r="V38" i="11"/>
  <c r="W38" i="11"/>
  <c r="X38" i="11"/>
  <c r="Y38" i="11"/>
  <c r="Z38" i="11"/>
  <c r="AA38" i="11"/>
  <c r="AB38" i="11"/>
  <c r="AC38" i="11"/>
  <c r="M39" i="11"/>
  <c r="N30" i="64" s="1"/>
  <c r="N39" i="11"/>
  <c r="O30" i="64" s="1"/>
  <c r="O39" i="11"/>
  <c r="P30" i="64" s="1"/>
  <c r="P39" i="11"/>
  <c r="Q30" i="64" s="1"/>
  <c r="Q39" i="11"/>
  <c r="R30" i="64" s="1"/>
  <c r="R39" i="11"/>
  <c r="S30" i="64" s="1"/>
  <c r="S39" i="11"/>
  <c r="T30" i="64" s="1"/>
  <c r="T39" i="11"/>
  <c r="U30" i="64" s="1"/>
  <c r="U39" i="11"/>
  <c r="V30" i="64" s="1"/>
  <c r="V39" i="11"/>
  <c r="W30" i="64" s="1"/>
  <c r="W39" i="11"/>
  <c r="X30" i="64" s="1"/>
  <c r="X39" i="11"/>
  <c r="Y30" i="64" s="1"/>
  <c r="Y39" i="11"/>
  <c r="Z30" i="64" s="1"/>
  <c r="Z39" i="11"/>
  <c r="AA30" i="64" s="1"/>
  <c r="AA39" i="11"/>
  <c r="AB30" i="64" s="1"/>
  <c r="AB39" i="11"/>
  <c r="AC30" i="64" s="1"/>
  <c r="AC39" i="11"/>
  <c r="AD30" i="64" s="1"/>
  <c r="M38" i="11"/>
  <c r="I7" i="55"/>
  <c r="J7" i="55" s="1"/>
  <c r="K7" i="55" s="1"/>
  <c r="L7" i="55" s="1"/>
  <c r="M7" i="55" s="1"/>
  <c r="N7" i="55" s="1"/>
  <c r="O7" i="55" s="1"/>
  <c r="P7" i="55" s="1"/>
  <c r="Q7" i="55" s="1"/>
  <c r="R7" i="55" s="1"/>
  <c r="S7" i="55" s="1"/>
  <c r="T7" i="55" s="1"/>
  <c r="U7" i="55" s="1"/>
  <c r="V7" i="55" s="1"/>
  <c r="W7" i="55" s="1"/>
  <c r="X7" i="55" s="1"/>
  <c r="Y7" i="55" s="1"/>
  <c r="Z7" i="55" s="1"/>
  <c r="I6" i="55"/>
  <c r="J6" i="55" s="1"/>
  <c r="H27" i="55"/>
  <c r="D49" i="55"/>
  <c r="D51" i="55" s="1"/>
  <c r="AD37" i="64" l="1"/>
  <c r="V37" i="64"/>
  <c r="N37" i="64"/>
  <c r="Z37" i="64"/>
  <c r="R37" i="64"/>
  <c r="K6" i="55"/>
  <c r="J9" i="55"/>
  <c r="I9" i="55"/>
  <c r="AC37" i="64"/>
  <c r="Y37" i="64"/>
  <c r="U37" i="64"/>
  <c r="Q37" i="64"/>
  <c r="AB37" i="64"/>
  <c r="X37" i="64"/>
  <c r="T37" i="64"/>
  <c r="P37" i="64"/>
  <c r="AA37" i="64"/>
  <c r="W37" i="64"/>
  <c r="S37" i="64"/>
  <c r="O37" i="64"/>
  <c r="I15" i="61"/>
  <c r="I10" i="55" l="1"/>
  <c r="I11" i="55" s="1"/>
  <c r="J10" i="55"/>
  <c r="J11" i="55" s="1"/>
  <c r="K9" i="55"/>
  <c r="L6" i="55"/>
  <c r="I8" i="11"/>
  <c r="J8" i="11"/>
  <c r="K8" i="11"/>
  <c r="L8" i="11"/>
  <c r="B16" i="61"/>
  <c r="B17" i="61"/>
  <c r="AD47" i="11"/>
  <c r="AE47" i="11"/>
  <c r="AF47" i="11"/>
  <c r="AD46" i="11"/>
  <c r="AE46" i="11"/>
  <c r="AF46" i="11"/>
  <c r="AD45" i="11"/>
  <c r="AE45" i="11"/>
  <c r="AF45" i="11"/>
  <c r="AD44" i="11"/>
  <c r="AE44" i="11"/>
  <c r="AF44" i="11"/>
  <c r="D4" i="63"/>
  <c r="C4" i="63"/>
  <c r="AD5" i="11"/>
  <c r="AE5" i="11"/>
  <c r="AF5" i="11"/>
  <c r="O6" i="11"/>
  <c r="P9" i="64" s="1"/>
  <c r="P6" i="11"/>
  <c r="Q9" i="64" s="1"/>
  <c r="Q6" i="11"/>
  <c r="R9" i="64" s="1"/>
  <c r="R6" i="11"/>
  <c r="S9" i="64" s="1"/>
  <c r="S6" i="11"/>
  <c r="T9" i="64" s="1"/>
  <c r="T6" i="11"/>
  <c r="U9" i="64" s="1"/>
  <c r="U6" i="11"/>
  <c r="V9" i="64" s="1"/>
  <c r="V6" i="11"/>
  <c r="W9" i="64" s="1"/>
  <c r="W6" i="11"/>
  <c r="X9" i="64" s="1"/>
  <c r="X6" i="11"/>
  <c r="Y9" i="64" s="1"/>
  <c r="Y6" i="11"/>
  <c r="Z9" i="64" s="1"/>
  <c r="Z6" i="11"/>
  <c r="AA9" i="64" s="1"/>
  <c r="AA6" i="11"/>
  <c r="AB9" i="64" s="1"/>
  <c r="AB6" i="11"/>
  <c r="AC9" i="64" s="1"/>
  <c r="AC6" i="11"/>
  <c r="AD9" i="64" s="1"/>
  <c r="AE6" i="11"/>
  <c r="AF6" i="11"/>
  <c r="N6" i="11"/>
  <c r="O9" i="64" s="1"/>
  <c r="L6" i="11"/>
  <c r="M9" i="64" s="1"/>
  <c r="M6" i="11"/>
  <c r="N9" i="64" s="1"/>
  <c r="I6" i="11"/>
  <c r="J9" i="64" s="1"/>
  <c r="J6" i="11"/>
  <c r="K9" i="64" s="1"/>
  <c r="K6" i="11"/>
  <c r="L9" i="64" s="1"/>
  <c r="H6" i="11"/>
  <c r="I9" i="64" s="1"/>
  <c r="F6" i="11"/>
  <c r="G9" i="64" s="1"/>
  <c r="L5" i="11"/>
  <c r="M8" i="64" s="1"/>
  <c r="K5" i="11"/>
  <c r="L8" i="64" s="1"/>
  <c r="J5" i="11"/>
  <c r="K8" i="64" s="1"/>
  <c r="I5" i="11"/>
  <c r="J8" i="64" s="1"/>
  <c r="H5" i="11"/>
  <c r="I8" i="64" s="1"/>
  <c r="Q65" i="3"/>
  <c r="N5" i="11" s="1"/>
  <c r="O8" i="64" s="1"/>
  <c r="R65" i="3"/>
  <c r="O5" i="11" s="1"/>
  <c r="P8" i="64" s="1"/>
  <c r="S65" i="3"/>
  <c r="P5" i="11" s="1"/>
  <c r="Q8" i="64" s="1"/>
  <c r="T65" i="3"/>
  <c r="Q5" i="11" s="1"/>
  <c r="R8" i="64" s="1"/>
  <c r="U65" i="3"/>
  <c r="R5" i="11" s="1"/>
  <c r="S8" i="64" s="1"/>
  <c r="V65" i="3"/>
  <c r="S5" i="11" s="1"/>
  <c r="T8" i="64" s="1"/>
  <c r="W65" i="3"/>
  <c r="T5" i="11" s="1"/>
  <c r="U8" i="64" s="1"/>
  <c r="X65" i="3"/>
  <c r="U5" i="11" s="1"/>
  <c r="V8" i="64" s="1"/>
  <c r="Y65" i="3"/>
  <c r="V5" i="11" s="1"/>
  <c r="W8" i="64" s="1"/>
  <c r="Z65" i="3"/>
  <c r="W5" i="11" s="1"/>
  <c r="X8" i="64" s="1"/>
  <c r="AA65" i="3"/>
  <c r="X5" i="11" s="1"/>
  <c r="Y8" i="64" s="1"/>
  <c r="AB65" i="3"/>
  <c r="Y5" i="11" s="1"/>
  <c r="Z8" i="64" s="1"/>
  <c r="AC65" i="3"/>
  <c r="Z5" i="11" s="1"/>
  <c r="AA8" i="64" s="1"/>
  <c r="AD65" i="3"/>
  <c r="AA5" i="11" s="1"/>
  <c r="AB8" i="64" s="1"/>
  <c r="AE65" i="3"/>
  <c r="AB5" i="11" s="1"/>
  <c r="AC8" i="64" s="1"/>
  <c r="AF65" i="3"/>
  <c r="AC5" i="11" s="1"/>
  <c r="AD8" i="64" s="1"/>
  <c r="P65" i="3"/>
  <c r="M5" i="11" s="1"/>
  <c r="N8" i="64" s="1"/>
  <c r="C65" i="3"/>
  <c r="F5" i="11" s="1"/>
  <c r="D64" i="3"/>
  <c r="D63" i="3"/>
  <c r="D65" i="3" l="1"/>
  <c r="D3" i="63" s="1"/>
  <c r="D13" i="63" s="1"/>
  <c r="M6" i="55"/>
  <c r="L9" i="55"/>
  <c r="G8" i="64"/>
  <c r="K10" i="55"/>
  <c r="K11" i="55" s="1"/>
  <c r="G5" i="11"/>
  <c r="H8" i="64" s="1"/>
  <c r="F8" i="11"/>
  <c r="C20" i="61"/>
  <c r="G8" i="11"/>
  <c r="B20" i="61"/>
  <c r="C3" i="63"/>
  <c r="C13" i="63" s="1"/>
  <c r="H23" i="11"/>
  <c r="AF21" i="11"/>
  <c r="G24" i="11"/>
  <c r="H20" i="64" s="1"/>
  <c r="G25" i="11"/>
  <c r="H21" i="64" s="1"/>
  <c r="G23" i="11" l="1"/>
  <c r="H19" i="64" s="1"/>
  <c r="H22" i="64" s="1"/>
  <c r="I19" i="64"/>
  <c r="I22" i="64" s="1"/>
  <c r="L10" i="55"/>
  <c r="L11" i="55" s="1"/>
  <c r="N6" i="55"/>
  <c r="M9" i="55"/>
  <c r="F32" i="11"/>
  <c r="G26" i="64" s="1"/>
  <c r="AD32" i="11"/>
  <c r="AE32" i="11"/>
  <c r="AF32" i="11"/>
  <c r="N32" i="11"/>
  <c r="O26" i="64" s="1"/>
  <c r="O32" i="11"/>
  <c r="P26" i="64" s="1"/>
  <c r="P32" i="11"/>
  <c r="Q26" i="64" s="1"/>
  <c r="Q32" i="11"/>
  <c r="R26" i="64" s="1"/>
  <c r="R32" i="11"/>
  <c r="S26" i="64" s="1"/>
  <c r="S32" i="11"/>
  <c r="T26" i="64" s="1"/>
  <c r="T32" i="11"/>
  <c r="U26" i="64" s="1"/>
  <c r="U32" i="11"/>
  <c r="V26" i="64" s="1"/>
  <c r="V32" i="11"/>
  <c r="W26" i="64" s="1"/>
  <c r="W32" i="11"/>
  <c r="X26" i="64" s="1"/>
  <c r="X32" i="11"/>
  <c r="Y26" i="64" s="1"/>
  <c r="Y32" i="11"/>
  <c r="Z26" i="64" s="1"/>
  <c r="Z32" i="11"/>
  <c r="AA26" i="64" s="1"/>
  <c r="AA32" i="11"/>
  <c r="AB26" i="64" s="1"/>
  <c r="AB32" i="11"/>
  <c r="AC26" i="64" s="1"/>
  <c r="AC32" i="11"/>
  <c r="AD26" i="64" s="1"/>
  <c r="M32" i="11"/>
  <c r="G32" i="11" l="1"/>
  <c r="H26" i="64" s="1"/>
  <c r="N26" i="64"/>
  <c r="M10" i="55"/>
  <c r="M11" i="55" s="1"/>
  <c r="N9" i="55"/>
  <c r="O6" i="55"/>
  <c r="L21" i="11"/>
  <c r="O9" i="55" l="1"/>
  <c r="P6" i="55"/>
  <c r="N11" i="55"/>
  <c r="N10" i="55"/>
  <c r="I22" i="11"/>
  <c r="J22" i="11"/>
  <c r="L22" i="11"/>
  <c r="H22" i="11"/>
  <c r="AC29" i="11"/>
  <c r="AD25" i="64" s="1"/>
  <c r="AD27" i="64" s="1"/>
  <c r="O10" i="55" l="1"/>
  <c r="O11" i="55"/>
  <c r="Q6" i="55"/>
  <c r="P9" i="55"/>
  <c r="M22" i="11"/>
  <c r="N22" i="11"/>
  <c r="O22" i="11"/>
  <c r="P22" i="11"/>
  <c r="Q22" i="11"/>
  <c r="R22" i="11"/>
  <c r="S22" i="11"/>
  <c r="T22" i="11"/>
  <c r="U22" i="11"/>
  <c r="V22" i="11"/>
  <c r="W22" i="11"/>
  <c r="X22" i="11"/>
  <c r="Y22" i="11"/>
  <c r="Z22" i="11"/>
  <c r="AA22" i="11"/>
  <c r="AB22" i="11"/>
  <c r="AC22" i="11"/>
  <c r="AD22" i="11"/>
  <c r="AE22" i="11"/>
  <c r="AF22" i="11"/>
  <c r="M21" i="11"/>
  <c r="N21" i="11"/>
  <c r="O21" i="11"/>
  <c r="K21" i="11"/>
  <c r="P10" i="55" l="1"/>
  <c r="P11" i="55" s="1"/>
  <c r="R6" i="55"/>
  <c r="Q9" i="55"/>
  <c r="M8" i="11"/>
  <c r="Q10" i="55" l="1"/>
  <c r="Q11" i="55" s="1"/>
  <c r="R9" i="55"/>
  <c r="S6" i="55"/>
  <c r="K22" i="11"/>
  <c r="S9" i="55" l="1"/>
  <c r="T6" i="55"/>
  <c r="R10" i="55"/>
  <c r="R11" i="55" s="1"/>
  <c r="AC40" i="11"/>
  <c r="J40" i="11"/>
  <c r="K40" i="11"/>
  <c r="L40" i="11"/>
  <c r="M40" i="11"/>
  <c r="N40" i="11"/>
  <c r="O40" i="11"/>
  <c r="P40" i="11"/>
  <c r="Q40" i="11"/>
  <c r="R40" i="11"/>
  <c r="S40" i="11"/>
  <c r="T40" i="11"/>
  <c r="U40" i="11"/>
  <c r="V40" i="11"/>
  <c r="W40" i="11"/>
  <c r="X40" i="11"/>
  <c r="Y40" i="11"/>
  <c r="Z40" i="11"/>
  <c r="AA40" i="11"/>
  <c r="AB40" i="11"/>
  <c r="I40" i="11"/>
  <c r="H40" i="11"/>
  <c r="U6" i="55" l="1"/>
  <c r="T9" i="55"/>
  <c r="S10" i="55"/>
  <c r="S11" i="55" s="1"/>
  <c r="AD40" i="11"/>
  <c r="T10" i="55" l="1"/>
  <c r="T11" i="55" s="1"/>
  <c r="V6" i="55"/>
  <c r="U9" i="55"/>
  <c r="AE40" i="11"/>
  <c r="U10" i="55" l="1"/>
  <c r="U11" i="55" s="1"/>
  <c r="W6" i="55"/>
  <c r="V9" i="55"/>
  <c r="AF40" i="11"/>
  <c r="G40" i="11"/>
  <c r="F40" i="11"/>
  <c r="V10" i="55" l="1"/>
  <c r="V11" i="55" s="1"/>
  <c r="W9" i="55"/>
  <c r="X6" i="55"/>
  <c r="F22" i="11"/>
  <c r="G22" i="11"/>
  <c r="W10" i="55" l="1"/>
  <c r="W11" i="55"/>
  <c r="Y6" i="55"/>
  <c r="X9" i="55"/>
  <c r="M11" i="11"/>
  <c r="L11" i="11"/>
  <c r="K11" i="11"/>
  <c r="J11" i="11"/>
  <c r="I11" i="11"/>
  <c r="H11" i="11"/>
  <c r="X10" i="55" l="1"/>
  <c r="X11" i="55" s="1"/>
  <c r="Z6" i="55"/>
  <c r="Z9" i="55" s="1"/>
  <c r="Y9" i="55"/>
  <c r="I9" i="11"/>
  <c r="J10" i="64" s="1"/>
  <c r="J11" i="64" s="1"/>
  <c r="J9" i="11"/>
  <c r="K10" i="64" s="1"/>
  <c r="K11" i="64" s="1"/>
  <c r="AC9" i="11"/>
  <c r="AD10" i="64" s="1"/>
  <c r="AD11" i="64" s="1"/>
  <c r="AD9" i="11"/>
  <c r="AE9" i="11"/>
  <c r="AF9" i="11"/>
  <c r="H9" i="11"/>
  <c r="I10" i="64" s="1"/>
  <c r="I11" i="64" s="1"/>
  <c r="Z10" i="55" l="1"/>
  <c r="Z11" i="55" s="1"/>
  <c r="Y11" i="55"/>
  <c r="AA9" i="11" s="1"/>
  <c r="AB10" i="64" s="1"/>
  <c r="AB11" i="64" s="1"/>
  <c r="Y10" i="55"/>
  <c r="T9" i="11"/>
  <c r="U10" i="64" s="1"/>
  <c r="U11" i="64" s="1"/>
  <c r="N9" i="11"/>
  <c r="O10" i="64" s="1"/>
  <c r="O11" i="64" s="1"/>
  <c r="M9" i="11"/>
  <c r="N10" i="64" s="1"/>
  <c r="N11" i="64" s="1"/>
  <c r="O9" i="11"/>
  <c r="P10" i="64" s="1"/>
  <c r="P11" i="64" s="1"/>
  <c r="W9" i="11"/>
  <c r="X10" i="64" s="1"/>
  <c r="X11" i="64" s="1"/>
  <c r="P9" i="11"/>
  <c r="Q10" i="64" s="1"/>
  <c r="Q11" i="64" s="1"/>
  <c r="Q9" i="11"/>
  <c r="R10" i="64" s="1"/>
  <c r="R11" i="64" s="1"/>
  <c r="S9" i="11"/>
  <c r="T10" i="64" s="1"/>
  <c r="T11" i="64" s="1"/>
  <c r="Y9" i="11"/>
  <c r="Z10" i="64" s="1"/>
  <c r="Z11" i="64" s="1"/>
  <c r="L9" i="11"/>
  <c r="M10" i="64" s="1"/>
  <c r="M11" i="64" s="1"/>
  <c r="X9" i="11"/>
  <c r="Y10" i="64" s="1"/>
  <c r="Y11" i="64" s="1"/>
  <c r="R9" i="11"/>
  <c r="S10" i="64" s="1"/>
  <c r="S11" i="64" s="1"/>
  <c r="V9" i="11"/>
  <c r="W10" i="64" s="1"/>
  <c r="W11" i="64" s="1"/>
  <c r="Z9" i="11"/>
  <c r="AA10" i="64" s="1"/>
  <c r="AA11" i="64" s="1"/>
  <c r="U9" i="11"/>
  <c r="V10" i="64" s="1"/>
  <c r="V11" i="64" s="1"/>
  <c r="C11" i="55" l="1"/>
  <c r="F9" i="11" s="1"/>
  <c r="G10" i="64" s="1"/>
  <c r="G11" i="64" s="1"/>
  <c r="D11" i="55"/>
  <c r="G9" i="11" s="1"/>
  <c r="H10" i="64" s="1"/>
  <c r="AB9" i="11"/>
  <c r="AC10" i="64" s="1"/>
  <c r="AC11" i="64" s="1"/>
  <c r="K9" i="11"/>
  <c r="L10" i="64" s="1"/>
  <c r="L11" i="64" s="1"/>
  <c r="P21" i="11" l="1"/>
  <c r="Q21" i="11"/>
  <c r="Y21" i="11" l="1"/>
  <c r="AC21" i="11"/>
  <c r="U21" i="11"/>
  <c r="AB21" i="11"/>
  <c r="T21" i="11"/>
  <c r="AA21" i="11"/>
  <c r="S21" i="11"/>
  <c r="Z21" i="11"/>
  <c r="R21" i="11"/>
  <c r="X21" i="11"/>
  <c r="AE21" i="11"/>
  <c r="W21" i="11"/>
  <c r="AD21" i="11"/>
  <c r="V21" i="11"/>
  <c r="F29" i="11" l="1"/>
  <c r="G25" i="64" s="1"/>
  <c r="G27" i="64" s="1"/>
  <c r="K29" i="11"/>
  <c r="L25" i="64" s="1"/>
  <c r="L27" i="64" s="1"/>
  <c r="G10" i="11"/>
  <c r="I29" i="11" l="1"/>
  <c r="J25" i="64" s="1"/>
  <c r="J27" i="64" s="1"/>
  <c r="AD48" i="11" l="1"/>
  <c r="AE48" i="11"/>
  <c r="AC48" i="11"/>
  <c r="AF48" i="11"/>
  <c r="H47" i="11" l="1"/>
  <c r="I36" i="64" s="1"/>
  <c r="H44" i="11"/>
  <c r="I33" i="64" s="1"/>
  <c r="I47" i="11"/>
  <c r="J36" i="64" s="1"/>
  <c r="H45" i="11" l="1"/>
  <c r="I34" i="64" s="1"/>
  <c r="L44" i="11"/>
  <c r="M33" i="64" s="1"/>
  <c r="J44" i="11"/>
  <c r="K33" i="64" s="1"/>
  <c r="K44" i="11"/>
  <c r="L33" i="64" s="1"/>
  <c r="J47" i="11"/>
  <c r="K36" i="64" s="1"/>
  <c r="H46" i="11" l="1"/>
  <c r="I35" i="64" s="1"/>
  <c r="I37" i="64" s="1"/>
  <c r="I44" i="11"/>
  <c r="J33" i="64" s="1"/>
  <c r="I46" i="11"/>
  <c r="J35" i="64" s="1"/>
  <c r="L47" i="11"/>
  <c r="M36" i="64" s="1"/>
  <c r="F44" i="11" l="1"/>
  <c r="G33" i="64" s="1"/>
  <c r="G44" i="11"/>
  <c r="H33" i="64" s="1"/>
  <c r="H48" i="11"/>
  <c r="J45" i="11"/>
  <c r="K34" i="64" s="1"/>
  <c r="I45" i="11"/>
  <c r="J34" i="64" s="1"/>
  <c r="J37" i="64" s="1"/>
  <c r="K47" i="11"/>
  <c r="F47" i="11" l="1"/>
  <c r="G36" i="64" s="1"/>
  <c r="L36" i="64"/>
  <c r="I48" i="11"/>
  <c r="J46" i="11"/>
  <c r="K35" i="64" s="1"/>
  <c r="K37" i="64" s="1"/>
  <c r="L45" i="11"/>
  <c r="M34" i="64" s="1"/>
  <c r="K46" i="11"/>
  <c r="L35" i="64" s="1"/>
  <c r="K45" i="11"/>
  <c r="F45" i="11" l="1"/>
  <c r="G34" i="64" s="1"/>
  <c r="L34" i="64"/>
  <c r="L37" i="64" s="1"/>
  <c r="J48" i="11"/>
  <c r="K48" i="11"/>
  <c r="L46" i="11"/>
  <c r="M35" i="64" s="1"/>
  <c r="M37" i="64" s="1"/>
  <c r="L48" i="11" l="1"/>
  <c r="F46" i="11"/>
  <c r="G35" i="64" s="1"/>
  <c r="G37" i="64" s="1"/>
  <c r="M48" i="11"/>
  <c r="N48" i="11" l="1"/>
  <c r="O48" i="11" l="1"/>
  <c r="P48" i="11" l="1"/>
  <c r="Q48" i="11" l="1"/>
  <c r="R48" i="11" l="1"/>
  <c r="S48" i="11" l="1"/>
  <c r="T48" i="11" l="1"/>
  <c r="U48" i="11" l="1"/>
  <c r="V48" i="11" l="1"/>
  <c r="W48" i="11" l="1"/>
  <c r="X48" i="11" l="1"/>
  <c r="Y48" i="11" l="1"/>
  <c r="G47" i="11"/>
  <c r="H36" i="64" s="1"/>
  <c r="Z48" i="11" l="1"/>
  <c r="AA48" i="11" l="1"/>
  <c r="G45" i="11" l="1"/>
  <c r="H34" i="64" s="1"/>
  <c r="G46" i="11"/>
  <c r="H35" i="64" s="1"/>
  <c r="H37" i="64" l="1"/>
  <c r="F48" i="11"/>
  <c r="AB48" i="11"/>
  <c r="G48" i="11" s="1"/>
  <c r="F10" i="11" l="1"/>
  <c r="R16" i="11" l="1"/>
  <c r="S15" i="64" s="1"/>
  <c r="X16" i="11"/>
  <c r="Y15" i="64" s="1"/>
  <c r="J16" i="11"/>
  <c r="K15" i="64" s="1"/>
  <c r="K16" i="11"/>
  <c r="L15" i="64" s="1"/>
  <c r="AC16" i="11"/>
  <c r="AD15" i="64" s="1"/>
  <c r="Y16" i="11"/>
  <c r="Z15" i="64" s="1"/>
  <c r="O16" i="11"/>
  <c r="P15" i="64" s="1"/>
  <c r="M16" i="11"/>
  <c r="N15" i="64" s="1"/>
  <c r="N16" i="11"/>
  <c r="O15" i="64" s="1"/>
  <c r="AE16" i="11"/>
  <c r="S16" i="11"/>
  <c r="T15" i="64" s="1"/>
  <c r="AF16" i="11"/>
  <c r="P16" i="11"/>
  <c r="Q15" i="64" s="1"/>
  <c r="Q16" i="11"/>
  <c r="R15" i="64" s="1"/>
  <c r="T16" i="11"/>
  <c r="U15" i="64" s="1"/>
  <c r="U16" i="11"/>
  <c r="V15" i="64" s="1"/>
  <c r="F16" i="11"/>
  <c r="G15" i="64" s="1"/>
  <c r="Z16" i="11"/>
  <c r="AA15" i="64" s="1"/>
  <c r="AD16" i="11"/>
  <c r="W16" i="11"/>
  <c r="X15" i="64" s="1"/>
  <c r="H16" i="11"/>
  <c r="I15" i="64" s="1"/>
  <c r="I16" i="11"/>
  <c r="J15" i="64" s="1"/>
  <c r="AB16" i="11"/>
  <c r="AC15" i="64" s="1"/>
  <c r="V16" i="11"/>
  <c r="W15" i="64" s="1"/>
  <c r="AA16" i="11"/>
  <c r="AB15" i="64" s="1"/>
  <c r="L16" i="11"/>
  <c r="M15" i="64" s="1"/>
  <c r="G16" i="11" l="1"/>
  <c r="H15" i="64" s="1"/>
  <c r="AD29" i="11" l="1"/>
  <c r="AE29" i="11"/>
  <c r="AF29" i="11"/>
  <c r="Q37" i="11" l="1"/>
  <c r="K37" i="11"/>
  <c r="AD37" i="11"/>
  <c r="S37" i="11"/>
  <c r="J37" i="11"/>
  <c r="I37" i="11"/>
  <c r="O37" i="11"/>
  <c r="Z37" i="11"/>
  <c r="T37" i="11"/>
  <c r="V37" i="11"/>
  <c r="P37" i="11"/>
  <c r="L37" i="11"/>
  <c r="AA37" i="11"/>
  <c r="W37" i="11"/>
  <c r="AC37" i="11"/>
  <c r="U37" i="11"/>
  <c r="Y37" i="11"/>
  <c r="R37" i="11"/>
  <c r="AF37" i="11"/>
  <c r="N37" i="11"/>
  <c r="M37" i="11"/>
  <c r="AE37" i="11"/>
  <c r="X37" i="11"/>
  <c r="F37" i="11" l="1"/>
  <c r="AB37" i="11"/>
  <c r="H37" i="11"/>
  <c r="M17" i="11"/>
  <c r="R17" i="11"/>
  <c r="Z17" i="11"/>
  <c r="U17" i="11"/>
  <c r="N17" i="11"/>
  <c r="AF17" i="11"/>
  <c r="K17" i="11"/>
  <c r="S17" i="11"/>
  <c r="AA17" i="11"/>
  <c r="AC17" i="11"/>
  <c r="AE17" i="11"/>
  <c r="AD17" i="11"/>
  <c r="O17" i="11"/>
  <c r="X17" i="11"/>
  <c r="Y17" i="11"/>
  <c r="I17" i="11"/>
  <c r="T17" i="11"/>
  <c r="J17" i="11"/>
  <c r="V17" i="11"/>
  <c r="W17" i="11"/>
  <c r="P17" i="11"/>
  <c r="L17" i="11"/>
  <c r="Q17" i="11"/>
  <c r="F17" i="11" l="1"/>
  <c r="G37" i="11"/>
  <c r="AB17" i="11"/>
  <c r="H17" i="11"/>
  <c r="I15" i="11"/>
  <c r="J14" i="64" s="1"/>
  <c r="J16" i="64" l="1"/>
  <c r="G17" i="11"/>
  <c r="K15" i="11"/>
  <c r="L14" i="64" s="1"/>
  <c r="AD15" i="11"/>
  <c r="N15" i="11"/>
  <c r="O14" i="64" s="1"/>
  <c r="AC15" i="11"/>
  <c r="AD14" i="64" s="1"/>
  <c r="O15" i="11"/>
  <c r="P14" i="64" s="1"/>
  <c r="M15" i="11"/>
  <c r="N14" i="64" s="1"/>
  <c r="AB15" i="11"/>
  <c r="AC14" i="64" s="1"/>
  <c r="Y15" i="11"/>
  <c r="Z14" i="64" s="1"/>
  <c r="Z15" i="11"/>
  <c r="AA14" i="64" s="1"/>
  <c r="T15" i="11"/>
  <c r="U14" i="64" s="1"/>
  <c r="Q15" i="11"/>
  <c r="R14" i="64" s="1"/>
  <c r="U15" i="11"/>
  <c r="V14" i="64" s="1"/>
  <c r="L15" i="11"/>
  <c r="M14" i="64" s="1"/>
  <c r="X15" i="11"/>
  <c r="Y14" i="64" s="1"/>
  <c r="AE15" i="11"/>
  <c r="P15" i="11"/>
  <c r="Q14" i="64" s="1"/>
  <c r="S15" i="11"/>
  <c r="T14" i="64" s="1"/>
  <c r="AA15" i="11"/>
  <c r="AB14" i="64" s="1"/>
  <c r="J15" i="11"/>
  <c r="K14" i="64" s="1"/>
  <c r="I18" i="11"/>
  <c r="R15" i="11"/>
  <c r="S14" i="64" s="1"/>
  <c r="V15" i="11"/>
  <c r="W14" i="64" s="1"/>
  <c r="AF15" i="11"/>
  <c r="W15" i="11"/>
  <c r="X14" i="64" s="1"/>
  <c r="H15" i="11"/>
  <c r="I14" i="64" s="1"/>
  <c r="X16" i="64" l="1"/>
  <c r="V16" i="64"/>
  <c r="AD16" i="64"/>
  <c r="K16" i="64"/>
  <c r="AC16" i="64"/>
  <c r="O16" i="64"/>
  <c r="R16" i="64"/>
  <c r="AB16" i="64"/>
  <c r="Y16" i="64"/>
  <c r="U16" i="64"/>
  <c r="N16" i="64"/>
  <c r="Q16" i="64"/>
  <c r="Z16" i="64"/>
  <c r="W16" i="64"/>
  <c r="I16" i="64"/>
  <c r="S16" i="64"/>
  <c r="T16" i="64"/>
  <c r="M16" i="64"/>
  <c r="AA16" i="64"/>
  <c r="P16" i="64"/>
  <c r="L16" i="64"/>
  <c r="K18" i="11"/>
  <c r="J18" i="11"/>
  <c r="G15" i="11"/>
  <c r="H14" i="64" s="1"/>
  <c r="F15" i="11"/>
  <c r="G14" i="64" s="1"/>
  <c r="H18" i="11"/>
  <c r="L18" i="11"/>
  <c r="H16" i="64" l="1"/>
  <c r="G16" i="64"/>
  <c r="F18" i="11"/>
  <c r="M18" i="11"/>
  <c r="N18" i="11"/>
  <c r="O18" i="11" l="1"/>
  <c r="P18" i="11" l="1"/>
  <c r="Q18" i="11"/>
  <c r="R18" i="11" l="1"/>
  <c r="S18" i="11" l="1"/>
  <c r="T18" i="11" l="1"/>
  <c r="U18" i="11" l="1"/>
  <c r="V18" i="11" l="1"/>
  <c r="W18" i="11" l="1"/>
  <c r="I21" i="11"/>
  <c r="H21" i="11" l="1"/>
  <c r="J21" i="11"/>
  <c r="X18" i="11"/>
  <c r="G21" i="11" l="1"/>
  <c r="G26" i="11" s="1"/>
  <c r="Z29" i="11"/>
  <c r="AA25" i="64" s="1"/>
  <c r="AA27" i="64" s="1"/>
  <c r="V29" i="11"/>
  <c r="W25" i="64" s="1"/>
  <c r="W27" i="64" s="1"/>
  <c r="AA29" i="11"/>
  <c r="AB25" i="64" s="1"/>
  <c r="AB27" i="64" s="1"/>
  <c r="M29" i="11"/>
  <c r="N25" i="64" s="1"/>
  <c r="N27" i="64" s="1"/>
  <c r="X29" i="11"/>
  <c r="Y25" i="64" s="1"/>
  <c r="Y27" i="64" s="1"/>
  <c r="W29" i="11"/>
  <c r="X25" i="64" s="1"/>
  <c r="X27" i="64" s="1"/>
  <c r="N29" i="11"/>
  <c r="O25" i="64" s="1"/>
  <c r="O27" i="64" s="1"/>
  <c r="Y29" i="11"/>
  <c r="Z25" i="64" s="1"/>
  <c r="Z27" i="64" s="1"/>
  <c r="T29" i="11"/>
  <c r="U25" i="64" s="1"/>
  <c r="U27" i="64" s="1"/>
  <c r="S29" i="11"/>
  <c r="T25" i="64" s="1"/>
  <c r="T27" i="64" s="1"/>
  <c r="Q29" i="11"/>
  <c r="R25" i="64" s="1"/>
  <c r="R27" i="64" s="1"/>
  <c r="L29" i="11"/>
  <c r="M25" i="64" s="1"/>
  <c r="M27" i="64" s="1"/>
  <c r="AB29" i="11"/>
  <c r="AC25" i="64" s="1"/>
  <c r="AC27" i="64" s="1"/>
  <c r="R29" i="11"/>
  <c r="S25" i="64" s="1"/>
  <c r="S27" i="64" s="1"/>
  <c r="H29" i="11"/>
  <c r="I25" i="64" s="1"/>
  <c r="I27" i="64" s="1"/>
  <c r="U29" i="11"/>
  <c r="V25" i="64" s="1"/>
  <c r="V27" i="64" s="1"/>
  <c r="P29" i="11"/>
  <c r="Q25" i="64" s="1"/>
  <c r="Q27" i="64" s="1"/>
  <c r="O29" i="11"/>
  <c r="P25" i="64" s="1"/>
  <c r="P27" i="64" s="1"/>
  <c r="J29" i="11"/>
  <c r="K25" i="64" s="1"/>
  <c r="K27" i="64" s="1"/>
  <c r="Y18" i="11"/>
  <c r="F25" i="11"/>
  <c r="G21" i="64" s="1"/>
  <c r="AC36" i="11" l="1"/>
  <c r="M36" i="11"/>
  <c r="R36" i="11"/>
  <c r="V36" i="11"/>
  <c r="X36" i="11"/>
  <c r="S36" i="11"/>
  <c r="J36" i="11"/>
  <c r="AA36" i="11"/>
  <c r="N36" i="11"/>
  <c r="P36" i="11"/>
  <c r="Z36" i="11"/>
  <c r="O36" i="11"/>
  <c r="Q36" i="11"/>
  <c r="W36" i="11"/>
  <c r="Y36" i="11"/>
  <c r="U36" i="11"/>
  <c r="AE36" i="11"/>
  <c r="T36" i="11"/>
  <c r="G29" i="11"/>
  <c r="H25" i="64" s="1"/>
  <c r="H27" i="64" s="1"/>
  <c r="K36" i="11"/>
  <c r="AD36" i="11"/>
  <c r="AF36" i="11"/>
  <c r="L36" i="11"/>
  <c r="Z18" i="11"/>
  <c r="F36" i="11" l="1"/>
  <c r="AB36" i="11"/>
  <c r="I36" i="11"/>
  <c r="AA18" i="11"/>
  <c r="H36" i="11"/>
  <c r="G36" i="11" l="1"/>
  <c r="AB18" i="11"/>
  <c r="L38" i="11" l="1"/>
  <c r="J38" i="11"/>
  <c r="I38" i="11"/>
  <c r="AC18" i="11"/>
  <c r="AF38" i="11"/>
  <c r="AD38" i="11"/>
  <c r="AE38" i="11"/>
  <c r="K38" i="11" l="1"/>
  <c r="H38" i="11"/>
  <c r="F38" i="11" s="1"/>
  <c r="AD18" i="11"/>
  <c r="F24" i="11"/>
  <c r="G20" i="64" s="1"/>
  <c r="G38" i="11" l="1"/>
  <c r="AE18" i="11"/>
  <c r="AC31" i="11"/>
  <c r="AD31" i="11"/>
  <c r="AE31" i="11"/>
  <c r="AF31" i="11"/>
  <c r="AF18" i="11" l="1"/>
  <c r="G18" i="11" s="1"/>
  <c r="AB31" i="11" l="1"/>
  <c r="S31" i="11"/>
  <c r="I31" i="11"/>
  <c r="P31" i="11"/>
  <c r="W31" i="11"/>
  <c r="T31" i="11"/>
  <c r="R31" i="11"/>
  <c r="J31" i="11"/>
  <c r="N31" i="11"/>
  <c r="L31" i="11"/>
  <c r="U31" i="11"/>
  <c r="Q31" i="11"/>
  <c r="K31" i="11"/>
  <c r="V31" i="11"/>
  <c r="O31" i="11"/>
  <c r="X31" i="11"/>
  <c r="Y31" i="11"/>
  <c r="M31" i="11"/>
  <c r="Z31" i="11"/>
  <c r="F31" i="11" l="1"/>
  <c r="AA31" i="11"/>
  <c r="G31" i="11" s="1"/>
  <c r="R30" i="11"/>
  <c r="R33" i="11" s="1"/>
  <c r="Z30" i="11"/>
  <c r="Z33" i="11" s="1"/>
  <c r="L30" i="11"/>
  <c r="L33" i="11" s="1"/>
  <c r="U30" i="11"/>
  <c r="U33" i="11" s="1"/>
  <c r="V30" i="11"/>
  <c r="V33" i="11" s="1"/>
  <c r="AF30" i="11"/>
  <c r="AF33" i="11" s="1"/>
  <c r="S30" i="11"/>
  <c r="S33" i="11" s="1"/>
  <c r="K30" i="11"/>
  <c r="K33" i="11" s="1"/>
  <c r="I30" i="11"/>
  <c r="I33" i="11" s="1"/>
  <c r="N30" i="11"/>
  <c r="N33" i="11" s="1"/>
  <c r="W30" i="11"/>
  <c r="W33" i="11" s="1"/>
  <c r="P30" i="11"/>
  <c r="P33" i="11" s="1"/>
  <c r="Y30" i="11"/>
  <c r="Y33" i="11" s="1"/>
  <c r="T30" i="11"/>
  <c r="T33" i="11" s="1"/>
  <c r="J30" i="11"/>
  <c r="J33" i="11" s="1"/>
  <c r="AC30" i="11"/>
  <c r="AC33" i="11" s="1"/>
  <c r="AD30" i="11"/>
  <c r="AD33" i="11" s="1"/>
  <c r="O30" i="11"/>
  <c r="O33" i="11" s="1"/>
  <c r="AE30" i="11"/>
  <c r="AE33" i="11" s="1"/>
  <c r="X30" i="11"/>
  <c r="X33" i="11" s="1"/>
  <c r="Q30" i="11"/>
  <c r="Q33" i="11" s="1"/>
  <c r="M30" i="11"/>
  <c r="M33" i="11" s="1"/>
  <c r="F30" i="11" l="1"/>
  <c r="F33" i="11" s="1"/>
  <c r="AB30" i="11"/>
  <c r="AB33" i="11" s="1"/>
  <c r="AA30" i="11"/>
  <c r="AA33" i="11" s="1"/>
  <c r="H30" i="11"/>
  <c r="H33" i="11" s="1"/>
  <c r="G30" i="11" l="1"/>
  <c r="G33" i="11" s="1"/>
  <c r="F23" i="11" l="1"/>
  <c r="G19" i="64" s="1"/>
  <c r="G22" i="64" l="1"/>
  <c r="P52" i="11"/>
  <c r="Q41" i="64" s="1"/>
  <c r="X52" i="11"/>
  <c r="Y41" i="64" s="1"/>
  <c r="Y45" i="64" s="1"/>
  <c r="AF52" i="11"/>
  <c r="J52" i="11"/>
  <c r="K41" i="64" s="1"/>
  <c r="Z52" i="11"/>
  <c r="AA41" i="64" s="1"/>
  <c r="AA45" i="64" s="1"/>
  <c r="S52" i="11"/>
  <c r="T41" i="64" s="1"/>
  <c r="T45" i="64" s="1"/>
  <c r="L52" i="11"/>
  <c r="M41" i="64" s="1"/>
  <c r="I52" i="11"/>
  <c r="J41" i="64" s="1"/>
  <c r="Q52" i="11"/>
  <c r="R41" i="64" s="1"/>
  <c r="Y52" i="11"/>
  <c r="Z41" i="64" s="1"/>
  <c r="Z45" i="64" s="1"/>
  <c r="R52" i="11"/>
  <c r="S41" i="64" s="1"/>
  <c r="AA52" i="11"/>
  <c r="AB41" i="64" s="1"/>
  <c r="AB45" i="64" s="1"/>
  <c r="T52" i="11"/>
  <c r="U41" i="64" s="1"/>
  <c r="U45" i="64" s="1"/>
  <c r="M52" i="11"/>
  <c r="N41" i="64" s="1"/>
  <c r="U52" i="11"/>
  <c r="V41" i="64" s="1"/>
  <c r="V45" i="64" s="1"/>
  <c r="AC52" i="11"/>
  <c r="AD41" i="64" s="1"/>
  <c r="AD45" i="64" s="1"/>
  <c r="N52" i="11"/>
  <c r="O41" i="64" s="1"/>
  <c r="V52" i="11"/>
  <c r="W41" i="64" s="1"/>
  <c r="W45" i="64" s="1"/>
  <c r="AD52" i="11"/>
  <c r="O52" i="11"/>
  <c r="P41" i="64" s="1"/>
  <c r="W52" i="11"/>
  <c r="X41" i="64" s="1"/>
  <c r="X45" i="64" s="1"/>
  <c r="AE52" i="11"/>
  <c r="S45" i="64" l="1"/>
  <c r="Q45" i="64"/>
  <c r="Q54" i="64"/>
  <c r="O45" i="64"/>
  <c r="O54" i="64"/>
  <c r="R45" i="64"/>
  <c r="R54" i="64"/>
  <c r="P45" i="64"/>
  <c r="P54" i="64"/>
  <c r="N54" i="64"/>
  <c r="N45" i="64"/>
  <c r="F52" i="11"/>
  <c r="G41" i="64" s="1"/>
  <c r="AE39" i="11"/>
  <c r="I39" i="11"/>
  <c r="J30" i="64" s="1"/>
  <c r="AB52" i="11"/>
  <c r="AC41" i="64" s="1"/>
  <c r="AC45" i="64" s="1"/>
  <c r="AF39" i="11"/>
  <c r="AD39" i="11"/>
  <c r="J39" i="11"/>
  <c r="K30" i="64" s="1"/>
  <c r="L39" i="11"/>
  <c r="M30" i="64" s="1"/>
  <c r="K39" i="11"/>
  <c r="L30" i="64" s="1"/>
  <c r="H39" i="11"/>
  <c r="K52" i="11"/>
  <c r="L41" i="64" s="1"/>
  <c r="M45" i="64" l="1"/>
  <c r="M54" i="64"/>
  <c r="K45" i="64"/>
  <c r="K54" i="64"/>
  <c r="J45" i="64"/>
  <c r="J54" i="64"/>
  <c r="L45" i="64"/>
  <c r="F39" i="11"/>
  <c r="G30" i="64" s="1"/>
  <c r="I30" i="64"/>
  <c r="P41" i="11"/>
  <c r="N41" i="11"/>
  <c r="AD41" i="11"/>
  <c r="O41" i="11"/>
  <c r="M41" i="11"/>
  <c r="Y41" i="11"/>
  <c r="L41" i="11"/>
  <c r="AC41" i="11"/>
  <c r="Q41" i="11"/>
  <c r="AF41" i="11"/>
  <c r="I41" i="11"/>
  <c r="R41" i="11"/>
  <c r="H41" i="11"/>
  <c r="K41" i="11"/>
  <c r="U41" i="11"/>
  <c r="S41" i="11"/>
  <c r="W41" i="11"/>
  <c r="AE41" i="11"/>
  <c r="V41" i="11"/>
  <c r="T41" i="11"/>
  <c r="X41" i="11"/>
  <c r="Z41" i="11"/>
  <c r="J41" i="11"/>
  <c r="G52" i="11"/>
  <c r="H41" i="64" s="1"/>
  <c r="I54" i="64" l="1"/>
  <c r="I45" i="64"/>
  <c r="G45" i="64"/>
  <c r="G54" i="64"/>
  <c r="F41" i="11"/>
  <c r="AA41" i="11"/>
  <c r="AB41" i="11"/>
  <c r="Y51" i="11"/>
  <c r="Z40" i="64" s="1"/>
  <c r="Z42" i="64" s="1"/>
  <c r="Z44" i="64" s="1"/>
  <c r="Z46" i="64" s="1"/>
  <c r="U51" i="11"/>
  <c r="V40" i="64" s="1"/>
  <c r="V42" i="64" s="1"/>
  <c r="V44" i="64" s="1"/>
  <c r="V46" i="64" s="1"/>
  <c r="Z51" i="11"/>
  <c r="AA40" i="64" s="1"/>
  <c r="AA42" i="64" s="1"/>
  <c r="AA44" i="64" s="1"/>
  <c r="AA46" i="64" s="1"/>
  <c r="W51" i="11"/>
  <c r="X40" i="64" s="1"/>
  <c r="X42" i="64" s="1"/>
  <c r="X44" i="64" s="1"/>
  <c r="X46" i="64" s="1"/>
  <c r="V51" i="11"/>
  <c r="W40" i="64" s="1"/>
  <c r="W42" i="64" s="1"/>
  <c r="W44" i="64" s="1"/>
  <c r="W46" i="64" s="1"/>
  <c r="AA51" i="11"/>
  <c r="AB40" i="64" s="1"/>
  <c r="AB42" i="64" s="1"/>
  <c r="AB44" i="64" s="1"/>
  <c r="AB46" i="64" s="1"/>
  <c r="AD51" i="11"/>
  <c r="M51" i="11"/>
  <c r="N40" i="64" s="1"/>
  <c r="N42" i="64" s="1"/>
  <c r="N44" i="64" s="1"/>
  <c r="Q51" i="11"/>
  <c r="R40" i="64" s="1"/>
  <c r="R42" i="64" s="1"/>
  <c r="R44" i="64" s="1"/>
  <c r="T51" i="11"/>
  <c r="U40" i="64" s="1"/>
  <c r="U42" i="64" s="1"/>
  <c r="U44" i="64" s="1"/>
  <c r="U46" i="64" s="1"/>
  <c r="AF51" i="11"/>
  <c r="N51" i="11"/>
  <c r="O40" i="64" s="1"/>
  <c r="O42" i="64" s="1"/>
  <c r="O44" i="64" s="1"/>
  <c r="X51" i="11"/>
  <c r="Y40" i="64" s="1"/>
  <c r="Y42" i="64" s="1"/>
  <c r="Y44" i="64" s="1"/>
  <c r="Y46" i="64" s="1"/>
  <c r="AE51" i="11"/>
  <c r="R51" i="11"/>
  <c r="S40" i="64" s="1"/>
  <c r="S42" i="64" s="1"/>
  <c r="S44" i="64" s="1"/>
  <c r="S51" i="11"/>
  <c r="T40" i="64" s="1"/>
  <c r="T42" i="64" s="1"/>
  <c r="T44" i="64" s="1"/>
  <c r="T46" i="64" s="1"/>
  <c r="AC51" i="11"/>
  <c r="AD40" i="64" s="1"/>
  <c r="AD42" i="64" s="1"/>
  <c r="AD44" i="64" s="1"/>
  <c r="AD46" i="64" s="1"/>
  <c r="P51" i="11"/>
  <c r="Q40" i="64" s="1"/>
  <c r="Q42" i="64" s="1"/>
  <c r="Q44" i="64" s="1"/>
  <c r="I51" i="11"/>
  <c r="J40" i="64" s="1"/>
  <c r="J42" i="64" s="1"/>
  <c r="J44" i="64" s="1"/>
  <c r="G39" i="11"/>
  <c r="H30" i="64" s="1"/>
  <c r="J51" i="11"/>
  <c r="K40" i="64" s="1"/>
  <c r="K42" i="64" s="1"/>
  <c r="K44" i="64" s="1"/>
  <c r="K51" i="11"/>
  <c r="L40" i="64" s="1"/>
  <c r="L42" i="64" s="1"/>
  <c r="L44" i="64" s="1"/>
  <c r="O51" i="11"/>
  <c r="P40" i="64" s="1"/>
  <c r="P42" i="64" s="1"/>
  <c r="P44" i="64" s="1"/>
  <c r="L51" i="11"/>
  <c r="M40" i="64" s="1"/>
  <c r="M42" i="64" s="1"/>
  <c r="M44" i="64" s="1"/>
  <c r="H7" i="11"/>
  <c r="S46" i="64" l="1"/>
  <c r="J55" i="64"/>
  <c r="J46" i="64"/>
  <c r="P55" i="64"/>
  <c r="P46" i="64"/>
  <c r="L46" i="64"/>
  <c r="Q46" i="64"/>
  <c r="Q55" i="64"/>
  <c r="K55" i="64"/>
  <c r="K46" i="64"/>
  <c r="R55" i="64"/>
  <c r="R46" i="64"/>
  <c r="M46" i="64"/>
  <c r="M55" i="64"/>
  <c r="H45" i="64"/>
  <c r="H54" i="64"/>
  <c r="O46" i="64"/>
  <c r="N55" i="64"/>
  <c r="N46" i="64"/>
  <c r="V53" i="11"/>
  <c r="Z53" i="11"/>
  <c r="R53" i="11"/>
  <c r="W53" i="11"/>
  <c r="AE53" i="11"/>
  <c r="U53" i="11"/>
  <c r="P53" i="11"/>
  <c r="X53" i="11"/>
  <c r="M53" i="11"/>
  <c r="Y53" i="11"/>
  <c r="J53" i="11"/>
  <c r="T53" i="11"/>
  <c r="Q53" i="11"/>
  <c r="I53" i="11"/>
  <c r="N53" i="11"/>
  <c r="AD53" i="11"/>
  <c r="O53" i="11"/>
  <c r="K53" i="11"/>
  <c r="S53" i="11"/>
  <c r="AF53" i="11"/>
  <c r="AA53" i="11"/>
  <c r="G41" i="11"/>
  <c r="L53" i="11"/>
  <c r="AC53" i="11"/>
  <c r="F51" i="11"/>
  <c r="G40" i="64" s="1"/>
  <c r="G42" i="64" s="1"/>
  <c r="G44" i="64" s="1"/>
  <c r="H51" i="11"/>
  <c r="I40" i="64" s="1"/>
  <c r="I42" i="64" s="1"/>
  <c r="I44" i="64" s="1"/>
  <c r="AB51" i="11"/>
  <c r="AC40" i="64" s="1"/>
  <c r="AC42" i="64" s="1"/>
  <c r="AC44" i="64" s="1"/>
  <c r="AC46" i="64" s="1"/>
  <c r="H14" i="65" l="1"/>
  <c r="G14" i="65"/>
  <c r="I46" i="64"/>
  <c r="I55" i="64"/>
  <c r="G55" i="64"/>
  <c r="G46" i="64"/>
  <c r="G50" i="64"/>
  <c r="F53" i="11"/>
  <c r="AB53" i="11"/>
  <c r="H53" i="11"/>
  <c r="G51" i="11"/>
  <c r="H40" i="64" s="1"/>
  <c r="H42" i="64" s="1"/>
  <c r="L7" i="11"/>
  <c r="G9" i="65" l="1"/>
  <c r="G16" i="65" s="1"/>
  <c r="H9" i="65"/>
  <c r="H16" i="65" s="1"/>
  <c r="F16" i="65"/>
  <c r="F11" i="65"/>
  <c r="H7" i="65"/>
  <c r="H11" i="65" s="1"/>
  <c r="G53" i="11"/>
  <c r="AE7" i="11"/>
  <c r="AF7" i="11"/>
  <c r="AC7" i="11"/>
  <c r="AD7" i="11"/>
  <c r="K7" i="11"/>
  <c r="W7" i="11"/>
  <c r="AB7" i="11"/>
  <c r="U7" i="11"/>
  <c r="P7" i="11"/>
  <c r="T7" i="11"/>
  <c r="O7" i="11"/>
  <c r="Q7" i="11"/>
  <c r="J7" i="11"/>
  <c r="M7" i="11"/>
  <c r="V7" i="11"/>
  <c r="N7" i="11"/>
  <c r="Z7" i="11"/>
  <c r="X7" i="11"/>
  <c r="AA7" i="11"/>
  <c r="Y7" i="11"/>
  <c r="R7" i="11"/>
  <c r="S7" i="11"/>
  <c r="F7" i="11" l="1"/>
  <c r="I7" i="11"/>
  <c r="G7" i="11" s="1"/>
  <c r="I12" i="11" l="1"/>
  <c r="I55" i="11" s="1"/>
  <c r="J12" i="11"/>
  <c r="J55" i="11" s="1"/>
  <c r="K12" i="11" l="1"/>
  <c r="K55" i="11" s="1"/>
  <c r="H12" i="11"/>
  <c r="H55" i="11" s="1"/>
  <c r="L12" i="11" l="1"/>
  <c r="L55" i="11" s="1"/>
  <c r="M12" i="11" l="1"/>
  <c r="M55" i="11" l="1"/>
  <c r="N12" i="11"/>
  <c r="N55" i="11" l="1"/>
  <c r="O12" i="11"/>
  <c r="O55" i="11" s="1"/>
  <c r="P12" i="11" l="1"/>
  <c r="P55" i="11" s="1"/>
  <c r="Q12" i="11" l="1"/>
  <c r="Q55" i="11" s="1"/>
  <c r="R12" i="11" l="1"/>
  <c r="R55" i="11" s="1"/>
  <c r="S12" i="11" l="1"/>
  <c r="S55" i="11" s="1"/>
  <c r="T12" i="11" l="1"/>
  <c r="T55" i="11" s="1"/>
  <c r="U12" i="11" l="1"/>
  <c r="U55" i="11" s="1"/>
  <c r="V12" i="11" l="1"/>
  <c r="V55" i="11" s="1"/>
  <c r="W12" i="11" l="1"/>
  <c r="W55" i="11" s="1"/>
  <c r="X12" i="11" l="1"/>
  <c r="X55" i="11" s="1"/>
  <c r="Y12" i="11" l="1"/>
  <c r="Y55" i="11" s="1"/>
  <c r="Z12" i="11"/>
  <c r="Z55" i="11" s="1"/>
  <c r="AB12" i="11" l="1"/>
  <c r="AB55" i="11" s="1"/>
  <c r="AA12" i="11"/>
  <c r="AA55" i="11" s="1"/>
  <c r="AC12" i="11" l="1"/>
  <c r="AC55" i="11" s="1"/>
  <c r="F21" i="11" l="1"/>
  <c r="F26" i="11" l="1"/>
  <c r="AE12" i="11"/>
  <c r="AE55" i="11" s="1"/>
  <c r="AF12" i="11"/>
  <c r="AF55" i="11" s="1"/>
  <c r="AD55" i="11"/>
  <c r="G6" i="11"/>
  <c r="H9" i="64" s="1"/>
  <c r="H11" i="64" s="1"/>
  <c r="H44" i="64" s="1"/>
  <c r="H55" i="64" l="1"/>
  <c r="H46" i="64"/>
  <c r="H50" i="64"/>
  <c r="F12" i="11"/>
  <c r="F55" i="11" s="1"/>
  <c r="G12" i="11"/>
  <c r="G55"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tzmj9b</author>
    <author>Burgess, Dan</author>
  </authors>
  <commentList>
    <comment ref="J7" authorId="0" shapeId="0" xr:uid="{00000000-0006-0000-0300-000001000000}">
      <text>
        <r>
          <rPr>
            <b/>
            <sz val="9"/>
            <color indexed="81"/>
            <rFont val="Tahoma"/>
            <family val="2"/>
          </rPr>
          <t>tzmj9b:</t>
        </r>
        <r>
          <rPr>
            <sz val="9"/>
            <color indexed="81"/>
            <rFont val="Tahoma"/>
            <family val="2"/>
          </rPr>
          <t xml:space="preserve">
Meters that could have been installed were not available for production (still being piloted)</t>
        </r>
      </text>
    </comment>
    <comment ref="F10" authorId="0" shapeId="0" xr:uid="{00000000-0006-0000-0300-000002000000}">
      <text>
        <r>
          <rPr>
            <b/>
            <sz val="9"/>
            <color indexed="81"/>
            <rFont val="Tahoma"/>
            <family val="2"/>
          </rPr>
          <t>Avoided Landfill Costs</t>
        </r>
      </text>
    </comment>
    <comment ref="F11" authorId="0" shapeId="0" xr:uid="{00000000-0006-0000-0300-000003000000}">
      <text>
        <r>
          <rPr>
            <b/>
            <sz val="9"/>
            <color indexed="81"/>
            <rFont val="Tahoma"/>
            <family val="2"/>
          </rPr>
          <t>tzmj9b:</t>
        </r>
        <r>
          <rPr>
            <sz val="9"/>
            <color indexed="81"/>
            <rFont val="Tahoma"/>
            <family val="2"/>
          </rPr>
          <t xml:space="preserve">
dropped to zero value per Larry (conversation with David Meyer)</t>
        </r>
      </text>
    </comment>
    <comment ref="I11" authorId="0" shapeId="0" xr:uid="{00000000-0006-0000-0300-00000400000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J11" authorId="0" shapeId="0" xr:uid="{00000000-0006-0000-0300-000005000000}">
      <text>
        <r>
          <rPr>
            <b/>
            <sz val="9"/>
            <color indexed="81"/>
            <rFont val="Tahoma"/>
            <family val="2"/>
          </rPr>
          <t>tzmj9b:</t>
        </r>
        <r>
          <rPr>
            <sz val="9"/>
            <color indexed="81"/>
            <rFont val="Tahoma"/>
            <family val="2"/>
          </rPr>
          <t xml:space="preserve">
Trinity Engagement ends, Itron still running, and the meter pilot begins</t>
        </r>
      </text>
    </comment>
    <comment ref="M44" authorId="1" shapeId="0" xr:uid="{00000000-0006-0000-0300-000006000000}">
      <text>
        <r>
          <rPr>
            <b/>
            <sz val="9"/>
            <color indexed="81"/>
            <rFont val="Tahoma"/>
            <family val="2"/>
          </rPr>
          <t>Reduced the benefits starting in 2021 by 4.07% to account for the change of gas only areas to Mobile reads from AMI Riva System</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Burgess, Dan</author>
    <author>tzmj9b</author>
  </authors>
  <commentList>
    <comment ref="M17" authorId="0" shapeId="0" xr:uid="{00000000-0006-0000-1500-000001000000}">
      <text>
        <r>
          <rPr>
            <b/>
            <sz val="9"/>
            <color indexed="81"/>
            <rFont val="Tahoma"/>
            <family val="2"/>
          </rPr>
          <t>Burgess, Dan:</t>
        </r>
        <r>
          <rPr>
            <sz val="9"/>
            <color indexed="81"/>
            <rFont val="Tahoma"/>
            <family val="2"/>
          </rPr>
          <t xml:space="preserve">
((($G$45)*(1+$B$22+$B$23)^COUNT($C3:L3))*L3)*(($B$24/(1-$B$24))*$B$25)-($B$20)</t>
        </r>
      </text>
    </comment>
    <comment ref="F39" authorId="1" shapeId="0" xr:uid="{00000000-0006-0000-1500-000002000000}">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B5" authorId="0" shapeId="0" xr:uid="{00000000-0006-0000-1700-000001000000}">
      <text>
        <r>
          <rPr>
            <b/>
            <sz val="9"/>
            <color indexed="81"/>
            <rFont val="Tahoma"/>
            <family val="2"/>
          </rPr>
          <t>Burgess, Dan:</t>
        </r>
        <r>
          <rPr>
            <sz val="9"/>
            <color indexed="81"/>
            <rFont val="Tahoma"/>
            <family val="2"/>
          </rPr>
          <t xml:space="preserve">
updated to estimate it at 0.1% of revenue</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8" authorId="0" shapeId="0" xr:uid="{00000000-0006-0000-1900-000001000000}">
      <text>
        <r>
          <rPr>
            <b/>
            <sz val="9"/>
            <color indexed="81"/>
            <rFont val="Tahoma"/>
            <family val="2"/>
          </rPr>
          <t>Meter shop found failed meters during the A base socket update</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CustomerSolutions</author>
    <author>Burgess, Dan</author>
    <author>tmm8381</author>
  </authors>
  <commentList>
    <comment ref="B2" authorId="0" shapeId="0" xr:uid="{00000000-0006-0000-1C00-000001000000}">
      <text>
        <r>
          <rPr>
            <b/>
            <sz val="8"/>
            <color indexed="81"/>
            <rFont val="Tahoma"/>
            <family val="2"/>
          </rPr>
          <t xml:space="preserve">SELECT WP_SRV_ADDRESS.STATE_CDE, Year([CREATION_DTE]) AS [Year], WP_MTRD_HIST.MTR_RDG_CDE, Count(WP_MTRD_HIST.USAGE_PT_KY) AS CountOfUSAGE_PT_KY
FROM (WP_MTRD_HIST INNER JOIN WP_USAGE_POINT ON WP_MTRD_HIST.USAGE_PT_KY = WP_USAGE_POINT.USAGE_PT_KY) INNER JOIN WP_SRV_ADDRESS ON WP_USAGE_POINT.SRV_ADDR_KY = WP_SRV_ADDRESS.SRV_ADDR_KY
WHERE (((WP_MTRD_HIST.CREATION_DTE) Between #1/1/2012# And #12/31/2014#) AND ((WP_MTRD_HIST.SRV_BILL_CDE)&lt;&gt;"X"))
GROUP BY WP_SRV_ADDRESS.STATE_CDE, Year([CREATION_DTE]), WP_MTRD_HIST.MTR_RDG_CDE
HAVING (((WP_SRV_ADDRESS.STATE_CDE)&lt;&gt;"MT") AND ((WP_MTRD_HIST.MTR_RDG_CDE)="K" Or (WP_MTRD_HIST.MTR_RDG_CDE)="E"));
</t>
        </r>
      </text>
    </comment>
    <comment ref="C11" authorId="1" shapeId="0" xr:uid="{00000000-0006-0000-1C00-000002000000}">
      <text>
        <r>
          <rPr>
            <b/>
            <sz val="9"/>
            <color indexed="81"/>
            <rFont val="Tahoma"/>
            <family val="2"/>
          </rPr>
          <t>Burgess, Dan:</t>
        </r>
        <r>
          <rPr>
            <sz val="9"/>
            <color indexed="81"/>
            <rFont val="Tahoma"/>
            <family val="2"/>
          </rPr>
          <t xml:space="preserve">
was 6.5 minute - adjusting up to 9 minutes based on Billing's input</t>
        </r>
      </text>
    </comment>
    <comment ref="C14" authorId="1" shapeId="0" xr:uid="{00000000-0006-0000-1C00-000003000000}">
      <text>
        <r>
          <rPr>
            <b/>
            <sz val="9"/>
            <color indexed="81"/>
            <rFont val="Tahoma"/>
            <family val="2"/>
          </rPr>
          <t>Burgess, Dan:</t>
        </r>
        <r>
          <rPr>
            <sz val="9"/>
            <color indexed="81"/>
            <rFont val="Tahoma"/>
            <family val="2"/>
          </rPr>
          <t xml:space="preserve">
Changed from 97% to reflect what has happened in Idaho where there is interval data</t>
        </r>
      </text>
    </comment>
    <comment ref="B26" authorId="2" shapeId="0" xr:uid="{00000000-0006-0000-1C00-000004000000}">
      <text>
        <r>
          <rPr>
            <b/>
            <sz val="9"/>
            <color indexed="81"/>
            <rFont val="Tahoma"/>
            <family val="2"/>
          </rPr>
          <t>tmm8381:</t>
        </r>
        <r>
          <rPr>
            <sz val="9"/>
            <color indexed="81"/>
            <rFont val="Tahoma"/>
            <family val="2"/>
          </rPr>
          <t xml:space="preserve">
Account is flagged as needing review. CSR: Select the account, inquire CC&amp;B, review read history</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CustomerSolutions</author>
  </authors>
  <commentList>
    <comment ref="C8" authorId="0" shapeId="0" xr:uid="{00000000-0006-0000-1E00-000001000000}">
      <text>
        <r>
          <rPr>
            <b/>
            <sz val="8"/>
            <color indexed="81"/>
            <rFont val="Tahoma"/>
            <family val="2"/>
          </rPr>
          <t>5,939,794 in 2013 and 6,008,277 in 2014</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13" authorId="0" shapeId="0" xr:uid="{00000000-0006-0000-1F00-000001000000}">
      <text>
        <r>
          <rPr>
            <b/>
            <sz val="9"/>
            <color indexed="81"/>
            <rFont val="Tahoma"/>
            <family val="2"/>
          </rPr>
          <t>Burgess, Dan:</t>
        </r>
        <r>
          <rPr>
            <sz val="9"/>
            <color indexed="81"/>
            <rFont val="Tahoma"/>
            <family val="2"/>
          </rPr>
          <t xml:space="preserve">
Updated from 5.5 to 9 minutes based on Billing group refreshed analysis</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C23" authorId="0" shapeId="0" xr:uid="{00000000-0006-0000-2000-000001000000}">
      <text>
        <r>
          <rPr>
            <b/>
            <sz val="9"/>
            <color indexed="81"/>
            <rFont val="Tahoma"/>
            <family val="2"/>
          </rPr>
          <t>Burgess, Dan:</t>
        </r>
        <r>
          <rPr>
            <sz val="9"/>
            <color indexed="81"/>
            <rFont val="Tahoma"/>
            <family val="2"/>
          </rPr>
          <t xml:space="preserve">
Updated 5/22 - updated cellular costs that are avoided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tzmj9b</author>
    <author>Burgess, Dan</author>
    <author>CustomerSolutions</author>
  </authors>
  <commentList>
    <comment ref="A2" authorId="0" shapeId="0" xr:uid="{00000000-0006-0000-0400-000001000000}">
      <text>
        <r>
          <rPr>
            <b/>
            <sz val="9"/>
            <color indexed="81"/>
            <rFont val="Tahoma"/>
            <family val="2"/>
          </rPr>
          <t>Attached is the 2016 budget info from Steve Carrozzo.
Oregon OSM salaries are :  130,500. &amp; Oregon van driver is $35,778.  For a total of $166,278. for Oregon
Idaho OSM salaries are: $214,062.  For Ed, Bruce &amp; ½ of Joanne’s salary &amp; ½ of Ken’s salary 
Steve showed a total budget of $3,440,648 so subtract OR &amp; ID &amp; it would be $3,060,308 for WA.
5 Spokane OSM’s &amp; Joanne &amp; Ken are both split between WA &amp; ID(1/2 each) for a total of 6 WA OSM’s which is a budget of $418,704.
Currently 41 WA meter readers (plus summer student meter readers) for the remainder of the budget.</t>
        </r>
      </text>
    </comment>
    <comment ref="N3" authorId="0" shapeId="0" xr:uid="{00000000-0006-0000-0400-000002000000}">
      <text>
        <r>
          <rPr>
            <b/>
            <sz val="9"/>
            <color indexed="81"/>
            <rFont val="Tahoma"/>
            <family val="2"/>
          </rPr>
          <t>tzmj9b:</t>
        </r>
        <r>
          <rPr>
            <sz val="9"/>
            <color indexed="81"/>
            <rFont val="Tahoma"/>
            <family val="2"/>
          </rPr>
          <t xml:space="preserve">
2/3 meters deployed</t>
        </r>
      </text>
    </comment>
    <comment ref="C5" authorId="0" shapeId="0" xr:uid="{00000000-0006-0000-0400-000003000000}">
      <text>
        <r>
          <rPr>
            <b/>
            <sz val="9"/>
            <color indexed="81"/>
            <rFont val="Tahoma"/>
            <family val="2"/>
          </rPr>
          <t>89% of total budget (3440648)
Updated 1/17/2016</t>
        </r>
      </text>
    </comment>
    <comment ref="B6" authorId="0" shapeId="0" xr:uid="{00000000-0006-0000-0400-000004000000}">
      <text>
        <r>
          <rPr>
            <b/>
            <sz val="9"/>
            <color indexed="81"/>
            <rFont val="Tahoma"/>
            <family val="2"/>
          </rPr>
          <t>Currently 41 WA meter readers (plus summer student meter readers) for the remainder of the budget.</t>
        </r>
      </text>
    </comment>
    <comment ref="C6" authorId="0" shapeId="0" xr:uid="{00000000-0006-0000-0400-000005000000}">
      <text>
        <r>
          <rPr>
            <b/>
            <sz val="9"/>
            <color indexed="81"/>
            <rFont val="Tahoma"/>
            <family val="2"/>
          </rPr>
          <t>tzmj9b:</t>
        </r>
        <r>
          <rPr>
            <sz val="9"/>
            <color indexed="81"/>
            <rFont val="Tahoma"/>
            <family val="2"/>
          </rPr>
          <t xml:space="preserve">
This number was updated on 12/11/2018 to reflect Rubal's update to numbers - originally we lifted 2016 budget thinking it was 2015's budget</t>
        </r>
      </text>
    </comment>
    <comment ref="C7" authorId="0" shapeId="0" xr:uid="{00000000-0006-0000-0400-000006000000}">
      <text>
        <r>
          <rPr>
            <b/>
            <sz val="9"/>
            <color indexed="81"/>
            <rFont val="Tahoma"/>
            <family val="2"/>
          </rPr>
          <t>5 Spokane OSM’s &amp; Joanne &amp; Ken are both split between WA &amp; ID(1/2 each) for a total of 6 WA OSM’s which is a budget of $418,704.</t>
        </r>
      </text>
    </comment>
    <comment ref="C9" authorId="0" shapeId="0" xr:uid="{00000000-0006-0000-0400-000007000000}">
      <text>
        <r>
          <rPr>
            <b/>
            <sz val="9"/>
            <color indexed="81"/>
            <rFont val="Tahoma"/>
            <family val="2"/>
          </rPr>
          <t>89% of Jackie, Mel and Robin</t>
        </r>
      </text>
    </comment>
    <comment ref="C11" authorId="0" shapeId="0" xr:uid="{00000000-0006-0000-0400-000008000000}">
      <text>
        <r>
          <rPr>
            <b/>
            <sz val="9"/>
            <color indexed="81"/>
            <rFont val="Tahoma"/>
            <family val="2"/>
          </rPr>
          <t>tzmj9b:</t>
        </r>
        <r>
          <rPr>
            <sz val="9"/>
            <color indexed="81"/>
            <rFont val="Tahoma"/>
            <family val="2"/>
          </rPr>
          <t xml:space="preserve">
updated to reflect that One Leave was already included in the budget and should be reduced to 0 from the original forecast - approximately $3 million reduction</t>
        </r>
      </text>
    </comment>
    <comment ref="K12" authorId="1" shapeId="0" xr:uid="{00000000-0006-0000-0400-000009000000}">
      <text>
        <r>
          <rPr>
            <b/>
            <sz val="9"/>
            <color indexed="81"/>
            <rFont val="Tahoma"/>
            <family val="2"/>
          </rPr>
          <t>Adjustments were made based on reduced payroll cost associated with new employees</t>
        </r>
      </text>
    </comment>
    <comment ref="B17" authorId="0" shapeId="0" xr:uid="{00000000-0006-0000-0400-00000A000000}">
      <text>
        <r>
          <rPr>
            <b/>
            <sz val="9"/>
            <color indexed="81"/>
            <rFont val="Tahoma"/>
            <family val="2"/>
          </rPr>
          <t>Jon Thompson estimate $460,000 every 5 years</t>
        </r>
      </text>
    </comment>
    <comment ref="C23" authorId="0" shapeId="0" xr:uid="{00000000-0006-0000-0400-00000B000000}">
      <text>
        <r>
          <rPr>
            <b/>
            <sz val="8"/>
            <color indexed="81"/>
            <rFont val="Tahoma"/>
            <family val="2"/>
          </rPr>
          <t>would inlcude depreciation, fuel, maintenance and other costs averaged</t>
        </r>
      </text>
    </comment>
    <comment ref="D27" authorId="0" shapeId="0" xr:uid="{00000000-0006-0000-0400-00000C000000}">
      <text>
        <r>
          <rPr>
            <b/>
            <sz val="11"/>
            <color indexed="81"/>
            <rFont val="Tahoma"/>
            <family val="2"/>
          </rPr>
          <t>Took the $265000/56 months and then multipled by 12 for annualized number to get $56,785. Numbers were supplied by Tony Klutz and represent workers comp numbers.</t>
        </r>
      </text>
    </comment>
    <comment ref="G41" authorId="2" shapeId="0" xr:uid="{00000000-0006-0000-0400-00000D000000}">
      <text>
        <r>
          <rPr>
            <b/>
            <sz val="8"/>
            <color indexed="81"/>
            <rFont val="Tahoma"/>
            <family val="2"/>
          </rPr>
          <t>http://www.cushmanwakefield.com/~/media/marketbeat/2015/02/Portland_Americas_MarketBeat_Office_Q42014.pdf shows that $20/sqft assumption is within reason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Burgess, Dan</author>
    <author>tzmj9b</author>
  </authors>
  <commentList>
    <comment ref="A10" authorId="0" shapeId="0" xr:uid="{00000000-0006-0000-0800-000001000000}">
      <text>
        <r>
          <rPr>
            <b/>
            <sz val="9"/>
            <color indexed="81"/>
            <rFont val="Tahoma"/>
            <family val="2"/>
          </rPr>
          <t>Burgess, Dan: (2/16/2021)</t>
        </r>
        <r>
          <rPr>
            <sz val="9"/>
            <color indexed="81"/>
            <rFont val="Tahoma"/>
            <family val="2"/>
          </rPr>
          <t xml:space="preserve">
Reduction in replacement modules from original estimates</t>
        </r>
      </text>
    </comment>
    <comment ref="D15" authorId="1" shapeId="0" xr:uid="{00000000-0006-0000-0800-000002000000}">
      <text>
        <r>
          <rPr>
            <b/>
            <sz val="9"/>
            <color indexed="81"/>
            <rFont val="Tahoma"/>
            <family val="2"/>
          </rPr>
          <t xml:space="preserve">Dan – Use these numbers for your costs.  A better estimate, Vern  agreed.  Tamara
From: Smith, David R. 
Sent: Friday, May 12, 2017 11:08 AM
To: Bradley, Tamara &lt;Tamara.Bradley@avistacorp.com&gt;
Cc: Petty, Valerie &lt;Valerie.Petty@avistacorp.com&gt;; Pickett, Rodney &lt;Rodney.Pickett@avistacorp.com&gt;
Subject: RE: Cost of replacing an ERT
Tamara,
I can speak to the costs that we are paying our contractor Southern Cross for the Oregon ERT Replacement Program:
1. Materials
a. Residential - $55.77 each (includes the ERT module, index, and programming)
b. Commercial - $201.22 each (includes the ERT module, index, and programming)
2. Labor to replace ERT - $21.42 each
3. Total
a. Residential - $77.19 each
b. Commercial - $222.64 each
I will have to defer the costs for an Avista Servicemen to replace an ERT to Rodney.  I believe Rodney took this cost into account when his group performed an asset management study in 2015.
Dave
</t>
        </r>
      </text>
    </comment>
    <comment ref="G45" authorId="1" shapeId="0" xr:uid="{00000000-0006-0000-0800-000003000000}">
      <text>
        <r>
          <rPr>
            <b/>
            <sz val="9"/>
            <color indexed="81"/>
            <rFont val="Tahoma"/>
            <family val="2"/>
          </rPr>
          <t>tzmj9b:</t>
        </r>
        <r>
          <rPr>
            <sz val="9"/>
            <color indexed="81"/>
            <rFont val="Tahoma"/>
            <family val="2"/>
          </rPr>
          <t xml:space="preserve">
better to have a balanced replacement with some early removals because the replacement costs offset the loss of remaining life of early battery replacement</t>
        </r>
      </text>
    </comment>
    <comment ref="D50" authorId="0" shapeId="0" xr:uid="{00000000-0006-0000-0800-000004000000}">
      <text>
        <r>
          <rPr>
            <b/>
            <sz val="9"/>
            <color indexed="81"/>
            <rFont val="Tahoma"/>
            <family val="2"/>
          </rPr>
          <t>Burgess, Dan: reduced from est of 17,800 for two neighborhoods that may be AMI</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J6" authorId="0" shapeId="0" xr:uid="{00000000-0006-0000-0A00-000001000000}">
      <text>
        <r>
          <rPr>
            <b/>
            <sz val="9"/>
            <color indexed="81"/>
            <rFont val="Tahoma"/>
            <family val="2"/>
          </rPr>
          <t>tzmj9b:</t>
        </r>
        <r>
          <rPr>
            <sz val="9"/>
            <color indexed="81"/>
            <rFont val="Tahoma"/>
            <family val="2"/>
          </rPr>
          <t xml:space="preserve">
Trinity is still working and Itron is ramping up (Vern 5/4/2017).  Employees will be employees that are currently not employed in Spokane, but may be from this area</t>
        </r>
      </text>
    </comment>
    <comment ref="K6" authorId="0" shapeId="0" xr:uid="{00000000-0006-0000-0A00-000002000000}">
      <text>
        <r>
          <rPr>
            <b/>
            <sz val="9"/>
            <color indexed="81"/>
            <rFont val="Tahoma"/>
            <family val="2"/>
          </rPr>
          <t>tzmj9b:</t>
        </r>
        <r>
          <rPr>
            <sz val="9"/>
            <color indexed="81"/>
            <rFont val="Tahoma"/>
            <family val="2"/>
          </rPr>
          <t xml:space="preserve">
Trinity Engagement ends, Itron still running, and the meter pilot begins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tzmj9b</author>
    <author>CustomerSolutions</author>
  </authors>
  <commentList>
    <comment ref="B17" authorId="0" shapeId="0" xr:uid="{00000000-0006-0000-0C00-000001000000}">
      <text>
        <r>
          <rPr>
            <b/>
            <sz val="9"/>
            <color indexed="81"/>
            <rFont val="Tahoma"/>
            <family val="2"/>
          </rPr>
          <t>Jon Thompson estimate $460,000 every 5 years</t>
        </r>
      </text>
    </comment>
    <comment ref="C23" authorId="0" shapeId="0" xr:uid="{00000000-0006-0000-0C00-000002000000}">
      <text>
        <r>
          <rPr>
            <b/>
            <sz val="8"/>
            <color indexed="81"/>
            <rFont val="Tahoma"/>
            <family val="2"/>
          </rPr>
          <t>would inlcude depreciation, fuel, maintenance and other costs averaged</t>
        </r>
      </text>
    </comment>
    <comment ref="D27" authorId="0" shapeId="0" xr:uid="{00000000-0006-0000-0C00-000003000000}">
      <text>
        <r>
          <rPr>
            <b/>
            <sz val="11"/>
            <color indexed="81"/>
            <rFont val="Tahoma"/>
            <family val="2"/>
          </rPr>
          <t>Took the $265000/56 months and then multipled by 12 for annualized number to get $56,785. Numbers were supplied by Tony Klutz and represent workers comp numbers.</t>
        </r>
      </text>
    </comment>
    <comment ref="G41" authorId="1" shapeId="0" xr:uid="{00000000-0006-0000-0C00-000004000000}">
      <text>
        <r>
          <rPr>
            <b/>
            <sz val="8"/>
            <color indexed="81"/>
            <rFont val="Tahoma"/>
            <family val="2"/>
          </rPr>
          <t>http://www.cushmanwakefield.com/~/media/marketbeat/2015/02/Portland_Americas_MarketBeat_Office_Q42014.pdf shows that $20/sqft assumption is within reason</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tc={42E88F79-7C8D-4E0C-BF7D-63AC81709472}</author>
    <author>tzmj9b</author>
    <author>dzd6mf</author>
  </authors>
  <commentList>
    <comment ref="H3" authorId="0" shapeId="0" xr:uid="{00000000-0006-0000-0D00-000001000000}">
      <text>
        <t>[Threaded comment]
Your version of Excel allows you to read this threaded comment; however, any edits to it will get removed if the file is opened in a newer version of Excel. Learn more: https://go.microsoft.com/fwlink/?linkid=870924
Comment:
    Changed on 6/19/2020 - to refelct new information about arate case development - that the tariff will be changed to allow this.</t>
      </text>
    </comment>
    <comment ref="D5" authorId="1" shapeId="0" xr:uid="{00000000-0006-0000-0D00-000002000000}">
      <text>
        <r>
          <rPr>
            <b/>
            <sz val="9"/>
            <color indexed="81"/>
            <rFont val="Tahoma"/>
            <family val="2"/>
          </rPr>
          <t>tzmj9b:</t>
        </r>
        <r>
          <rPr>
            <sz val="9"/>
            <color indexed="81"/>
            <rFont val="Tahoma"/>
            <family val="2"/>
          </rPr>
          <t xml:space="preserve">
not load dependent</t>
        </r>
      </text>
    </comment>
    <comment ref="D19" authorId="2" shapeId="0" xr:uid="{00000000-0006-0000-0D00-000003000000}">
      <text>
        <r>
          <rPr>
            <b/>
            <sz val="9"/>
            <color indexed="81"/>
            <rFont val="Tahoma"/>
            <family val="2"/>
          </rPr>
          <t>dzd6mf:</t>
        </r>
        <r>
          <rPr>
            <sz val="9"/>
            <color indexed="81"/>
            <rFont val="Tahoma"/>
            <family val="2"/>
          </rPr>
          <t xml:space="preserve">
Can we put this into cost:  
OSM or Serviceman labor rate * number of customers affected = Cost savings.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B8" authorId="0" shapeId="0" xr:uid="{00000000-0006-0000-0E00-000001000000}">
      <text>
        <r>
          <rPr>
            <b/>
            <sz val="9"/>
            <color indexed="81"/>
            <rFont val="Tahoma"/>
            <family val="2"/>
          </rPr>
          <t>updated with Larry's numbers on 7/28/2020
Used a more conservative estimate which reduced the amount of the benefits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Burgess, Dan</author>
  </authors>
  <commentList>
    <comment ref="J6" authorId="0" shapeId="0" xr:uid="{00000000-0006-0000-0F00-000001000000}">
      <text>
        <r>
          <rPr>
            <b/>
            <sz val="9"/>
            <color indexed="81"/>
            <rFont val="Tahoma"/>
            <family val="2"/>
          </rPr>
          <t>updated with Larry's numbers on 7/28/2020
Used a more conservative estimate which reduced the amount of the benefits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tzmj9b</author>
  </authors>
  <commentList>
    <comment ref="E22" authorId="0" shapeId="0" xr:uid="{00000000-0006-0000-1400-000001000000}">
      <text/>
    </comment>
  </commentList>
</comments>
</file>

<file path=xl/sharedStrings.xml><?xml version="1.0" encoding="utf-8"?>
<sst xmlns="http://schemas.openxmlformats.org/spreadsheetml/2006/main" count="2721" uniqueCount="920">
  <si>
    <t>Date</t>
  </si>
  <si>
    <t>Benefit</t>
  </si>
  <si>
    <t>Impact - Reduction in Benefits</t>
  </si>
  <si>
    <t>Notes</t>
  </si>
  <si>
    <t>NPV</t>
  </si>
  <si>
    <t>Actual</t>
  </si>
  <si>
    <t>Meter Reading</t>
  </si>
  <si>
    <t>Gas only areas meters will be read via a van equipped with a mobile reader</t>
  </si>
  <si>
    <t>Special Reads</t>
  </si>
  <si>
    <t>Gas only areas meters will be read via a van equipped with a mobile reader.  Will require a manual read</t>
  </si>
  <si>
    <t>Estimated Bills</t>
  </si>
  <si>
    <t>Gas only areas meters will be read via a van equipped with a mobile reader. Will not be able to use interval data. Adjustment on Summary tab (green highlight) since it was a ratio</t>
  </si>
  <si>
    <t>Bill Inquiries</t>
  </si>
  <si>
    <t>Billing Analysis</t>
  </si>
  <si>
    <t>Rebilling</t>
  </si>
  <si>
    <t>Slow/Failed Meters</t>
  </si>
  <si>
    <t>Stopped Meters</t>
  </si>
  <si>
    <t>Customer Meter Base Repairs</t>
  </si>
  <si>
    <t>Meter base repairs were lower than forecasted.  This also has a corresponding reduction in forecasted costs with offests this reduction in benefits</t>
  </si>
  <si>
    <t>Natural Gas Meter Module Refresh</t>
  </si>
  <si>
    <t>Impact of moving to gas only area to Gas Engineering Refresh Program and using actual ERT install costs vs. projected values</t>
  </si>
  <si>
    <t>Cash Value</t>
  </si>
  <si>
    <t>Area</t>
  </si>
  <si>
    <t>Meter Reading &amp; Meters</t>
  </si>
  <si>
    <t>x</t>
  </si>
  <si>
    <t>Eliminate Regular Meter Reading</t>
  </si>
  <si>
    <t>Reduce Special Meter Reading</t>
  </si>
  <si>
    <t>Net Metering</t>
  </si>
  <si>
    <t>Meter Salvage Value</t>
  </si>
  <si>
    <t>Local Economy Jobs</t>
  </si>
  <si>
    <t>Total</t>
  </si>
  <si>
    <t>Remote Service Connectivity</t>
  </si>
  <si>
    <t>Account Open/Close/Transfer</t>
  </si>
  <si>
    <t>Credit Collections/Connections</t>
  </si>
  <si>
    <t>After Hours Fees</t>
  </si>
  <si>
    <t>Outage Management</t>
  </si>
  <si>
    <t>Earlier Outage Notification</t>
  </si>
  <si>
    <t>More Rapid Restoration</t>
  </si>
  <si>
    <t>Reduced Customer Calls</t>
  </si>
  <si>
    <t>Avoided Single Lights Out</t>
  </si>
  <si>
    <t>Reduced Major Storms Cost</t>
  </si>
  <si>
    <t xml:space="preserve">  Energy Efficiency</t>
  </si>
  <si>
    <t>Conservation Voltage Reduction</t>
  </si>
  <si>
    <t>Customer Energy Efficiency</t>
  </si>
  <si>
    <t>Behavioral Energy Efficiency</t>
  </si>
  <si>
    <t>Grid-Interactive Efficient Buildings</t>
  </si>
  <si>
    <t>Energy Theft &amp; Unbilled Usage</t>
  </si>
  <si>
    <t>Theft and Diversion</t>
  </si>
  <si>
    <t>Unbilled Usage</t>
  </si>
  <si>
    <t>Loss of Phase</t>
  </si>
  <si>
    <t>Billing Accuracy</t>
  </si>
  <si>
    <t>Utility Studies</t>
  </si>
  <si>
    <t>Retail Load Analysis</t>
  </si>
  <si>
    <t>Meter Sampling</t>
  </si>
  <si>
    <t>Grand Total</t>
  </si>
  <si>
    <t>Back to Summary</t>
  </si>
  <si>
    <t>Meter Reading Budget Items</t>
  </si>
  <si>
    <t>Sources or References</t>
  </si>
  <si>
    <t>Adjustment</t>
  </si>
  <si>
    <t>Payroll</t>
  </si>
  <si>
    <t>Meter Readers</t>
  </si>
  <si>
    <t>OSMs</t>
  </si>
  <si>
    <t>Annual Increase Rate</t>
  </si>
  <si>
    <t>Customer Growth</t>
  </si>
  <si>
    <t>Total Budget</t>
  </si>
  <si>
    <t>Meter Reading Budget 2016</t>
  </si>
  <si>
    <t/>
  </si>
  <si>
    <t>Meter Reader Payroll</t>
  </si>
  <si>
    <t>OSM Payroll</t>
  </si>
  <si>
    <t>MR Percent of Non Admin Payroll</t>
  </si>
  <si>
    <t>Calculation:  (Meter Reader Payroll/(Meter Reader Payroll+OSM Payroll))</t>
  </si>
  <si>
    <t>Admin Payroll</t>
  </si>
  <si>
    <t>Overtime</t>
  </si>
  <si>
    <t>Meter Reading Budget 2016: Meter Reader Portion</t>
  </si>
  <si>
    <t>One Leave</t>
  </si>
  <si>
    <t>Total Payroll</t>
  </si>
  <si>
    <t>v</t>
  </si>
  <si>
    <t>IT Support &amp; Technologies</t>
  </si>
  <si>
    <t>Database Admin &amp; Support Labor (1/4 time)</t>
  </si>
  <si>
    <t>ET - taken from Estimated Cost for AMI system</t>
  </si>
  <si>
    <t>Annual System support and Maintenace (Hardware &amp; Software) Costs</t>
  </si>
  <si>
    <t>Forecast from historical budget</t>
  </si>
  <si>
    <t>Software &amp; Handhelds (5 years)</t>
  </si>
  <si>
    <t>Last refresh cost in 2011</t>
  </si>
  <si>
    <t>Total IT Support &amp; Technologies</t>
  </si>
  <si>
    <t>Vehicle Costs</t>
  </si>
  <si>
    <t>Mileage Reimburse</t>
  </si>
  <si>
    <t>Meter Reading Expense Report 2014</t>
  </si>
  <si>
    <t>Miles Driven</t>
  </si>
  <si>
    <t xml:space="preserve"> Fleet mileage records (see Meter Reader Mileage tab)</t>
  </si>
  <si>
    <t>Cost per Mile</t>
  </si>
  <si>
    <t>Fleet G. Loew</t>
  </si>
  <si>
    <t>Total Vehicle Costs</t>
  </si>
  <si>
    <t>Calculation: Cost per Mile * Miles Driven</t>
  </si>
  <si>
    <t>Safety</t>
  </si>
  <si>
    <t>Injury Related Costs Meter Readers
 (2012-2014 Average)</t>
  </si>
  <si>
    <t>Anthony Klutz Safety Report: Costs are incurred outside of Jackies budget.</t>
  </si>
  <si>
    <t>Injury Related Costs OSM's</t>
  </si>
  <si>
    <t>Total Safety</t>
  </si>
  <si>
    <t>Customer Benefit</t>
  </si>
  <si>
    <t>Reduced Mileage (Carbon Reduction)</t>
  </si>
  <si>
    <t>pound of carbon dioxide/mile driven</t>
  </si>
  <si>
    <t>(.96 pound of carbon dioxide/mile driven)
Avista Corporate Sustainability Report (Jessie Wuerst)</t>
  </si>
  <si>
    <t>Tons of carbon avoided</t>
  </si>
  <si>
    <t>Calculation: (Miles Driven * pound of carbon dioxide/mile driven)/2000</t>
  </si>
  <si>
    <t>Costs per ton</t>
  </si>
  <si>
    <t>Avista Integrated Resource Plan</t>
  </si>
  <si>
    <t>Avoided Carbon Cost</t>
  </si>
  <si>
    <t>Calculation: Costs per ton * Tons of carbon avoided</t>
  </si>
  <si>
    <t>Overheads</t>
  </si>
  <si>
    <t xml:space="preserve">Overhead </t>
  </si>
  <si>
    <t>Neil Thorson (Over head loaders calc)</t>
  </si>
  <si>
    <t>Facility Costs</t>
  </si>
  <si>
    <t>2000 sqft at $5/sqft Annual Costs</t>
  </si>
  <si>
    <t>Portion of Facility Costs</t>
  </si>
  <si>
    <t>Calculation: Meter Reader Payroll/Total Budget</t>
  </si>
  <si>
    <t>MR Facility Costs</t>
  </si>
  <si>
    <t>Calculation:  Portion of Facility Costs * Facility Costs</t>
  </si>
  <si>
    <t>Total Overheads</t>
  </si>
  <si>
    <t>Total Meter Reading Costs</t>
  </si>
  <si>
    <t>Calculation: Summation of all costs in Column D</t>
  </si>
  <si>
    <r>
      <t xml:space="preserve">Gas Only Areas Read By Van (Reduction to Benefits) - See Below </t>
    </r>
    <r>
      <rPr>
        <vertAlign val="subscript"/>
        <sz val="11"/>
        <color theme="1"/>
        <rFont val="Calibri"/>
        <family val="2"/>
        <scheme val="minor"/>
      </rPr>
      <t>1</t>
    </r>
  </si>
  <si>
    <t>Meter Reads</t>
  </si>
  <si>
    <t>Total Manual Reads</t>
  </si>
  <si>
    <t>Pivot Tab: Data Pull from Workplace (excluded Openway reads) - 2014 (Manual and Walk by)</t>
  </si>
  <si>
    <t>Cost Per Read</t>
  </si>
  <si>
    <t>Calculation: Total Manual Reads / Total Meter Reading Costs</t>
  </si>
  <si>
    <t>* Budgeted Cost Per Read (Jackie's Budget)</t>
  </si>
  <si>
    <t>Calculation</t>
  </si>
  <si>
    <t>Meter Readers for Gas Only Areas will be retained, resulting in the following reductions in Meter Reading Benefits</t>
  </si>
  <si>
    <t>Gas Only Areas Read By Van</t>
  </si>
  <si>
    <t>Meter Reading Costs</t>
  </si>
  <si>
    <t>Van Costs</t>
  </si>
  <si>
    <t>Annual Special Reads (Washington Only)</t>
  </si>
  <si>
    <t>CSR workflow per read (minutes)</t>
  </si>
  <si>
    <t>CSR Cost per Minute loaded</t>
  </si>
  <si>
    <t>CSR workflow costs</t>
  </si>
  <si>
    <t>CSR\Billing Analyst Workflow Costs calculation</t>
  </si>
  <si>
    <t>Total CSR workflow costs</t>
  </si>
  <si>
    <t>Budgeted costs plus loaded costs per mobile dispatch</t>
  </si>
  <si>
    <t>MR Percent of Non Admin Payroll*Admin Payroll</t>
  </si>
  <si>
    <t>Total budgeted costs plus loaded costs per mobile dispatch</t>
  </si>
  <si>
    <t>Reduce Special Meter Reading Benefit Impacts from Mobile Van Reading</t>
  </si>
  <si>
    <t>AMI Gas Only Deployment Alt Analysis (2/9/2021)</t>
  </si>
  <si>
    <t>CSR Workflow</t>
  </si>
  <si>
    <t>Mins/Meter</t>
  </si>
  <si>
    <t>Sending for a Meter Reread:</t>
  </si>
  <si>
    <r>
      <t xml:space="preserve">1. Click: The </t>
    </r>
    <r>
      <rPr>
        <b/>
        <sz val="12"/>
        <color theme="1"/>
        <rFont val="Calibri"/>
        <family val="2"/>
        <scheme val="minor"/>
      </rPr>
      <t>Premise Tree</t>
    </r>
    <r>
      <rPr>
        <sz val="12"/>
        <color theme="1"/>
        <rFont val="Calibri"/>
        <family val="2"/>
        <scheme val="minor"/>
      </rPr>
      <t xml:space="preserve"> tab.</t>
    </r>
  </si>
  <si>
    <r>
      <t xml:space="preserve">2. Click: The </t>
    </r>
    <r>
      <rPr>
        <b/>
        <sz val="12"/>
        <color theme="1"/>
        <rFont val="Calibri"/>
        <family val="2"/>
        <scheme val="minor"/>
      </rPr>
      <t>SP Context Menu</t>
    </r>
  </si>
  <si>
    <r>
      <t xml:space="preserve">for the service to reread and select </t>
    </r>
    <r>
      <rPr>
        <b/>
        <sz val="12"/>
        <color theme="1"/>
        <rFont val="Calibri"/>
        <family val="2"/>
        <scheme val="minor"/>
      </rPr>
      <t>Go To Meter Read</t>
    </r>
    <r>
      <rPr>
        <sz val="12"/>
        <color theme="1"/>
        <rFont val="Calibri"/>
        <family val="2"/>
        <scheme val="minor"/>
      </rPr>
      <t>.</t>
    </r>
  </si>
  <si>
    <t>3. Select: The most recent meter read.</t>
  </si>
  <si>
    <r>
      <t xml:space="preserve">4. Click: The </t>
    </r>
    <r>
      <rPr>
        <b/>
        <sz val="12"/>
        <color theme="1"/>
        <rFont val="Calibri"/>
        <family val="2"/>
        <scheme val="minor"/>
      </rPr>
      <t>Reread Meter</t>
    </r>
    <r>
      <rPr>
        <sz val="12"/>
        <color theme="1"/>
        <rFont val="Calibri"/>
        <family val="2"/>
        <scheme val="minor"/>
      </rPr>
      <t xml:space="preserve"> button.</t>
    </r>
  </si>
  <si>
    <t>5. Educate: "A meter reader will verify the read and I will then contact you with the results."</t>
  </si>
  <si>
    <t>6. Create a Customer Contact To Do to come back to you.</t>
  </si>
  <si>
    <r>
      <t xml:space="preserve">1. Click: </t>
    </r>
    <r>
      <rPr>
        <b/>
        <sz val="12"/>
        <color theme="1"/>
        <rFont val="Calibri"/>
        <family val="2"/>
        <scheme val="minor"/>
      </rPr>
      <t xml:space="preserve">Person Context Menu </t>
    </r>
    <r>
      <rPr>
        <sz val="12"/>
        <color theme="1"/>
        <rFont val="Calibri"/>
        <family val="2"/>
        <scheme val="minor"/>
      </rPr>
      <t>icon on the dashboard.</t>
    </r>
  </si>
  <si>
    <r>
      <t xml:space="preserve">2. Click: The </t>
    </r>
    <r>
      <rPr>
        <b/>
        <sz val="12"/>
        <color theme="1"/>
        <rFont val="Calibri"/>
        <family val="2"/>
        <scheme val="minor"/>
      </rPr>
      <t>Add button for Go To Customer Contact.</t>
    </r>
  </si>
  <si>
    <r>
      <t xml:space="preserve">3. (Optional) Select: The contact method from the </t>
    </r>
    <r>
      <rPr>
        <b/>
        <i/>
        <sz val="12"/>
        <color theme="1"/>
        <rFont val="Calibri"/>
        <family val="2"/>
        <scheme val="minor"/>
      </rPr>
      <t>Preferred Contact Method</t>
    </r>
    <r>
      <rPr>
        <sz val="12"/>
        <color theme="1"/>
        <rFont val="Calibri"/>
        <family val="2"/>
        <scheme val="minor"/>
      </rPr>
      <t xml:space="preserve"> dropdown.</t>
    </r>
  </si>
  <si>
    <r>
      <t xml:space="preserve">Select </t>
    </r>
    <r>
      <rPr>
        <b/>
        <sz val="12"/>
        <color theme="1"/>
        <rFont val="Calibri"/>
        <family val="2"/>
        <scheme val="minor"/>
      </rPr>
      <t>Email</t>
    </r>
    <r>
      <rPr>
        <sz val="12"/>
        <color theme="1"/>
        <rFont val="Calibri"/>
        <family val="2"/>
        <scheme val="minor"/>
      </rPr>
      <t xml:space="preserve"> when the customer will be receiving a letter via email.</t>
    </r>
  </si>
  <si>
    <r>
      <t xml:space="preserve">4. Select: The </t>
    </r>
    <r>
      <rPr>
        <b/>
        <i/>
        <sz val="12"/>
        <color theme="1"/>
        <rFont val="Calibri"/>
        <family val="2"/>
        <scheme val="minor"/>
      </rPr>
      <t>Contact Class</t>
    </r>
    <r>
      <rPr>
        <sz val="12"/>
        <color theme="1"/>
        <rFont val="Calibri"/>
        <family val="2"/>
        <scheme val="minor"/>
      </rPr>
      <t xml:space="preserve"> from the dropdown.</t>
    </r>
  </si>
  <si>
    <r>
      <t xml:space="preserve">5. Click: The </t>
    </r>
    <r>
      <rPr>
        <b/>
        <sz val="12"/>
        <color theme="1"/>
        <rFont val="Calibri"/>
        <family val="2"/>
        <scheme val="minor"/>
      </rPr>
      <t>Search</t>
    </r>
  </si>
  <si>
    <r>
      <t xml:space="preserve">6. Enter: In the </t>
    </r>
    <r>
      <rPr>
        <b/>
        <sz val="12"/>
        <color theme="1"/>
        <rFont val="Calibri"/>
        <family val="2"/>
        <scheme val="minor"/>
      </rPr>
      <t>Comments</t>
    </r>
    <r>
      <rPr>
        <sz val="12"/>
        <color theme="1"/>
        <rFont val="Calibri"/>
        <family val="2"/>
        <scheme val="minor"/>
      </rPr>
      <t xml:space="preserve"> field:</t>
    </r>
  </si>
  <si>
    <t>Costs Per Install Per Meter</t>
  </si>
  <si>
    <t>Meterman's Cost</t>
  </si>
  <si>
    <t>Meter Cost</t>
  </si>
  <si>
    <t>Meter Shop (Mike)</t>
  </si>
  <si>
    <t>Reduced Cost for Production Meter</t>
  </si>
  <si>
    <t>Install and Administrative Cost</t>
  </si>
  <si>
    <t>Labor Overheads</t>
  </si>
  <si>
    <t xml:space="preserve">Neil Thorson </t>
  </si>
  <si>
    <t>Utilization Rate</t>
  </si>
  <si>
    <t>From Meter man study (accounts for holidays, OL, training, etc)</t>
  </si>
  <si>
    <t>Total Labor Costs</t>
  </si>
  <si>
    <t>Total Meter Install Costs (incremental)</t>
  </si>
  <si>
    <t>Annual O&amp;M increase Rate</t>
  </si>
  <si>
    <t>Percent Costs O&amp;M</t>
  </si>
  <si>
    <t>Adjusted O&amp;M Increase Rate</t>
  </si>
  <si>
    <t>Years where a production meter is required</t>
  </si>
  <si>
    <t>Year</t>
  </si>
  <si>
    <t>Forecasted Installed Solar Panels</t>
  </si>
  <si>
    <t>Forecasted Installed Cost</t>
  </si>
  <si>
    <t>Forecasted</t>
  </si>
  <si>
    <t>Itron Deployment Services</t>
  </si>
  <si>
    <t>Trinity MDM Services</t>
  </si>
  <si>
    <t>Itron Software</t>
  </si>
  <si>
    <t>Head End System Services</t>
  </si>
  <si>
    <t>Meter Deployment</t>
  </si>
  <si>
    <t>Meter Repair</t>
  </si>
  <si>
    <t>New Total Actual</t>
  </si>
  <si>
    <t>New Total NPV</t>
  </si>
  <si>
    <t>Actuals to Date</t>
  </si>
  <si>
    <t>Differences</t>
  </si>
  <si>
    <t>Cost Adj</t>
  </si>
  <si>
    <t>ERTs That Would Require Planned Replacement</t>
  </si>
  <si>
    <t>Percent of ERTs that Would Not Fail Prior to Planned Replacement</t>
  </si>
  <si>
    <t>Estimated ERT Avoided Replacements</t>
  </si>
  <si>
    <t>Estimated Cost Per ERT (Equipment)</t>
  </si>
  <si>
    <t>Estimated Cost per ERT (Labor)</t>
  </si>
  <si>
    <t>Estimated Cost per ERT (Overheads) - inlcuded in the total ERT cost now</t>
  </si>
  <si>
    <t>Estimated Avoided ERT Replacement Costs</t>
  </si>
  <si>
    <t>Transfer gas only modules to Gas Engineering Gas Refresh Program</t>
  </si>
  <si>
    <t>Total Avoided Costs</t>
  </si>
  <si>
    <t>Cost Inputs</t>
  </si>
  <si>
    <r>
      <t>1.</t>
    </r>
    <r>
      <rPr>
        <sz val="7"/>
        <color rgb="FF1F497D"/>
        <rFont val="Times New Roman"/>
        <family val="1"/>
      </rPr>
      <t xml:space="preserve">       </t>
    </r>
    <r>
      <rPr>
        <sz val="11"/>
        <color rgb="FF1F497D"/>
        <rFont val="Calibri"/>
        <family val="2"/>
        <scheme val="minor"/>
      </rPr>
      <t>Materials</t>
    </r>
  </si>
  <si>
    <t>Battery Catalog of Remaining Life from Asset Management (5/12/2017)</t>
  </si>
  <si>
    <r>
      <t>a.</t>
    </r>
    <r>
      <rPr>
        <sz val="7"/>
        <color rgb="FF1F497D"/>
        <rFont val="Times New Roman"/>
        <family val="1"/>
      </rPr>
      <t xml:space="preserve">       </t>
    </r>
    <r>
      <rPr>
        <sz val="11"/>
        <color rgb="FF1F497D"/>
        <rFont val="Calibri"/>
        <family val="2"/>
        <scheme val="minor"/>
      </rPr>
      <t>Residential - $55.77 each (includes the ERT module, index, and programming)</t>
    </r>
  </si>
  <si>
    <t>Remaining Life of Battery</t>
  </si>
  <si>
    <t>Count</t>
  </si>
  <si>
    <r>
      <t>b.</t>
    </r>
    <r>
      <rPr>
        <sz val="7"/>
        <color rgb="FF1F497D"/>
        <rFont val="Times New Roman"/>
        <family val="1"/>
      </rPr>
      <t xml:space="preserve">      </t>
    </r>
    <r>
      <rPr>
        <sz val="11"/>
        <color rgb="FF1F497D"/>
        <rFont val="Calibri"/>
        <family val="2"/>
        <scheme val="minor"/>
      </rPr>
      <t>Commercial - $201.22 each (includes the ERT module, index, and programming)</t>
    </r>
  </si>
  <si>
    <r>
      <t>2.</t>
    </r>
    <r>
      <rPr>
        <sz val="7"/>
        <color rgb="FF1F497D"/>
        <rFont val="Times New Roman"/>
        <family val="1"/>
      </rPr>
      <t xml:space="preserve">       </t>
    </r>
    <r>
      <rPr>
        <sz val="11"/>
        <color rgb="FF1F497D"/>
        <rFont val="Calibri"/>
        <family val="2"/>
        <scheme val="minor"/>
      </rPr>
      <t>Labor to replace ERT - $21.42 each</t>
    </r>
  </si>
  <si>
    <r>
      <t>3.</t>
    </r>
    <r>
      <rPr>
        <b/>
        <sz val="7"/>
        <color rgb="FF1F497D"/>
        <rFont val="Times New Roman"/>
        <family val="1"/>
      </rPr>
      <t xml:space="preserve">       </t>
    </r>
    <r>
      <rPr>
        <b/>
        <sz val="11"/>
        <color rgb="FF1F497D"/>
        <rFont val="Calibri"/>
        <family val="2"/>
        <scheme val="minor"/>
      </rPr>
      <t>Total</t>
    </r>
  </si>
  <si>
    <r>
      <t>a.</t>
    </r>
    <r>
      <rPr>
        <b/>
        <sz val="7"/>
        <color rgb="FF1F497D"/>
        <rFont val="Times New Roman"/>
        <family val="1"/>
      </rPr>
      <t xml:space="preserve">       </t>
    </r>
    <r>
      <rPr>
        <b/>
        <sz val="11"/>
        <color rgb="FF1F497D"/>
        <rFont val="Calibri"/>
        <family val="2"/>
        <scheme val="minor"/>
      </rPr>
      <t>Residential - $77.19 each</t>
    </r>
  </si>
  <si>
    <r>
      <t>b.</t>
    </r>
    <r>
      <rPr>
        <b/>
        <sz val="7"/>
        <color rgb="FF1F497D"/>
        <rFont val="Times New Roman"/>
        <family val="1"/>
      </rPr>
      <t xml:space="preserve">      </t>
    </r>
    <r>
      <rPr>
        <b/>
        <sz val="11"/>
        <color rgb="FF1F497D"/>
        <rFont val="Calibri"/>
        <family val="2"/>
        <scheme val="minor"/>
      </rPr>
      <t>Commercial - $222.64 each</t>
    </r>
  </si>
  <si>
    <t>Link to ERT replacement doc</t>
  </si>
  <si>
    <t>Updated costs from Actuals (Prior values noted above were estimates)</t>
  </si>
  <si>
    <t>Install Cost Per Meter (Average)</t>
  </si>
  <si>
    <t>Gas Module Cost (Average)</t>
  </si>
  <si>
    <t xml:space="preserve">Smoothing </t>
  </si>
  <si>
    <t>Before</t>
  </si>
  <si>
    <t>After</t>
  </si>
  <si>
    <t>Gas Only:</t>
  </si>
  <si>
    <t>% Gas Only:</t>
  </si>
  <si>
    <t xml:space="preserve">Existing meters will be replaced with the new AMI meters and as a result will need to be properly managed for recovery or disposal.  The market for resale has dried up as evidenced with resellers stating that third world markets are choosing newer meters over refurbished meters.  We believe this can attributed to the theft and diversion benefits being large percentage-wise in less economically developed countries.   The lack of a resale market combined with lower salvage values for metals makes the benefits associated with recovery nonexistent.  
The benefit for recovery is offset with the labor costs to process the meters, but is still a worthy option because it reduces a potential disposal cost of approximately $148,000 and is consistent with our sustainability efforts.  
We assign a zero value to this benefit, but wanted to include a note that Avista will not incur disposal costs because there is a value enough for the meters for the recycling company to acquire them.
</t>
  </si>
  <si>
    <t>Avoided Disposal Cost</t>
  </si>
  <si>
    <t>Tara noted that Paul Kimmell Estimated ~2 Million</t>
  </si>
  <si>
    <t>The updated information has not been added into the financial model (this is for discussion)</t>
  </si>
  <si>
    <t>Original</t>
  </si>
  <si>
    <t>Wellington &amp; FivePoint Updated</t>
  </si>
  <si>
    <t>Added in Itron</t>
  </si>
  <si>
    <t>Itron Services</t>
  </si>
  <si>
    <t xml:space="preserve"> 2,905,562 </t>
  </si>
  <si>
    <t xml:space="preserve"> 1,740,272 </t>
  </si>
  <si>
    <t>New Total</t>
  </si>
  <si>
    <t>Itron Hardware</t>
  </si>
  <si>
    <t xml:space="preserve">$              7,097 </t>
  </si>
  <si>
    <t xml:space="preserve"> $            77,708 </t>
  </si>
  <si>
    <t xml:space="preserve"> $       4,642,768 </t>
  </si>
  <si>
    <t xml:space="preserve"> $       21,009,355 </t>
  </si>
  <si>
    <t xml:space="preserve"> $       10,090,189 </t>
  </si>
  <si>
    <t>&lt; Separated from this analysis because meter base repairs are a direct customer benefit, compared with an indirect economic benefit</t>
  </si>
  <si>
    <t>Annual O&amp;M increase rate</t>
  </si>
  <si>
    <t>Avoided Admin Costs for Open/Close/Transfer</t>
  </si>
  <si>
    <t>Avoided Admin Costs for Customer Requested Turn On and Turn Off</t>
  </si>
  <si>
    <t>Avoided Non Soft Open Close</t>
  </si>
  <si>
    <t>Account Open, Close Transfer</t>
  </si>
  <si>
    <t>Increase in Letters</t>
  </si>
  <si>
    <t>Cost of letters</t>
  </si>
  <si>
    <t>Pulled from TransCentra Billing spreasheet - Kim Corrigeux</t>
  </si>
  <si>
    <t>Letters for application of service (2014)</t>
  </si>
  <si>
    <t>Monthly average (1048 * 12month) - received from Paula Nichols</t>
  </si>
  <si>
    <t>2014 cost per application letter sent</t>
  </si>
  <si>
    <t>Calculation: cost of letters * letters for application of service (2014)</t>
  </si>
  <si>
    <t>Total Non-Soft Closes (2014)</t>
  </si>
  <si>
    <t>Metered History - counted meters where gap between open and close was greater than 1 day.  See NonSoftCloseDetails tab to show accounts - Lisa Garrett</t>
  </si>
  <si>
    <t>Expecteds cost for application with AMI meters</t>
  </si>
  <si>
    <t>Calculation: cost of letters * Total non-soft closes (2014)</t>
  </si>
  <si>
    <t xml:space="preserve">Increased Cost: </t>
  </si>
  <si>
    <t>Calculation: Expected cost for applications with AMI meters * 2014 cost per application letter sent</t>
  </si>
  <si>
    <t>Customer would have quicker reconnect response</t>
  </si>
  <si>
    <t>Average hours to complete FA</t>
  </si>
  <si>
    <t>Retreived from Nicola Hostetler see Cost per Dispatch tab</t>
  </si>
  <si>
    <t>Expected average hours to complete FA for AMI</t>
  </si>
  <si>
    <t>Customer Experience: Hours to complete FA</t>
  </si>
  <si>
    <t>Service Level Improvement</t>
  </si>
  <si>
    <t>Manual Service Dispatches Avoided</t>
  </si>
  <si>
    <t>total number of reconnects, non credit - WA (2014)</t>
  </si>
  <si>
    <t>Provided by Lisa Garrett see NonSoftClostDetails tab</t>
  </si>
  <si>
    <t>total number of disconnects, non credit - WA (2014)</t>
  </si>
  <si>
    <t>Total Open And Close That Can Be Done Remotely</t>
  </si>
  <si>
    <t>Calculation: Total Non-Soft Closes (2014) * 2 + total number of reconnects, non credit - WA (2014) + total number of disconnects, non credit - WA (2014)</t>
  </si>
  <si>
    <t>Cost per dispatch</t>
  </si>
  <si>
    <t>Per Nicola Hostetler</t>
  </si>
  <si>
    <t>Avoided Cost: For Open And Close That Can Be Done Remotely</t>
  </si>
  <si>
    <t>Servicemen Avoided Costs</t>
  </si>
  <si>
    <t>Disconnects and Reconnects (13 + 14)</t>
  </si>
  <si>
    <t>Serviceman costs per visit</t>
  </si>
  <si>
    <t>(Serviceman's time include in route and onsite / utilization rate) * average minutes per vist + $15 transportation cost which includes unit cost per mile (average of $1 per mile)</t>
  </si>
  <si>
    <t>Cost Benefit: avoided trip</t>
  </si>
  <si>
    <t>Unbilled Accts</t>
  </si>
  <si>
    <t>Serviceman costs per visit (2 visits required)</t>
  </si>
  <si>
    <t>Total Costs for Servicemen Avoided Viists</t>
  </si>
  <si>
    <t>Total Cost Savings</t>
  </si>
  <si>
    <t>Customer experience</t>
  </si>
  <si>
    <t xml:space="preserve"> -2.5 hours</t>
  </si>
  <si>
    <t>Jackie Foss Budget 2016</t>
  </si>
  <si>
    <t>Jackie Foss Budget 2016: most goes to OSMs</t>
  </si>
  <si>
    <t>ET - taken from Estimated Cost for AMI calcs</t>
  </si>
  <si>
    <t>Jon Thompson current state O&amp;M for Handheld Reading Technologies, Openway, IEE MDM</t>
  </si>
  <si>
    <t>Jackie Foss Expense Report 2014</t>
  </si>
  <si>
    <t>Additional Costs (See Part 2)</t>
  </si>
  <si>
    <t>Total Additional Costs</t>
  </si>
  <si>
    <t>Total OSM Costs</t>
  </si>
  <si>
    <t>Calcualtion: Summation of all costs in Column D</t>
  </si>
  <si>
    <t>Additional Costs</t>
  </si>
  <si>
    <t xml:space="preserve">Part 2 </t>
  </si>
  <si>
    <t>Reduce Prior Obligation and Balances, Thus write-off to revenue</t>
  </si>
  <si>
    <t>Credit Connections</t>
  </si>
  <si>
    <t>Prior Obligation Amount (2014)</t>
  </si>
  <si>
    <t>Write-off to revenue Amount (2014)</t>
  </si>
  <si>
    <t>Percentage increase/decrease?</t>
  </si>
  <si>
    <t>Eliminate "Too Old to Work" orders</t>
  </si>
  <si>
    <t>Total number of "Too Old to Work" orders (2014)</t>
  </si>
  <si>
    <t>Provided by Lisa Garrett see Too Old to Work</t>
  </si>
  <si>
    <t>Cost of Notices</t>
  </si>
  <si>
    <t xml:space="preserve">retreive from TransCentra invoices </t>
  </si>
  <si>
    <t xml:space="preserve">Cost of "Too Old to Work" notices </t>
  </si>
  <si>
    <t>Calculation: (Cost of Notices * 4) * Total number of "Too Old to Work" orders (2014)</t>
  </si>
  <si>
    <t>Cost if notices hadn't resulted in "Too Old to Work"</t>
  </si>
  <si>
    <t>Calculation: (Cost of Notices * 2) * Total number of "Too Old to Work" orders (2014)</t>
  </si>
  <si>
    <t>Cost Benefit</t>
  </si>
  <si>
    <t>Calculation: Cost of "Too Old to Work" notices - Cost if notices hadn't resulted in "Too Old to Work"</t>
  </si>
  <si>
    <t>Dispatch Workload will decrease if disconnects are automated</t>
  </si>
  <si>
    <t>Total number of disconnects related to credit (2014)</t>
  </si>
  <si>
    <t xml:space="preserve">Provided by Lisa Garrett seeDisconnects Reconnects 12-7-15 </t>
  </si>
  <si>
    <t xml:space="preserve">Average Budgeted cost per dispatch order </t>
  </si>
  <si>
    <t>Provided by Nicola, see Cost per Dispatch tab</t>
  </si>
  <si>
    <t>Cost for disconnects related to credit</t>
  </si>
  <si>
    <t xml:space="preserve">Calculation: Total number of disconnects related to credit (2014) * Average Budgeted cost per dispatch order </t>
  </si>
  <si>
    <t>Total number of reconnects related to credit (2014)</t>
  </si>
  <si>
    <t>Cost for reconnects related to credit</t>
  </si>
  <si>
    <t xml:space="preserve">Calculation: Total number of reconnects related to credit (2014) * Average Budgeted cost per dispatch order </t>
  </si>
  <si>
    <t>Calculation: Cost for disconnects related to credit + Cost for reconnects related to credit</t>
  </si>
  <si>
    <t>Potential increase to commission complaints</t>
  </si>
  <si>
    <t>Total number of complaints related to disconnects - WA (2014)</t>
  </si>
  <si>
    <t>Provided by Dalila Sheehan - see "credit disconnect complaints" tab.</t>
  </si>
  <si>
    <t>Expected increase to claims (10%)</t>
  </si>
  <si>
    <t>Calculation: Total number of claims related to disconnects - WA (2014) * Expected increase to claims (10%)</t>
  </si>
  <si>
    <t>Average hours to complete Claim</t>
  </si>
  <si>
    <t>Provided by Dalila Sheehan</t>
  </si>
  <si>
    <t>Labor Rate</t>
  </si>
  <si>
    <t xml:space="preserve">Commission 2014 Est avg. $ per Hr incl loadings. </t>
  </si>
  <si>
    <t>Additional Cost</t>
  </si>
  <si>
    <t>Calculation:</t>
  </si>
  <si>
    <t>Avoided Late Fees</t>
  </si>
  <si>
    <t xml:space="preserve"> Reduce After Hours reconnect from $32 to $16 (WA)</t>
  </si>
  <si>
    <t>Total number of after hours reconnects (2014-WA)</t>
  </si>
  <si>
    <t>Provided by Lisa Garrett, see After Hours FA's tab</t>
  </si>
  <si>
    <t>After hours reconnect fee (WA)</t>
  </si>
  <si>
    <t>Provided by Contact Center</t>
  </si>
  <si>
    <t>Customer Cost for After Hours Reconnect</t>
  </si>
  <si>
    <t>Calculation: Total number of after hours reconnects * After Hours fee</t>
  </si>
  <si>
    <t>Regular Business Hours fee (WA)</t>
  </si>
  <si>
    <t>Customer cost if they had paid regular fee</t>
  </si>
  <si>
    <t>Calculation: Total number of after hours reconnects * Regular Business Hours Fee</t>
  </si>
  <si>
    <t>Customer Cost Savings:</t>
  </si>
  <si>
    <t>Calculation: Customer cost for After Hours Reconnects - Customer cost if they had paid regular fee</t>
  </si>
  <si>
    <t>Customer doesn't have to wait for next day turn-on/reconnect</t>
  </si>
  <si>
    <t>Total number of FA's created after 7PM-7AM Mon-Fri (2014)</t>
  </si>
  <si>
    <t>Provided by Nicola, see Reconnects tab</t>
  </si>
  <si>
    <t>Total number of FA's created after 12PM on Saturday (2014)</t>
  </si>
  <si>
    <t>Total number of FA's created on Sunday (2014)</t>
  </si>
  <si>
    <t>Total number of customers who wouldn't have to wait for next day turn-on</t>
  </si>
  <si>
    <t>calculation: Total number of FA's created after 7PM-7AM Mon-Fri + Total number of FA's created after 12PM on Saturday + Total number of FA's created on Sunday</t>
  </si>
  <si>
    <t>Automate Reconnect fee charges - Eliminates a CS Support report</t>
  </si>
  <si>
    <t>Hours to complete report in 1 week (2015)</t>
  </si>
  <si>
    <t>provided by Lisa Garrett see Reduced CS Support Workload</t>
  </si>
  <si>
    <t>weeks in a year</t>
  </si>
  <si>
    <t>Calander weeks</t>
  </si>
  <si>
    <t>Hours to complete report in 1 year</t>
  </si>
  <si>
    <t>Calculation: Hours to complete report in 1 week * weeks in a year</t>
  </si>
  <si>
    <t>Loaded Labor Rate (2014)</t>
  </si>
  <si>
    <t xml:space="preserve">BackOffice 2014 Est avg. $ per Hr incl loadings. </t>
  </si>
  <si>
    <t>Cost Savings</t>
  </si>
  <si>
    <t>Annual Customer And Load Growth</t>
  </si>
  <si>
    <t>Annual inflation rate</t>
  </si>
  <si>
    <t>Source: IMF (Projected inflation rate through.2017-2020)</t>
  </si>
  <si>
    <t xml:space="preserve">Estimated Customer Savings </t>
  </si>
  <si>
    <t>&lt;- 2019</t>
  </si>
  <si>
    <t>Forecasted Installed Cost (see Spreadsheet)</t>
  </si>
  <si>
    <t>Actual Dollars</t>
  </si>
  <si>
    <t>2019</t>
  </si>
  <si>
    <t>     Ramp up in Capability</t>
  </si>
  <si>
    <t>Behavioral Energy Conservation</t>
  </si>
  <si>
    <t>    AnnualCustomerSavings</t>
  </si>
  <si>
    <t>Reduced Outage Duraion from More Efficient Restoration Processes</t>
  </si>
  <si>
    <t>4% Reduction in Duration</t>
  </si>
  <si>
    <t xml:space="preserve">Annual Value = </t>
  </si>
  <si>
    <t xml:space="preserve">When an AMI meter is installed, the meter will communicate its status directly to OMT, accelerating the awareness of an outage by not relying solely on customer initiated outage reports.  Customers with AMI meters will be less likely to call Avista to report their outage as their familiarity and confidence in automated outage notification increases.  The reduction in phone calls will reduce the staffing needed to handle customer initiated outage calls. </t>
  </si>
  <si>
    <t>Customer Growth Rate</t>
  </si>
  <si>
    <t>O&amp;M Escalation</t>
  </si>
  <si>
    <t>Reduction in customer outage phone calls</t>
  </si>
  <si>
    <t>Electric Call Volume (2014)</t>
  </si>
  <si>
    <t>Retrieve from Veronica see "Electric Call Volume" tab.</t>
  </si>
  <si>
    <t>WA electric Calls (2014) (67% of Electric calls)</t>
  </si>
  <si>
    <t>Calculation: 67% * Electric Call Volume (2014)</t>
  </si>
  <si>
    <t>Total Number of initial incidents created by CSRs (WA)</t>
  </si>
  <si>
    <t>Cognos Report see Incidents by CSRs tab</t>
  </si>
  <si>
    <t>Potential reduction in electric calls</t>
  </si>
  <si>
    <t>Average Handle Time for All Calls (2014) - m:ss</t>
  </si>
  <si>
    <t>Retreived from Veronica Soules - Contact Center Stats</t>
  </si>
  <si>
    <t>Average Handle Time for Electric Calls (2014) - m:ss</t>
  </si>
  <si>
    <t xml:space="preserve">Electric AHT percentage of AHT. </t>
  </si>
  <si>
    <t>Calculation: Average Handle Time for Electric Calls (2014) - m:ss / Average Handle Time for Electric Calls (2014) - m:ss</t>
  </si>
  <si>
    <t>Cost per Call (2015)</t>
  </si>
  <si>
    <t>Cost per Electric Call (2015)</t>
  </si>
  <si>
    <t>Calculation: Electric AHT percentage of AHT.  * Cost per Call (2015)</t>
  </si>
  <si>
    <t>Calculation: Cost per Electric Call (2015) * (Percentage of WA Electric calls where initial incident was created by CSR * WA electric Calls (2014) (67% of Electric calls))</t>
  </si>
  <si>
    <t>Reduction in outage call duration as AMI meters are rolled out.</t>
  </si>
  <si>
    <t>Average CSR time to gather outage information to report incident</t>
  </si>
  <si>
    <t>QA Reviewed Electric Calls - range between 60-80 seconds.</t>
  </si>
  <si>
    <t>Decrease in call time</t>
  </si>
  <si>
    <t>Calculation: Average CSR time to gather outage information to report incident / Average Handle Time for Electric Calls (2014) - m:ss</t>
  </si>
  <si>
    <t>Cost related to gathering outage information to create initial ticket</t>
  </si>
  <si>
    <t>Calculation: Cost per Electric Call (2015) * Percentage of call time related to gathering outage information to create initial ticket</t>
  </si>
  <si>
    <t>Cost savings</t>
  </si>
  <si>
    <t>Calculation: Cost related to gathering outage information to create initial ticket * Total Number of initial incidents created by CSRs (WA)</t>
  </si>
  <si>
    <t>Avoiding False Positive</t>
  </si>
  <si>
    <t>This benefit estimates the reduction in the number of truck rolls associated with customers who call in to report an outage that is determined to be caused by something on the occupant’s side of the meter.  Outage management responds to calls where customers lose power.  The goal is to restore power safely and quickly.  An outage that is responded to is called an incidence and each incidence is measured by duration and number of customers out of power.  Some incidences that are responded to are false incidences where the customer power loss is due to a cause on the customer side of the meter, which is still a cost to the utility.  Reducing the time spent investigating these false positives will result in lower time spent on the phones, data entry and physical trips to the customer’s home.  A call center representative will try to determine the meter state by asking the customer specific questions that would help diagnose if the outage is customer caused.  Questions such as have you checked your breaker or are your neighbors' lights on are used to determine if the problem is isolated to the homeowner's premise.  Without the AMI insight, a crew will be dispatched to investigate and if needed resolve an outage.</t>
  </si>
  <si>
    <t>Escalation Rate</t>
  </si>
  <si>
    <t>Percent Realized</t>
  </si>
  <si>
    <t>Forecasted Avoided Cost</t>
  </si>
  <si>
    <t>Benefits Description</t>
  </si>
  <si>
    <t>2009-2014 Avg</t>
  </si>
  <si>
    <t>Events</t>
  </si>
  <si>
    <t>Total False Postive Reports Per Year Washington</t>
  </si>
  <si>
    <t>Reuben Arts (OMT)</t>
  </si>
  <si>
    <t>Crew Responded To Incident Count Washington</t>
  </si>
  <si>
    <t>Servicemen Responded to Incident Count Washington</t>
  </si>
  <si>
    <t>Crew Costs</t>
  </si>
  <si>
    <t>Average Time Per Response By Crew in Hours</t>
  </si>
  <si>
    <t>Number of Crew per Response</t>
  </si>
  <si>
    <t>Overtime Percentage Ratio</t>
  </si>
  <si>
    <t>Prior Study from 2009</t>
  </si>
  <si>
    <t>Average Labor Rate</t>
  </si>
  <si>
    <t>Loading</t>
  </si>
  <si>
    <t>Blended Hourly Cost Per Crew Hour</t>
  </si>
  <si>
    <t>Vehicle Cost Per Incident</t>
  </si>
  <si>
    <t>Average Cost Per Incident</t>
  </si>
  <si>
    <t>Servicemen Costs</t>
  </si>
  <si>
    <t>Average Time Per Response By Serviceman in Hours</t>
  </si>
  <si>
    <t>Number of Serviceman per Response</t>
  </si>
  <si>
    <t>Blended Hourly Cost Per Serviceman Hour</t>
  </si>
  <si>
    <t>CSR Time</t>
  </si>
  <si>
    <t>CSR reduced call time was included in the OMT Reduced Call Time Benefit</t>
  </si>
  <si>
    <t>Estimated Costs Total</t>
  </si>
  <si>
    <t>Total Costs</t>
  </si>
  <si>
    <t>Expected Percentage Decrease</t>
  </si>
  <si>
    <t>Expected Net Benefit</t>
  </si>
  <si>
    <t>Incremental Costs</t>
  </si>
  <si>
    <t>Training: Part of the CSR Training</t>
  </si>
  <si>
    <t>Application and Development Cost</t>
  </si>
  <si>
    <t>Included in reduced customer calls benefit</t>
  </si>
  <si>
    <t>Total (Calculation)</t>
  </si>
  <si>
    <t>Average</t>
  </si>
  <si>
    <t>&lt;=2Man</t>
  </si>
  <si>
    <t>&gt;2Man</t>
  </si>
  <si>
    <t>PercentWashington</t>
  </si>
  <si>
    <t>Washington Grand Total</t>
  </si>
  <si>
    <t>Table 1</t>
  </si>
  <si>
    <t>CrewCat</t>
  </si>
  <si>
    <t>Incidents</t>
  </si>
  <si>
    <t>Based on an average of $4,170,430/Year from 2010 - 2014
Percent of costs apportioned to employees and corresponding costs such as payroll, meals and lodging is 59.5%
Assumption is that estimated reduction in time is 10% or (5.95% adjusted)</t>
  </si>
  <si>
    <t>Expected Value</t>
  </si>
  <si>
    <t>Forecasted Restoration Savings</t>
  </si>
  <si>
    <t xml:space="preserve">reduction rate </t>
  </si>
  <si>
    <t>X&amp;R Savings</t>
  </si>
  <si>
    <t>AMI Augmentation</t>
  </si>
  <si>
    <t>Future Grid Mod</t>
  </si>
  <si>
    <t>Grid Mod Cost</t>
  </si>
  <si>
    <t>CVR/AMI Cost Other (Capital)</t>
  </si>
  <si>
    <t>Mitigation (Capital)</t>
  </si>
  <si>
    <t>CVR/AMI Cost Other (O&amp;M)</t>
  </si>
  <si>
    <t>Benefits</t>
  </si>
  <si>
    <t>Costs</t>
  </si>
  <si>
    <t>Totals</t>
  </si>
  <si>
    <t>Load</t>
  </si>
  <si>
    <t>O&amp;M</t>
  </si>
  <si>
    <t>Inflation</t>
  </si>
  <si>
    <t>Third Party Evaluation</t>
  </si>
  <si>
    <t>Customer Load Growth</t>
  </si>
  <si>
    <t>Energy Savings due to better understanding of energy usage</t>
  </si>
  <si>
    <t>Immediate direct feedback could be extremely valuable, especially for savings from daily behaviour in non-heating end-uses. In the longer term and on a larger scale, informative billing and annual energy reports can promote investment as well as influencing behaviour. Savings have been shown in the region of 5-15% and 0-10% for direct and indirect feedback respectively.</t>
  </si>
  <si>
    <t>#</t>
  </si>
  <si>
    <t>kWh</t>
  </si>
  <si>
    <t>Avg</t>
  </si>
  <si>
    <t>Commercial Customers</t>
  </si>
  <si>
    <t>Residential Customers</t>
  </si>
  <si>
    <t>Under 500 kWh/Mo</t>
  </si>
  <si>
    <t>500 - 1000 kWh/Mo</t>
  </si>
  <si>
    <t>Over 1000 kWh/Mo</t>
  </si>
  <si>
    <t>&lt;-- if total reduction across all customers was 2% on average</t>
  </si>
  <si>
    <t>% participating</t>
  </si>
  <si>
    <t>% Reduced</t>
  </si>
  <si>
    <t>kWh Reduction</t>
  </si>
  <si>
    <t>http://www.slideshare.net/breakingnews/unlocking-energy-efficiency-in-the-us-economy-1789726</t>
  </si>
  <si>
    <t>http://www.eci.ox.ac.uk/research/energy/downloads/smart-metering-report.pdf</t>
  </si>
  <si>
    <t>1-4%</t>
  </si>
  <si>
    <t xml:space="preserve">http://finance-commerce.com/2014/09/sustainable-reducing-energy-use-through-behavioral-science/ </t>
  </si>
  <si>
    <t>http://opower.com/uploads/library/file/24/Opower_WP_Effective_Customer_Engagement.pdf.pdf</t>
  </si>
  <si>
    <t>http://www.elp.com/articles/2013/07/study-utility-customer-engagement-programs-are-worth-it.html</t>
  </si>
  <si>
    <t>https://www.energystar.gov/buildings/program-administrators/state-and-local-governments/campaigns</t>
  </si>
  <si>
    <t>http://www.energyvortex.com/pages/headlinedetails.cfm?id=4857</t>
  </si>
  <si>
    <t>http://www.intelligentutility.com/article/12/02/behavioral-approaches-energy-conservation-pay&amp;utm_medium=eNL&amp;utm_campaign=IU_DAILY2&amp;utm_term=Original-Member</t>
  </si>
  <si>
    <t>http://www.bchydro.com/content/dam/BCHydro/customer-portal/documents/projects/smart-metering/smi-program-business-case.pdf</t>
  </si>
  <si>
    <t>http://www.utilitydive.com/news/could-reducing-peak-demand-5-be-as-simple-as-asking/329102/</t>
  </si>
  <si>
    <t>REV_CLASS_CDE</t>
  </si>
  <si>
    <t>CountOfUSAGE_PT_KY</t>
  </si>
  <si>
    <t>SumOfACCUM_USAGE_QTY</t>
  </si>
  <si>
    <t>01</t>
  </si>
  <si>
    <t>21</t>
  </si>
  <si>
    <t>39</t>
  </si>
  <si>
    <t>31</t>
  </si>
  <si>
    <t>80</t>
  </si>
  <si>
    <t>51</t>
  </si>
  <si>
    <t>Forecasted EE Savings</t>
  </si>
  <si>
    <t>Annual MWh Savings</t>
  </si>
  <si>
    <t>Annual Customer Growth</t>
  </si>
  <si>
    <t>Rate Increase</t>
  </si>
  <si>
    <t>Forecasted EE Research Costs</t>
  </si>
  <si>
    <t>Outreach and Administration</t>
  </si>
  <si>
    <t>Percent who Don’t Access Web</t>
  </si>
  <si>
    <t>Percent Who Would Respond</t>
  </si>
  <si>
    <t>Broken out</t>
  </si>
  <si>
    <t>% percent Reduced</t>
  </si>
  <si>
    <t>Capacity Costs</t>
  </si>
  <si>
    <t>factor</t>
  </si>
  <si>
    <t>levelized</t>
  </si>
  <si>
    <t>T&amp;D Capacity</t>
  </si>
  <si>
    <t>Gen Capacity</t>
  </si>
  <si>
    <t>Max Avoided</t>
  </si>
  <si>
    <t>bldg Code</t>
  </si>
  <si>
    <t>Load Added</t>
  </si>
  <si>
    <t xml:space="preserve">Attached is the 2018 demand study work paper used in the 2019 WA and ID GRC filings.  The 2018 monthly system peaks are shown on the tab titled “Peak Calc CP” on Rows 84 through 114 . 
 It appears that the annual coincident peak occurred on August 10, 2018 at 4:00 PM.  Large commercial and industrial customers served on Schedule 21 or 22 had peak demand of WA 233,522 KW, and ID 121,235 KW out of the system total of 1,729,000 KW that hour.  </t>
  </si>
  <si>
    <t>Schedule 21/22  Secondary</t>
  </si>
  <si>
    <t>Schedule 21 Primary</t>
  </si>
  <si>
    <t>EDO_Reduction</t>
  </si>
  <si>
    <t>MW</t>
  </si>
  <si>
    <t>Customer and Load Growth</t>
  </si>
  <si>
    <t>New Revision based on current experience (201910)</t>
  </si>
  <si>
    <t>Analytic Modules</t>
  </si>
  <si>
    <t>Costs are included in the cost model under "Data Analytics"</t>
  </si>
  <si>
    <t>Integration Costs</t>
  </si>
  <si>
    <t>Gas &amp; Electric</t>
  </si>
  <si>
    <t>Low</t>
  </si>
  <si>
    <t>Medium</t>
  </si>
  <si>
    <t>High</t>
  </si>
  <si>
    <t>Washington Revenue 2012</t>
  </si>
  <si>
    <t>Theft impact to revenue</t>
  </si>
  <si>
    <t>Estimated percent of theft found</t>
  </si>
  <si>
    <t>Recoverable revenue</t>
  </si>
  <si>
    <t>Cost of Resolution (estimate at 30% of recovered revenue)</t>
  </si>
  <si>
    <t>Net Opportunity</t>
  </si>
  <si>
    <t>Electric</t>
  </si>
  <si>
    <t>Gas</t>
  </si>
  <si>
    <t>Non App Meters in Washington</t>
  </si>
  <si>
    <t>Table 1 - source: Unbilled Data tab</t>
  </si>
  <si>
    <t>Usage adjusted off in Washington</t>
  </si>
  <si>
    <t>Table 1 - Pivot Data - source: Unbilled Data tab</t>
  </si>
  <si>
    <t>Estimated Dollars not Billed Washington</t>
  </si>
  <si>
    <t>Calculation: Unbilled usage * Rate (see pivot)</t>
  </si>
  <si>
    <t>Loaded labor rate for billing analyst (per min)</t>
  </si>
  <si>
    <t>Billing Edit Process in Minutes per account</t>
  </si>
  <si>
    <t>Cost per Review and Administration</t>
  </si>
  <si>
    <t>Calculation: Loaded labor rate * edit processing time</t>
  </si>
  <si>
    <t>Estimated Review &amp; Admin costs</t>
  </si>
  <si>
    <t>Calculation: Cost per Review and Admin * Non Apps</t>
  </si>
  <si>
    <t>Calculation: Unbilled Revenue + Billing Analyst Time + Servicemen Time</t>
  </si>
  <si>
    <t>BILL_CORRECT_CDE</t>
  </si>
  <si>
    <t>(Multiple Items)</t>
  </si>
  <si>
    <t>Column Labels</t>
  </si>
  <si>
    <t>Excluded all electric accounts with usage over 90,000 and gas accounts with usage greater than 9,000</t>
  </si>
  <si>
    <t>Row Labels</t>
  </si>
  <si>
    <t>Ratio</t>
  </si>
  <si>
    <t>Unit Costs</t>
  </si>
  <si>
    <t>Revenues</t>
  </si>
  <si>
    <t>E</t>
  </si>
  <si>
    <t>Average of Days</t>
  </si>
  <si>
    <t>Revenue/Unit</t>
  </si>
  <si>
    <t>Estimated Rev</t>
  </si>
  <si>
    <t>Sum of SumOfUSAGE_QTY</t>
  </si>
  <si>
    <t>Count of USAGE_PT_KY</t>
  </si>
  <si>
    <t>E Average of Days</t>
  </si>
  <si>
    <t>E Sum of SumOfUSAGE_QTY</t>
  </si>
  <si>
    <t>E Count of USAGE_PT_KY</t>
  </si>
  <si>
    <t>G</t>
  </si>
  <si>
    <t>G Average of Days</t>
  </si>
  <si>
    <t>G Sum of SumOfUSAGE_QTY</t>
  </si>
  <si>
    <t>G Count of USAGE_PT_KY</t>
  </si>
  <si>
    <t>Procedure:</t>
  </si>
  <si>
    <t>Table 2 (Breakout of Bill Analysis Times)</t>
  </si>
  <si>
    <t>Reviewed process with Kim Blair, Billing Analyst, Nov 2015</t>
  </si>
  <si>
    <r>
      <t xml:space="preserve">a. Add: A </t>
    </r>
    <r>
      <rPr>
        <b/>
        <i/>
        <sz val="12"/>
        <color theme="1"/>
        <rFont val="Calibri"/>
        <family val="2"/>
        <scheme val="minor"/>
      </rPr>
      <t>Customer Contact</t>
    </r>
    <r>
      <rPr>
        <sz val="12"/>
        <color theme="1"/>
        <rFont val="Calibri"/>
        <family val="2"/>
        <scheme val="minor"/>
      </rPr>
      <t xml:space="preserve"> that includes the following details:</t>
    </r>
  </si>
  <si>
    <t>Time Savings Caculation</t>
  </si>
  <si>
    <t>Needs x months billed</t>
  </si>
  <si>
    <t>Billing Analyst Reviews "To Do" list reports</t>
  </si>
  <si>
    <t>Premise address</t>
  </si>
  <si>
    <t>Research, inquiry, review read history in CC&amp;B</t>
  </si>
  <si>
    <r>
      <t>Note:</t>
    </r>
    <r>
      <rPr>
        <sz val="12"/>
        <color rgb="FF0075BC"/>
        <rFont val="Calibri"/>
        <family val="2"/>
        <scheme val="minor"/>
      </rPr>
      <t xml:space="preserve"> This will hit a Billing report and the Billing Team will work these.</t>
    </r>
  </si>
  <si>
    <t>Calculate Correct Usage, Enter new read</t>
  </si>
  <si>
    <t>2. Identify the billing period and read(s) required to bill.</t>
  </si>
  <si>
    <t>Correct bill manualy or process cancel/rebill</t>
  </si>
  <si>
    <t>a. Go to Meter Read History.</t>
  </si>
  <si>
    <t>b. Review reads to confirm the read you’re using is in line and looks accurate. (If not, see Adding a Meter Read.)</t>
  </si>
  <si>
    <t>AVG</t>
  </si>
  <si>
    <r>
      <t>c. Verify the required read(s) are checked “</t>
    </r>
    <r>
      <rPr>
        <b/>
        <sz val="12"/>
        <color theme="1"/>
        <rFont val="Calibri"/>
        <family val="2"/>
        <scheme val="minor"/>
      </rPr>
      <t>Use on Bill</t>
    </r>
    <r>
      <rPr>
        <sz val="12"/>
        <color theme="1"/>
        <rFont val="Calibri"/>
        <family val="2"/>
        <scheme val="minor"/>
      </rPr>
      <t>” and take note of the read dates.</t>
    </r>
  </si>
  <si>
    <t>3. How many “months” are you billing?</t>
  </si>
  <si>
    <t>If...</t>
  </si>
  <si>
    <t>Then...</t>
  </si>
  <si>
    <t>1 month:</t>
  </si>
  <si>
    <t>CLICK HERE</t>
  </si>
  <si>
    <r>
      <t xml:space="preserve">a. Click: The </t>
    </r>
    <r>
      <rPr>
        <b/>
        <sz val="12"/>
        <color theme="1"/>
        <rFont val="Calibri"/>
        <family val="2"/>
        <scheme val="minor"/>
      </rPr>
      <t>Account Context Menu</t>
    </r>
  </si>
  <si>
    <t>icon.</t>
  </si>
  <si>
    <r>
      <t xml:space="preserve">b. Click: The </t>
    </r>
    <r>
      <rPr>
        <b/>
        <sz val="12"/>
        <color theme="1"/>
        <rFont val="Calibri"/>
        <family val="2"/>
        <scheme val="minor"/>
      </rPr>
      <t>Add</t>
    </r>
  </si>
  <si>
    <r>
      <t xml:space="preserve">button for </t>
    </r>
    <r>
      <rPr>
        <b/>
        <sz val="12"/>
        <color theme="1"/>
        <rFont val="Calibri"/>
        <family val="2"/>
        <scheme val="minor"/>
      </rPr>
      <t>Go To Bill</t>
    </r>
    <r>
      <rPr>
        <sz val="12"/>
        <color theme="1"/>
        <rFont val="Calibri"/>
        <family val="2"/>
        <scheme val="minor"/>
      </rPr>
      <t>.</t>
    </r>
  </si>
  <si>
    <r>
      <t xml:space="preserve">c. Click: The </t>
    </r>
    <r>
      <rPr>
        <b/>
        <sz val="12"/>
        <color theme="1"/>
        <rFont val="Calibri"/>
        <family val="2"/>
        <scheme val="minor"/>
      </rPr>
      <t>Generate</t>
    </r>
    <r>
      <rPr>
        <sz val="12"/>
        <color theme="1"/>
        <rFont val="Calibri"/>
        <family val="2"/>
        <scheme val="minor"/>
      </rPr>
      <t xml:space="preserve"> button.</t>
    </r>
  </si>
  <si>
    <r>
      <t xml:space="preserve">d. Enter: The </t>
    </r>
    <r>
      <rPr>
        <b/>
        <i/>
        <sz val="12"/>
        <color theme="1"/>
        <rFont val="Calibri"/>
        <family val="2"/>
        <scheme val="minor"/>
      </rPr>
      <t>Last Meter Read Date</t>
    </r>
    <r>
      <rPr>
        <sz val="12"/>
        <color theme="1"/>
        <rFont val="Calibri"/>
        <family val="2"/>
        <scheme val="minor"/>
      </rPr>
      <t xml:space="preserve"> in the </t>
    </r>
    <r>
      <rPr>
        <b/>
        <sz val="12"/>
        <color theme="1"/>
        <rFont val="Calibri"/>
        <family val="2"/>
        <scheme val="minor"/>
      </rPr>
      <t>Cutoff Date</t>
    </r>
    <r>
      <rPr>
        <sz val="12"/>
        <color theme="1"/>
        <rFont val="Calibri"/>
        <family val="2"/>
        <scheme val="minor"/>
      </rPr>
      <t xml:space="preserve"> field.</t>
    </r>
  </si>
  <si>
    <r>
      <t xml:space="preserve">e. Click: The </t>
    </r>
    <r>
      <rPr>
        <b/>
        <sz val="12"/>
        <color theme="1"/>
        <rFont val="Calibri"/>
        <family val="2"/>
        <scheme val="minor"/>
      </rPr>
      <t>Calculate</t>
    </r>
    <r>
      <rPr>
        <sz val="12"/>
        <color theme="1"/>
        <rFont val="Calibri"/>
        <family val="2"/>
        <scheme val="minor"/>
      </rPr>
      <t xml:space="preserve"> button.</t>
    </r>
  </si>
  <si>
    <r>
      <t xml:space="preserve">f. Click: The </t>
    </r>
    <r>
      <rPr>
        <b/>
        <sz val="12"/>
        <color theme="1"/>
        <rFont val="Calibri"/>
        <family val="2"/>
        <scheme val="minor"/>
      </rPr>
      <t>Freeze</t>
    </r>
    <r>
      <rPr>
        <sz val="12"/>
        <color theme="1"/>
        <rFont val="Calibri"/>
        <family val="2"/>
        <scheme val="minor"/>
      </rPr>
      <t xml:space="preserve"> button.</t>
    </r>
  </si>
  <si>
    <r>
      <t xml:space="preserve">g. Click:  The </t>
    </r>
    <r>
      <rPr>
        <b/>
        <sz val="12"/>
        <color theme="1"/>
        <rFont val="Calibri"/>
        <family val="2"/>
        <scheme val="minor"/>
      </rPr>
      <t>Complete</t>
    </r>
    <r>
      <rPr>
        <sz val="12"/>
        <color theme="1"/>
        <rFont val="Calibri"/>
        <family val="2"/>
        <scheme val="minor"/>
      </rPr>
      <t xml:space="preserve"> button.</t>
    </r>
  </si>
  <si>
    <r>
      <t xml:space="preserve">h. Click: The </t>
    </r>
    <r>
      <rPr>
        <b/>
        <sz val="12"/>
        <color theme="1"/>
        <rFont val="Calibri"/>
        <family val="2"/>
        <scheme val="minor"/>
      </rPr>
      <t>Complete</t>
    </r>
    <r>
      <rPr>
        <sz val="12"/>
        <color theme="1"/>
        <rFont val="Calibri"/>
        <family val="2"/>
        <scheme val="minor"/>
      </rPr>
      <t xml:space="preserve"> button.</t>
    </r>
  </si>
  <si>
    <r>
      <t xml:space="preserve">i. Add: A </t>
    </r>
    <r>
      <rPr>
        <b/>
        <i/>
        <sz val="12"/>
        <color theme="1"/>
        <rFont val="Calibri"/>
        <family val="2"/>
        <scheme val="minor"/>
      </rPr>
      <t>Customer Contact</t>
    </r>
    <r>
      <rPr>
        <sz val="12"/>
        <color theme="1"/>
        <rFont val="Calibri"/>
        <family val="2"/>
        <scheme val="minor"/>
      </rPr>
      <t>.</t>
    </r>
  </si>
  <si>
    <t>2 or more months:</t>
  </si>
  <si>
    <t>icon on the dashboard.</t>
  </si>
  <si>
    <r>
      <t xml:space="preserve">b. Select: The </t>
    </r>
    <r>
      <rPr>
        <b/>
        <sz val="12"/>
        <color theme="1"/>
        <rFont val="Calibri"/>
        <family val="2"/>
        <scheme val="minor"/>
      </rPr>
      <t>Add</t>
    </r>
  </si>
  <si>
    <r>
      <t xml:space="preserve"> button for </t>
    </r>
    <r>
      <rPr>
        <b/>
        <sz val="12"/>
        <color theme="1"/>
        <rFont val="Calibri"/>
        <family val="2"/>
        <scheme val="minor"/>
      </rPr>
      <t>Go To Bill</t>
    </r>
    <r>
      <rPr>
        <sz val="12"/>
        <color theme="1"/>
        <rFont val="Calibri"/>
        <family val="2"/>
        <scheme val="minor"/>
      </rPr>
      <t>.</t>
    </r>
  </si>
  <si>
    <t xml:space="preserve">d. Enter: The End Meter Read Date for the first billing period in the Cutoff Date field. </t>
  </si>
  <si>
    <t>tip</t>
  </si>
  <si>
    <r>
      <t xml:space="preserve">Example: If you have reads for 7/01, 7/28, and 8/28, then </t>
    </r>
    <r>
      <rPr>
        <b/>
        <i/>
        <sz val="12"/>
        <color theme="1"/>
        <rFont val="Calibri"/>
        <family val="2"/>
        <scheme val="minor"/>
      </rPr>
      <t>End Meter Read Date</t>
    </r>
    <r>
      <rPr>
        <sz val="12"/>
        <color theme="1"/>
        <rFont val="Calibri"/>
        <family val="2"/>
        <scheme val="minor"/>
      </rPr>
      <t xml:space="preserve"> for the first billing period would be 7/28.</t>
    </r>
  </si>
  <si>
    <r>
      <t xml:space="preserve">g. Click: The </t>
    </r>
    <r>
      <rPr>
        <b/>
        <sz val="12"/>
        <color theme="1"/>
        <rFont val="Calibri"/>
        <family val="2"/>
        <scheme val="minor"/>
      </rPr>
      <t>Bill segment</t>
    </r>
    <r>
      <rPr>
        <sz val="12"/>
        <color theme="1"/>
        <rFont val="Calibri"/>
        <family val="2"/>
        <scheme val="minor"/>
      </rPr>
      <t xml:space="preserve"> link.</t>
    </r>
  </si>
  <si>
    <r>
      <t xml:space="preserve">h. Copy: The </t>
    </r>
    <r>
      <rPr>
        <b/>
        <sz val="12"/>
        <color theme="1"/>
        <rFont val="Calibri"/>
        <family val="2"/>
        <scheme val="minor"/>
      </rPr>
      <t>SA ID</t>
    </r>
    <r>
      <rPr>
        <sz val="12"/>
        <color theme="1"/>
        <rFont val="Calibri"/>
        <family val="2"/>
        <scheme val="minor"/>
      </rPr>
      <t>.</t>
    </r>
  </si>
  <si>
    <r>
      <t xml:space="preserve">i. Click: The </t>
    </r>
    <r>
      <rPr>
        <b/>
        <sz val="12"/>
        <color theme="1"/>
        <rFont val="Calibri"/>
        <family val="2"/>
        <scheme val="minor"/>
      </rPr>
      <t>Bill ID Context Menu</t>
    </r>
    <r>
      <rPr>
        <sz val="12"/>
        <color theme="1"/>
        <rFont val="Calibri"/>
        <family val="2"/>
        <scheme val="minor"/>
      </rPr>
      <t xml:space="preserve"> </t>
    </r>
  </si>
  <si>
    <r>
      <t xml:space="preserve">icon and select the </t>
    </r>
    <r>
      <rPr>
        <b/>
        <sz val="12"/>
        <color theme="1"/>
        <rFont val="Calibri"/>
        <family val="2"/>
        <scheme val="minor"/>
      </rPr>
      <t>Add</t>
    </r>
  </si>
  <si>
    <r>
      <t xml:space="preserve">button for </t>
    </r>
    <r>
      <rPr>
        <b/>
        <sz val="12"/>
        <color theme="1"/>
        <rFont val="Calibri"/>
        <family val="2"/>
        <scheme val="minor"/>
      </rPr>
      <t>Go To Bill Segment</t>
    </r>
    <r>
      <rPr>
        <sz val="12"/>
        <color theme="1"/>
        <rFont val="Calibri"/>
        <family val="2"/>
        <scheme val="minor"/>
      </rPr>
      <t>.</t>
    </r>
  </si>
  <si>
    <r>
      <t xml:space="preserve">j. Paste: The </t>
    </r>
    <r>
      <rPr>
        <b/>
        <i/>
        <sz val="12"/>
        <color theme="1"/>
        <rFont val="Calibri"/>
        <family val="2"/>
        <scheme val="minor"/>
      </rPr>
      <t>SA ID</t>
    </r>
    <r>
      <rPr>
        <sz val="12"/>
        <color theme="1"/>
        <rFont val="Calibri"/>
        <family val="2"/>
        <scheme val="minor"/>
      </rPr>
      <t xml:space="preserve"> into the </t>
    </r>
    <r>
      <rPr>
        <b/>
        <sz val="12"/>
        <color theme="1"/>
        <rFont val="Calibri"/>
        <family val="2"/>
        <scheme val="minor"/>
      </rPr>
      <t>SA ID</t>
    </r>
    <r>
      <rPr>
        <sz val="12"/>
        <color theme="1"/>
        <rFont val="Calibri"/>
        <family val="2"/>
        <scheme val="minor"/>
      </rPr>
      <t xml:space="preserve"> field.</t>
    </r>
  </si>
  <si>
    <r>
      <t xml:space="preserve">k. Click: The </t>
    </r>
    <r>
      <rPr>
        <b/>
        <sz val="12"/>
        <color theme="1"/>
        <rFont val="Calibri"/>
        <family val="2"/>
        <scheme val="minor"/>
      </rPr>
      <t>Generate</t>
    </r>
    <r>
      <rPr>
        <sz val="12"/>
        <color theme="1"/>
        <rFont val="Calibri"/>
        <family val="2"/>
        <scheme val="minor"/>
      </rPr>
      <t xml:space="preserve"> button.</t>
    </r>
  </si>
  <si>
    <r>
      <t xml:space="preserve">l. Enter: The </t>
    </r>
    <r>
      <rPr>
        <b/>
        <i/>
        <sz val="12"/>
        <color theme="1"/>
        <rFont val="Calibri"/>
        <family val="2"/>
        <scheme val="minor"/>
      </rPr>
      <t>Cutoff Date</t>
    </r>
    <r>
      <rPr>
        <sz val="12"/>
        <color theme="1"/>
        <rFont val="Calibri"/>
        <family val="2"/>
        <scheme val="minor"/>
      </rPr>
      <t xml:space="preserve"> for the next month.</t>
    </r>
  </si>
  <si>
    <r>
      <t>Note:</t>
    </r>
    <r>
      <rPr>
        <sz val="12"/>
        <color theme="1"/>
        <rFont val="Calibri"/>
        <family val="2"/>
        <scheme val="minor"/>
      </rPr>
      <t xml:space="preserve"> </t>
    </r>
    <r>
      <rPr>
        <sz val="12"/>
        <color rgb="FF0075BC"/>
        <rFont val="Calibri"/>
        <family val="2"/>
        <scheme val="minor"/>
      </rPr>
      <t>The Cutoff Date should be the meter read date of the next billing period.</t>
    </r>
  </si>
  <si>
    <r>
      <t xml:space="preserve">m. Click: The </t>
    </r>
    <r>
      <rPr>
        <b/>
        <sz val="12"/>
        <color theme="1"/>
        <rFont val="Calibri"/>
        <family val="2"/>
        <scheme val="minor"/>
      </rPr>
      <t>Calculate</t>
    </r>
    <r>
      <rPr>
        <sz val="12"/>
        <color theme="1"/>
        <rFont val="Calibri"/>
        <family val="2"/>
        <scheme val="minor"/>
      </rPr>
      <t xml:space="preserve"> button.</t>
    </r>
  </si>
  <si>
    <r>
      <t xml:space="preserve">n. Click: The </t>
    </r>
    <r>
      <rPr>
        <b/>
        <sz val="12"/>
        <color theme="1"/>
        <rFont val="Calibri"/>
        <family val="2"/>
        <scheme val="minor"/>
      </rPr>
      <t>Freeze</t>
    </r>
    <r>
      <rPr>
        <sz val="12"/>
        <color theme="1"/>
        <rFont val="Calibri"/>
        <family val="2"/>
        <scheme val="minor"/>
      </rPr>
      <t xml:space="preserve"> button.</t>
    </r>
  </si>
  <si>
    <t>o. Repeat: Steps i) through n) to add all additional bill segments if necessary for each SA.</t>
  </si>
  <si>
    <t xml:space="preserve">p. (If multiple SAs) Repeat: Step i) through n) </t>
  </si>
  <si>
    <t>Instead of pasting SA ID, search for correct SA.</t>
  </si>
  <si>
    <r>
      <t xml:space="preserve">q. Click: The </t>
    </r>
    <r>
      <rPr>
        <b/>
        <i/>
        <sz val="12"/>
        <color theme="1"/>
        <rFont val="Calibri"/>
        <family val="2"/>
        <scheme val="minor"/>
      </rPr>
      <t>Pending Bill Exists</t>
    </r>
    <r>
      <rPr>
        <sz val="12"/>
        <color theme="1"/>
        <rFont val="Calibri"/>
        <family val="2"/>
        <scheme val="minor"/>
      </rPr>
      <t xml:space="preserve"> hyperlink in the </t>
    </r>
    <r>
      <rPr>
        <b/>
        <sz val="12"/>
        <color theme="1"/>
        <rFont val="Calibri"/>
        <family val="2"/>
        <scheme val="minor"/>
      </rPr>
      <t>Financial Information</t>
    </r>
    <r>
      <rPr>
        <sz val="12"/>
        <color theme="1"/>
        <rFont val="Calibri"/>
        <family val="2"/>
        <scheme val="minor"/>
      </rPr>
      <t xml:space="preserve"> zone on the dashboard.</t>
    </r>
  </si>
  <si>
    <r>
      <t xml:space="preserve">r. Click: The </t>
    </r>
    <r>
      <rPr>
        <b/>
        <sz val="12"/>
        <color theme="1"/>
        <rFont val="Calibri"/>
        <family val="2"/>
        <scheme val="minor"/>
      </rPr>
      <t>Complete</t>
    </r>
    <r>
      <rPr>
        <sz val="12"/>
        <color theme="1"/>
        <rFont val="Calibri"/>
        <family val="2"/>
        <scheme val="minor"/>
      </rPr>
      <t xml:space="preserve"> button.</t>
    </r>
  </si>
  <si>
    <r>
      <t xml:space="preserve">s. Click:  The </t>
    </r>
    <r>
      <rPr>
        <b/>
        <sz val="12"/>
        <color theme="1"/>
        <rFont val="Calibri"/>
        <family val="2"/>
        <scheme val="minor"/>
      </rPr>
      <t>Complete</t>
    </r>
    <r>
      <rPr>
        <sz val="12"/>
        <color theme="1"/>
        <rFont val="Calibri"/>
        <family val="2"/>
        <scheme val="minor"/>
      </rPr>
      <t xml:space="preserve"> button.</t>
    </r>
  </si>
  <si>
    <r>
      <t xml:space="preserve">t. Add: A </t>
    </r>
    <r>
      <rPr>
        <b/>
        <i/>
        <sz val="12"/>
        <color theme="1"/>
        <rFont val="Calibri"/>
        <family val="2"/>
        <scheme val="minor"/>
      </rPr>
      <t>Customer Contact</t>
    </r>
    <r>
      <rPr>
        <sz val="12"/>
        <color theme="1"/>
        <rFont val="Calibri"/>
        <family val="2"/>
        <scheme val="minor"/>
      </rPr>
      <t>.</t>
    </r>
  </si>
  <si>
    <t>Sum of Lost gas revenue</t>
  </si>
  <si>
    <t>Sum of Lost electric revenue</t>
  </si>
  <si>
    <t>WA</t>
  </si>
  <si>
    <t>Area light</t>
  </si>
  <si>
    <t>Both</t>
  </si>
  <si>
    <t>Data from Failed Meters Workbook</t>
  </si>
  <si>
    <r>
      <t xml:space="preserve">Field Visits to investigate stopped meters in Washington </t>
    </r>
    <r>
      <rPr>
        <i/>
        <sz val="11"/>
        <rFont val="Calibri"/>
        <family val="2"/>
        <scheme val="minor"/>
      </rPr>
      <t xml:space="preserve"> (Stopped Meter Report)</t>
    </r>
  </si>
  <si>
    <t>Stopped Meter Report</t>
  </si>
  <si>
    <r>
      <t>Percent Meters investigate resulting in stopped in Washington</t>
    </r>
    <r>
      <rPr>
        <i/>
        <sz val="11"/>
        <rFont val="Calibri"/>
        <family val="2"/>
        <scheme val="minor"/>
      </rPr>
      <t xml:space="preserve"> (Stopped Meter Report)</t>
    </r>
  </si>
  <si>
    <r>
      <t xml:space="preserve">Percent Meters investigate resulting in stopped in Washington - Predicted Rate </t>
    </r>
    <r>
      <rPr>
        <vertAlign val="subscript"/>
        <sz val="11"/>
        <rFont val="Calibri"/>
        <family val="2"/>
        <scheme val="minor"/>
      </rPr>
      <t>1</t>
    </r>
  </si>
  <si>
    <t>Estimate</t>
  </si>
  <si>
    <t>Improvement in investigation Rate in Washington (row 9- row 6)</t>
  </si>
  <si>
    <t>Calculation: Predicted - Actual</t>
  </si>
  <si>
    <t>Estimated Avoided Visits Washington (row 12 * row 3)</t>
  </si>
  <si>
    <t xml:space="preserve">Billing analyst additional time to investigate stopped meter (mins) </t>
  </si>
  <si>
    <t>Total cost per investigation for billing analyst</t>
  </si>
  <si>
    <t>Calculation: Analyst time * labor rate</t>
  </si>
  <si>
    <t>Total additional analyst time to investigage</t>
  </si>
  <si>
    <t>Calculation: Analyst time * labor rate * Avoided Visits Counts</t>
  </si>
  <si>
    <t>Cost Per Dispatch</t>
  </si>
  <si>
    <t>Budgeted Costs/Mobile Orders Completed</t>
  </si>
  <si>
    <t>Avoided Mobile Dispatch Costs</t>
  </si>
  <si>
    <t>Calculation: Costs Per Dispatch * Avoided Orders</t>
  </si>
  <si>
    <t>Transportation Costs</t>
  </si>
  <si>
    <t>ServicemenLaborCostsEstimate tab</t>
  </si>
  <si>
    <t>Cost per meter serviceman per minute</t>
  </si>
  <si>
    <t>Time per visit per serviceman including travel time</t>
  </si>
  <si>
    <t>Average enroute and onsite times can average 45 minutes depending on location and meter type</t>
  </si>
  <si>
    <t>Cost per visit for serviceman (row 21 * row 22) + row 20</t>
  </si>
  <si>
    <t>Estimated benefit from avoided visits (row 23 * row 15) - (row 18 * row 15)</t>
  </si>
  <si>
    <t>Forecasted Avoided Stopped Meter Checks</t>
  </si>
  <si>
    <t>Average Rate Increase Percent</t>
  </si>
  <si>
    <t>Burned Wiring Portion of Case from CC&amp;B</t>
  </si>
  <si>
    <t>Value</t>
  </si>
  <si>
    <t>Adjusted to Number of Months</t>
  </si>
  <si>
    <t>&lt;-(Total/5 Months)*12 Months</t>
  </si>
  <si>
    <t>Adjusted to Deployment %</t>
  </si>
  <si>
    <t>Adjusted Total + (Adjusted Total * Currently Not Deployed Percentage * 20%)</t>
  </si>
  <si>
    <t xml:space="preserve">? Likelihood that they are found in normal inspections vs finding new instances.  </t>
  </si>
  <si>
    <t>We found these things by deployment efforts, but we also have to note that the meters are inspected periodically (for the big ones)</t>
  </si>
  <si>
    <t xml:space="preserve">So can we assume that the eventually founds will be replaced by the new founds or do we reduce future values 8 years out on the premise that </t>
  </si>
  <si>
    <t>CSR</t>
  </si>
  <si>
    <t>Estimated Reads - CSR or Billing Analysts estimates bills</t>
  </si>
  <si>
    <t>YR 1</t>
  </si>
  <si>
    <t>YR 2</t>
  </si>
  <si>
    <t>YR 3</t>
  </si>
  <si>
    <t>YR 4</t>
  </si>
  <si>
    <t>YR 5</t>
  </si>
  <si>
    <t>YR 6</t>
  </si>
  <si>
    <t>YR 7</t>
  </si>
  <si>
    <t>YR 8</t>
  </si>
  <si>
    <t>YR 9</t>
  </si>
  <si>
    <t>YR 10</t>
  </si>
  <si>
    <t>YR 11</t>
  </si>
  <si>
    <t>YR 12</t>
  </si>
  <si>
    <t>YR 13</t>
  </si>
  <si>
    <t>YR 14</t>
  </si>
  <si>
    <t>YR 15</t>
  </si>
  <si>
    <t>YR 16</t>
  </si>
  <si>
    <t>YR 17</t>
  </si>
  <si>
    <t>YR 18</t>
  </si>
  <si>
    <t>YR 19</t>
  </si>
  <si>
    <t>YR 20</t>
  </si>
  <si>
    <t>YR 21</t>
  </si>
  <si>
    <t>YR 22</t>
  </si>
  <si>
    <t>YR 23</t>
  </si>
  <si>
    <t>2012-14</t>
  </si>
  <si>
    <t>Component Estimate</t>
  </si>
  <si>
    <t>Annual Estimated Bills</t>
  </si>
  <si>
    <t>Table 2</t>
  </si>
  <si>
    <t>Average analysis time in minutes</t>
  </si>
  <si>
    <t>Cost per minute loaded</t>
  </si>
  <si>
    <t>Loaded cost of CSR (2014) Source: Veronica Soules</t>
  </si>
  <si>
    <t xml:space="preserve">Average Cost per Estimated Loaded </t>
  </si>
  <si>
    <r>
      <t xml:space="preserve">Estimated Reduction in Rebills (%) </t>
    </r>
    <r>
      <rPr>
        <vertAlign val="subscript"/>
        <sz val="12"/>
        <rFont val="Calibri"/>
        <family val="2"/>
        <scheme val="minor"/>
      </rPr>
      <t>1</t>
    </r>
  </si>
  <si>
    <t>Failure Rate of AMI meters, projected at 1%</t>
  </si>
  <si>
    <t xml:space="preserve">Estimated Reduction in Rebill Costs </t>
  </si>
  <si>
    <t>References</t>
  </si>
  <si>
    <t>Automated reads will be automatically processed (currently available in CC&amp;B) - look at estimations as exceptions (estimated expections are 3%)</t>
  </si>
  <si>
    <t>Table 1 (Breakout of Bill Estimation Times)</t>
  </si>
  <si>
    <t>Account is flagged as needing estimation, research</t>
  </si>
  <si>
    <t>Determine if field service visit is required</t>
  </si>
  <si>
    <t>No, estimate bill</t>
  </si>
  <si>
    <t>Generate bill in CC&amp;B</t>
  </si>
  <si>
    <t>Table 2 (Counts of Estimated Bills)</t>
  </si>
  <si>
    <t>STATE_CDE</t>
  </si>
  <si>
    <t>ID</t>
  </si>
  <si>
    <t>Sum of CountOfUSAGE_PT_KY</t>
  </si>
  <si>
    <t>A</t>
  </si>
  <si>
    <t>B</t>
  </si>
  <si>
    <t>C</t>
  </si>
  <si>
    <t>F</t>
  </si>
  <si>
    <t>I</t>
  </si>
  <si>
    <t>K</t>
  </si>
  <si>
    <t>N</t>
  </si>
  <si>
    <t>P</t>
  </si>
  <si>
    <t>Q</t>
  </si>
  <si>
    <t>R</t>
  </si>
  <si>
    <t>S</t>
  </si>
  <si>
    <t>T</t>
  </si>
  <si>
    <t>V</t>
  </si>
  <si>
    <t>W</t>
  </si>
  <si>
    <t>Averate, total meter read codes that lead to Estimated Bill</t>
  </si>
  <si>
    <t>Contact Center</t>
  </si>
  <si>
    <t>Currently Customer Service Representatives respond to bill inquiries without the benefit of querying a meter data management system that would provide a meter history in various increments.  Being able to query direct or trigger a process to automatically update with data would reduce the time involved in determining the current read by reducing the time to gather the data and input it into a spreadsheet that would enable comparisons.</t>
  </si>
  <si>
    <t xml:space="preserve">Annual Calls Handled By CSR </t>
  </si>
  <si>
    <t>Percent of calls that are billing inquiries</t>
  </si>
  <si>
    <t xml:space="preserve">Annual billing inquiry calls </t>
  </si>
  <si>
    <t>Estimated percent of calls that would benefit from AMI</t>
  </si>
  <si>
    <t>Conservative Adjustment</t>
  </si>
  <si>
    <t>Fraction of meters equipped with AMI</t>
  </si>
  <si>
    <t>Meter Shop Provisioning Analysis (% has increased since original analysis)</t>
  </si>
  <si>
    <t>Calls expected to be eliminated by AMI</t>
  </si>
  <si>
    <t>Average analysis time reduced in minutes</t>
  </si>
  <si>
    <t>Table 1 (Contact Center Call Stats)</t>
  </si>
  <si>
    <t xml:space="preserve">IVR </t>
  </si>
  <si>
    <t>Inbound IVR Calls</t>
  </si>
  <si>
    <t>Outbound IVR Calls</t>
  </si>
  <si>
    <t>Total IVR Calls</t>
  </si>
  <si>
    <t>Billing Related</t>
  </si>
  <si>
    <t>IVR Handled</t>
  </si>
  <si>
    <t>CSR's Handled</t>
  </si>
  <si>
    <t>Total Billing Calls</t>
  </si>
  <si>
    <t xml:space="preserve">CSR's </t>
  </si>
  <si>
    <t>IVR Transfers</t>
  </si>
  <si>
    <t>Percent of CSR calls related to Billing</t>
  </si>
  <si>
    <t>Sent: Tue 07-01-2014 9:31 AM, 2014 data received 12.3.15, Source: Veronica Soules</t>
  </si>
  <si>
    <t>Value represented above includes avoided costs, efficiencies with benefits redeployed in the utility, net present value of long-lived asset programs, re-invested sourcing benefits &amp; power supply cost reductions.</t>
  </si>
  <si>
    <t>Table 2 (Breakout of Bill Estimation Times)</t>
  </si>
  <si>
    <t>CSR recieves call, opens account in CC&amp;B</t>
  </si>
  <si>
    <t>Dialogue with customer</t>
  </si>
  <si>
    <t>Research, inquiry, review read history</t>
  </si>
  <si>
    <t>Conclude call, give energy tips, send report, recap remarks</t>
  </si>
  <si>
    <t>Billing</t>
  </si>
  <si>
    <t>Bill Analysis</t>
  </si>
  <si>
    <t>A staff of several billing analysts  that work through exception such as high/low bills.  These bills require determining if someone should be sent out if the data looks suspicious.  Combined with other meter health monitoring data, the number of exceptions could br reduced. This reduction could also be supported by automated smart process.  The automation of certain process could be accomplished through integration with dispatch and CC&amp;B.  These integrations are included in the MDM implemenation.</t>
  </si>
  <si>
    <t>Components</t>
  </si>
  <si>
    <t>Sources and References</t>
  </si>
  <si>
    <t>Annual Bills (average of 2013 &amp; 2014)</t>
  </si>
  <si>
    <t>Customer Information System</t>
  </si>
  <si>
    <t>Estimated Exception %</t>
  </si>
  <si>
    <t>Figure 1</t>
  </si>
  <si>
    <t>Estimated Exceptions</t>
  </si>
  <si>
    <t>Percent Washington Bills</t>
  </si>
  <si>
    <t>Percent Residential</t>
  </si>
  <si>
    <t>Daily Exception Load</t>
  </si>
  <si>
    <t>Daily Exception Load Worked %</t>
  </si>
  <si>
    <t>Fully loaded blended direct labor rate</t>
  </si>
  <si>
    <t>Total Minutes</t>
  </si>
  <si>
    <t>Cost per Minute</t>
  </si>
  <si>
    <t>Average Occupancy Rate (availability) &amp; Overheads factor</t>
  </si>
  <si>
    <t>Accounts for training, One Leave, and non direct work activities</t>
  </si>
  <si>
    <t>Expected reduction in analysis time in minutes</t>
  </si>
  <si>
    <t>Approximated 1 standard deviation reduction (Area under normal distribution curve)</t>
  </si>
  <si>
    <t>Total benefit</t>
  </si>
  <si>
    <t xml:space="preserve">  </t>
  </si>
  <si>
    <t>a</t>
  </si>
  <si>
    <t>Training</t>
  </si>
  <si>
    <t>b</t>
  </si>
  <si>
    <t>Application development (percentage of application that would also be developed for Revenue Protection)</t>
  </si>
  <si>
    <t>c</t>
  </si>
  <si>
    <t>Integration</t>
  </si>
  <si>
    <t>d</t>
  </si>
  <si>
    <t>IT/IS Support</t>
  </si>
  <si>
    <t>subtotal</t>
  </si>
  <si>
    <t>Figure 1 (Summary of DataSource Survey (2011)</t>
  </si>
  <si>
    <t>Figure 2 (Summary of DataSource Survey (2011)</t>
  </si>
  <si>
    <t>Bill Analysis/Rebills</t>
  </si>
  <si>
    <t>Estimation errors drove 80% of the rebill activity as shown in Table 2 below.  With AMI, interval data would reduce the need to estimate bills since the meter data would be able to determine the actual amounts for the given period(s)</t>
  </si>
  <si>
    <t>Bills Cancelled Before Bill Created</t>
  </si>
  <si>
    <t>Rebill Report (Customer Information System)</t>
  </si>
  <si>
    <t>Percent from Washington</t>
  </si>
  <si>
    <t>See Table 1</t>
  </si>
  <si>
    <t>Percent Cancelled and No New Bills Created</t>
  </si>
  <si>
    <t>Daily Exception Load (No New Bills)</t>
  </si>
  <si>
    <t>Loaded analyst time</t>
  </si>
  <si>
    <t>Average analysis time in minutes (New Bills)</t>
  </si>
  <si>
    <t>Table 3</t>
  </si>
  <si>
    <t>Average Cost per Rebill Loaded (New Bills)</t>
  </si>
  <si>
    <t>Calculation (Loaded Analyst Time * Average Analyst Time)</t>
  </si>
  <si>
    <t>Estimated Rebill Costs (No New Bills)</t>
  </si>
  <si>
    <t>Estimated Reduction in Rebills (New Bills)</t>
  </si>
  <si>
    <t>Estimation errors are the most likely to be reduced as a result of having interval data  - see Table 2</t>
  </si>
  <si>
    <t>Estimated Reduction in Rebill Costs (New Bills)</t>
  </si>
  <si>
    <t>Table 3 (Breakout of Rebilling Times)</t>
  </si>
  <si>
    <t>CUST_ACCT_KY #'s</t>
  </si>
  <si>
    <t>SRV_STATE_CDE</t>
  </si>
  <si>
    <t>Open account in CC&amp;B</t>
  </si>
  <si>
    <t>OR</t>
  </si>
  <si>
    <t>Source: Customer Information System</t>
  </si>
  <si>
    <t>CUST_ACCT_KY</t>
  </si>
  <si>
    <t>OPEN DATE</t>
  </si>
  <si>
    <t>OVER ESTIMATE</t>
  </si>
  <si>
    <t>METER TESTED FAST</t>
  </si>
  <si>
    <t>OVER READ</t>
  </si>
  <si>
    <t>INCORRECT BILLING</t>
  </si>
  <si>
    <t>CLOSE DATE</t>
  </si>
  <si>
    <t>LOW ESTIMATE</t>
  </si>
  <si>
    <t>RATE SCHEDULE CHANGE</t>
  </si>
  <si>
    <t>INCORRECT ESTIMATE</t>
  </si>
  <si>
    <t>STOPPED METER</t>
  </si>
  <si>
    <t>MIXED METERS</t>
  </si>
  <si>
    <t>CANCELLED IN ERROR</t>
  </si>
  <si>
    <t>DISPUTED BILL</t>
  </si>
  <si>
    <t>LOW READ</t>
  </si>
  <si>
    <t>INCORRECT OPEN READ</t>
  </si>
  <si>
    <t>CLOSE READ</t>
  </si>
  <si>
    <t>CORRECTION CODE ERROR</t>
  </si>
  <si>
    <t>METER INSTALLED</t>
  </si>
  <si>
    <t>BANKRUPT</t>
  </si>
  <si>
    <t>THEFT OF SERVICE</t>
  </si>
  <si>
    <t>MISREAD</t>
  </si>
  <si>
    <t>ZERO USE</t>
  </si>
  <si>
    <t>CONVERSION CODE</t>
  </si>
  <si>
    <t>HIGH DEMAND</t>
  </si>
  <si>
    <t>DONT USE SETTLEMENT ON ACCT</t>
  </si>
  <si>
    <t>Load Studies</t>
  </si>
  <si>
    <t>Meter Operations</t>
  </si>
  <si>
    <t>Current Installed base of meters</t>
  </si>
  <si>
    <t>Washington Load Study Meters (Residential)</t>
  </si>
  <si>
    <t>Washington Load Study Meters (Commercial)</t>
  </si>
  <si>
    <t>Washington Load Study Meters (Total)</t>
  </si>
  <si>
    <t>Cellular Costs Per Month</t>
  </si>
  <si>
    <t>Cost Per meter</t>
  </si>
  <si>
    <t>Residential</t>
  </si>
  <si>
    <t>Commercial</t>
  </si>
  <si>
    <t>Total Meter Costs</t>
  </si>
  <si>
    <t>Every 10 Years (next update is 2018, requires new meters since G2 cellular coverage is no longer available)</t>
  </si>
  <si>
    <t>Recovery Benefit of Meters</t>
  </si>
  <si>
    <t>Annual New Installs Per Year (0.5%)</t>
  </si>
  <si>
    <t>Cost for Installs</t>
  </si>
  <si>
    <t>Annual Networking Costs for Washington Load Study</t>
  </si>
  <si>
    <t>Percent of Meters Attributed to Load Studies In Washington</t>
  </si>
  <si>
    <t>Cost for New Installs Washington Load Study</t>
  </si>
  <si>
    <t>Meter Moves (every 5 years)</t>
  </si>
  <si>
    <t>Years before resampling group established</t>
  </si>
  <si>
    <t>Costs Per Move</t>
  </si>
  <si>
    <t>Annual Meter Move Costs</t>
  </si>
  <si>
    <t>Rate</t>
  </si>
  <si>
    <t>Cellular Costs</t>
  </si>
  <si>
    <t>State</t>
  </si>
  <si>
    <t>Code</t>
  </si>
  <si>
    <t>Class</t>
  </si>
  <si>
    <t>Error Ratio</t>
  </si>
  <si>
    <t>Sample</t>
  </si>
  <si>
    <t>Washington</t>
  </si>
  <si>
    <t>Idaho</t>
  </si>
  <si>
    <t>011/012</t>
  </si>
  <si>
    <t>General Service</t>
  </si>
  <si>
    <t>021/022</t>
  </si>
  <si>
    <t>Large General Service</t>
  </si>
  <si>
    <t>031/032</t>
  </si>
  <si>
    <t>Pumping</t>
  </si>
  <si>
    <t>Washington Study</t>
  </si>
  <si>
    <t>Non Residential</t>
  </si>
  <si>
    <t>Analyst Costs Per Meter</t>
  </si>
  <si>
    <t xml:space="preserve">&lt;- need to update where this came from </t>
  </si>
  <si>
    <t>Dispatch Cost Per Order</t>
  </si>
  <si>
    <t>Metermen Costs Per Order</t>
  </si>
  <si>
    <t>Travel Costs Per Meter</t>
  </si>
  <si>
    <t>Performance Monitoring Per Meter</t>
  </si>
  <si>
    <t>Rev</t>
  </si>
  <si>
    <t>2018 Meter Reading Costs Correction</t>
  </si>
  <si>
    <t xml:space="preserve">Cost Savings Expected to be Redeployed to Other Work and Not Result in a Direct Reduction in Revenue Requirement </t>
  </si>
  <si>
    <t>Area of Benefit</t>
  </si>
  <si>
    <t>Revenue Requirement Reductions</t>
  </si>
  <si>
    <t>Expected Savings to be Redeployed</t>
  </si>
  <si>
    <t>"True" Reductions in Revenue Req</t>
  </si>
  <si>
    <t>from next tab…...</t>
  </si>
  <si>
    <t>Customer Direct Benefits</t>
  </si>
  <si>
    <t>Grand AMI Total Benefits</t>
  </si>
  <si>
    <t>AMI</t>
  </si>
  <si>
    <t>Offsets</t>
  </si>
  <si>
    <t xml:space="preserve">  Test Year Benefits to Customers Not Redeployed </t>
  </si>
  <si>
    <t>D</t>
  </si>
  <si>
    <t>WA E</t>
  </si>
  <si>
    <t>WA G</t>
  </si>
  <si>
    <t>Rate Year 1 O&amp;M Offset - Total</t>
  </si>
  <si>
    <t>Rate Year 2 O&amp;M Offset - Total</t>
  </si>
  <si>
    <r>
      <t xml:space="preserve">2022 Benefits to Customers Not Redeployed             </t>
    </r>
    <r>
      <rPr>
        <b/>
        <sz val="11"/>
        <color rgb="FFFF0000"/>
        <rFont val="Calibri"/>
        <family val="2"/>
        <scheme val="minor"/>
      </rPr>
      <t>A</t>
    </r>
  </si>
  <si>
    <r>
      <t xml:space="preserve">2023 Benefits to Customers Not Redeployed             </t>
    </r>
    <r>
      <rPr>
        <b/>
        <sz val="11"/>
        <color rgb="FFFF0000"/>
        <rFont val="Calibri"/>
        <family val="2"/>
        <scheme val="minor"/>
      </rPr>
      <t>B</t>
    </r>
  </si>
  <si>
    <r>
      <t xml:space="preserve">2025 Benefits to Customers Not Redeployed             </t>
    </r>
    <r>
      <rPr>
        <b/>
        <sz val="11"/>
        <color rgb="FFFF0000"/>
        <rFont val="Calibri"/>
        <family val="2"/>
        <scheme val="minor"/>
      </rPr>
      <t>C</t>
    </r>
  </si>
  <si>
    <r>
      <t xml:space="preserve">2026 Benefits to Customers Not Redeployed            </t>
    </r>
    <r>
      <rPr>
        <b/>
        <sz val="11"/>
        <color rgb="FFFF0000"/>
        <rFont val="Calibri"/>
        <family val="2"/>
        <scheme val="minor"/>
      </rPr>
      <t xml:space="preserve"> D</t>
    </r>
  </si>
  <si>
    <t>Incremental Offsets above Test Period Levels</t>
  </si>
  <si>
    <t>Incremental Offsets above RY1 Levels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</si>
</sst>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409]d/mmm/yy;@"/>
    <numFmt numFmtId="168" formatCode="mm:ss;@"/>
    <numFmt numFmtId="169" formatCode="_(&quot;$&quot;* #,##0.000_);_(&quot;$&quot;* \(#,##0.000\);_(&quot;$&quot;* &quot;-&quot;??_);_(@_)"/>
    <numFmt numFmtId="170" formatCode="_(* #,##0.000_);_(* \(#,##0.000\);_(* &quot;-&quot;??_);_(@_)"/>
    <numFmt numFmtId="171" formatCode="_(&quot;$&quot;* #,##0.0_);_(&quot;$&quot;* \(#,##0.0\);_(&quot;$&quot;* &quot;-&quot;??_);_(@_)"/>
    <numFmt numFmtId="172" formatCode="_(* #,##0.0_);_(* \(#,##0.0\);_(* &quot;-&quot;??_);_(@_)"/>
    <numFmt numFmtId="173" formatCode="0.000%"/>
    <numFmt numFmtId="174" formatCode="&quot;$&quot;#,##0"/>
    <numFmt numFmtId="175" formatCode="_(* #,##0.00000_);_(* \(#,##0.00000\);_(* &quot;-&quot;??_);_(@_)"/>
    <numFmt numFmtId="176" formatCode="0.0"/>
    <numFmt numFmtId="177" formatCode="0.0000"/>
    <numFmt numFmtId="178" formatCode="0.00000%"/>
    <numFmt numFmtId="179" formatCode="&quot;$&quot;#,##0.00"/>
  </numFmts>
  <fonts count="69">
    <font>
      <sz val="11"/>
      <color theme="1"/>
      <name val="Calibri"/>
      <family val="2"/>
      <scheme val="minor"/>
    </font>
    <font>
      <b/>
      <sz val="11"/>
      <color theme="0"/>
      <name val="Calibri"/>
      <family val="2"/>
      <scheme val="minor"/>
    </font>
    <font>
      <b/>
      <sz val="11"/>
      <color theme="1"/>
      <name val="Calibri"/>
      <family val="2"/>
      <scheme val="minor"/>
    </font>
    <font>
      <b/>
      <sz val="14"/>
      <color theme="1"/>
      <name val="Calibri"/>
      <family val="2"/>
      <scheme val="minor"/>
    </font>
    <font>
      <u/>
      <sz val="11"/>
      <color theme="10"/>
      <name val="Calibri"/>
      <family val="2"/>
    </font>
    <font>
      <sz val="11"/>
      <color theme="1"/>
      <name val="Calibri"/>
      <family val="2"/>
      <scheme val="minor"/>
    </font>
    <font>
      <sz val="11"/>
      <color rgb="FF006100"/>
      <name val="Calibri"/>
      <family val="2"/>
      <scheme val="minor"/>
    </font>
    <font>
      <b/>
      <sz val="16"/>
      <color theme="1"/>
      <name val="Calibri"/>
      <family val="2"/>
      <scheme val="minor"/>
    </font>
    <font>
      <b/>
      <sz val="8"/>
      <color indexed="81"/>
      <name val="Tahoma"/>
      <family val="2"/>
    </font>
    <font>
      <b/>
      <sz val="11"/>
      <color indexed="81"/>
      <name val="Tahoma"/>
      <family val="2"/>
    </font>
    <font>
      <sz val="12"/>
      <name val="Courier"/>
      <family val="3"/>
    </font>
    <font>
      <sz val="12"/>
      <name val="Calibri"/>
      <family val="2"/>
      <scheme val="minor"/>
    </font>
    <font>
      <b/>
      <sz val="12"/>
      <name val="Calibri"/>
      <family val="2"/>
      <scheme val="minor"/>
    </font>
    <font>
      <sz val="10"/>
      <name val="Geneva"/>
    </font>
    <font>
      <sz val="10"/>
      <color theme="1"/>
      <name val="Tahoma"/>
      <family val="2"/>
    </font>
    <font>
      <sz val="10"/>
      <name val="Arial"/>
      <family val="2"/>
    </font>
    <font>
      <sz val="10"/>
      <name val="MS Sans Serif"/>
      <family val="2"/>
    </font>
    <font>
      <b/>
      <sz val="12"/>
      <color theme="1"/>
      <name val="Calibri"/>
      <family val="2"/>
      <scheme val="minor"/>
    </font>
    <font>
      <sz val="12"/>
      <color theme="1"/>
      <name val="Calibri"/>
      <family val="2"/>
      <scheme val="minor"/>
    </font>
    <font>
      <b/>
      <i/>
      <sz val="12"/>
      <color theme="1"/>
      <name val="Calibri"/>
      <family val="2"/>
      <scheme val="minor"/>
    </font>
    <font>
      <sz val="11"/>
      <name val="Calibri"/>
      <family val="2"/>
      <scheme val="minor"/>
    </font>
    <font>
      <b/>
      <sz val="11"/>
      <name val="Calibri"/>
      <family val="2"/>
      <scheme val="minor"/>
    </font>
    <font>
      <i/>
      <sz val="11"/>
      <name val="Calibri"/>
      <family val="2"/>
      <scheme val="minor"/>
    </font>
    <font>
      <vertAlign val="subscript"/>
      <sz val="11"/>
      <name val="Calibri"/>
      <family val="2"/>
      <scheme val="minor"/>
    </font>
    <font>
      <b/>
      <sz val="14"/>
      <name val="Calibri"/>
      <family val="2"/>
      <scheme val="minor"/>
    </font>
    <font>
      <sz val="12"/>
      <name val="Calibri"/>
      <family val="2"/>
    </font>
    <font>
      <b/>
      <sz val="11"/>
      <name val="Calibri"/>
      <family val="2"/>
    </font>
    <font>
      <b/>
      <sz val="9"/>
      <color indexed="81"/>
      <name val="Tahoma"/>
      <family val="2"/>
    </font>
    <font>
      <sz val="10"/>
      <color indexed="8"/>
      <name val="Arial"/>
      <family val="2"/>
    </font>
    <font>
      <b/>
      <sz val="12"/>
      <name val="Calibri"/>
      <family val="2"/>
    </font>
    <font>
      <sz val="10.5"/>
      <name val="Consolas"/>
      <family val="3"/>
    </font>
    <font>
      <u/>
      <sz val="12"/>
      <color theme="10"/>
      <name val="Courier"/>
      <family val="3"/>
    </font>
    <font>
      <sz val="11"/>
      <color indexed="8"/>
      <name val="Calibri"/>
      <family val="2"/>
    </font>
    <font>
      <sz val="9"/>
      <color indexed="81"/>
      <name val="Tahoma"/>
      <family val="2"/>
    </font>
    <font>
      <sz val="11"/>
      <color rgb="FFFF0000"/>
      <name val="Calibri"/>
      <family val="2"/>
      <scheme val="minor"/>
    </font>
    <font>
      <sz val="11"/>
      <color theme="0"/>
      <name val="Calibri"/>
      <family val="2"/>
      <scheme val="minor"/>
    </font>
    <font>
      <b/>
      <sz val="12"/>
      <color theme="1"/>
      <name val="Courier"/>
      <family val="3"/>
    </font>
    <font>
      <sz val="14"/>
      <color theme="1"/>
      <name val="Calibri"/>
      <family val="2"/>
      <scheme val="minor"/>
    </font>
    <font>
      <sz val="11"/>
      <color theme="8"/>
      <name val="Calibri"/>
      <family val="2"/>
      <scheme val="minor"/>
    </font>
    <font>
      <u/>
      <sz val="11"/>
      <color theme="10"/>
      <name val="Calibri"/>
      <family val="2"/>
      <scheme val="minor"/>
    </font>
    <font>
      <u/>
      <sz val="11"/>
      <color theme="8"/>
      <name val="Calibri"/>
      <family val="2"/>
      <scheme val="minor"/>
    </font>
    <font>
      <b/>
      <sz val="12"/>
      <color theme="0"/>
      <name val="Calibri"/>
      <family val="2"/>
      <scheme val="minor"/>
    </font>
    <font>
      <b/>
      <sz val="16"/>
      <name val="Calibri"/>
      <family val="2"/>
      <scheme val="minor"/>
    </font>
    <font>
      <b/>
      <sz val="14"/>
      <color rgb="FF000000"/>
      <name val="Calibri"/>
      <family val="2"/>
      <scheme val="minor"/>
    </font>
    <font>
      <sz val="12"/>
      <color rgb="FF0075BC"/>
      <name val="Calibri"/>
      <family val="2"/>
      <scheme val="minor"/>
    </font>
    <font>
      <b/>
      <sz val="12"/>
      <color rgb="FF0075BC"/>
      <name val="Calibri"/>
      <family val="2"/>
      <scheme val="minor"/>
    </font>
    <font>
      <sz val="12"/>
      <color rgb="FFFFFFFF"/>
      <name val="Calibri"/>
      <family val="2"/>
    </font>
    <font>
      <sz val="11"/>
      <color rgb="FFFFFFFF"/>
      <name val="Calibri"/>
      <family val="2"/>
    </font>
    <font>
      <sz val="11"/>
      <color rgb="FF1F497D"/>
      <name val="Calibri"/>
      <family val="2"/>
    </font>
    <font>
      <sz val="11"/>
      <name val="Calibri"/>
      <family val="2"/>
    </font>
    <font>
      <vertAlign val="subscript"/>
      <sz val="12"/>
      <name val="Calibri"/>
      <family val="2"/>
      <scheme val="minor"/>
    </font>
    <font>
      <sz val="8"/>
      <color rgb="FFFFFFFF"/>
      <name val="Calibri"/>
      <family val="2"/>
    </font>
    <font>
      <sz val="10"/>
      <color theme="1"/>
      <name val="Times New Roman"/>
      <family val="1"/>
    </font>
    <font>
      <sz val="11"/>
      <color rgb="FF000000"/>
      <name val="Calibri"/>
      <family val="2"/>
    </font>
    <font>
      <b/>
      <sz val="11"/>
      <color rgb="FF1F497D"/>
      <name val="Calibri"/>
      <family val="2"/>
      <scheme val="minor"/>
    </font>
    <font>
      <b/>
      <sz val="7"/>
      <color rgb="FF1F497D"/>
      <name val="Times New Roman"/>
      <family val="1"/>
    </font>
    <font>
      <sz val="11"/>
      <color rgb="FF1F497D"/>
      <name val="Calibri"/>
      <family val="2"/>
      <scheme val="minor"/>
    </font>
    <font>
      <sz val="7"/>
      <color rgb="FF1F497D"/>
      <name val="Times New Roman"/>
      <family val="1"/>
    </font>
    <font>
      <sz val="11"/>
      <color rgb="FF000000"/>
      <name val="Georgia"/>
      <family val="1"/>
    </font>
    <font>
      <b/>
      <sz val="9"/>
      <color rgb="FFFFFFFF"/>
      <name val="Georgia"/>
      <family val="1"/>
    </font>
    <font>
      <sz val="9"/>
      <color rgb="FF000000"/>
      <name val="Georgia"/>
      <family val="1"/>
    </font>
    <font>
      <b/>
      <sz val="12"/>
      <color theme="0" tint="-4.9989318521683403E-2"/>
      <name val="Calibri"/>
      <family val="2"/>
      <scheme val="minor"/>
    </font>
    <font>
      <sz val="8"/>
      <color theme="1"/>
      <name val="Calibri"/>
      <family val="2"/>
      <scheme val="minor"/>
    </font>
    <font>
      <b/>
      <sz val="11"/>
      <color rgb="FF000000"/>
      <name val="Calibri"/>
      <family val="2"/>
    </font>
    <font>
      <sz val="8"/>
      <name val="Calibri"/>
      <family val="2"/>
      <scheme val="minor"/>
    </font>
    <font>
      <b/>
      <sz val="11"/>
      <color rgb="FF000000"/>
      <name val="Calibri"/>
      <family val="2"/>
      <scheme val="minor"/>
    </font>
    <font>
      <sz val="11"/>
      <color rgb="FF000000"/>
      <name val="Calibri"/>
      <family val="2"/>
      <scheme val="minor"/>
    </font>
    <font>
      <vertAlign val="subscript"/>
      <sz val="11"/>
      <color theme="1"/>
      <name val="Calibri"/>
      <family val="2"/>
      <scheme val="minor"/>
    </font>
    <font>
      <b/>
      <sz val="11"/>
      <color rgb="FFFF0000"/>
      <name val="Calibri"/>
      <family val="2"/>
      <scheme val="minor"/>
    </font>
  </fonts>
  <fills count="49">
    <fill>
      <patternFill patternType="none"/>
    </fill>
    <fill>
      <patternFill patternType="gray125"/>
    </fill>
    <fill>
      <patternFill patternType="solid">
        <fgColor theme="8" tint="-0.249977111117893"/>
        <bgColor indexed="64"/>
      </patternFill>
    </fill>
    <fill>
      <patternFill patternType="solid">
        <fgColor rgb="FFC6EFCE"/>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BFBFB"/>
        <bgColor indexed="64"/>
      </patternFill>
    </fill>
    <fill>
      <patternFill patternType="solid">
        <fgColor rgb="FFFFFF00"/>
        <bgColor indexed="64"/>
      </patternFill>
    </fill>
    <fill>
      <patternFill patternType="solid">
        <fgColor rgb="FF92D050"/>
        <bgColor indexed="64"/>
      </patternFill>
    </fill>
    <fill>
      <patternFill patternType="solid">
        <fgColor theme="6" tint="0.59999389629810485"/>
        <bgColor indexed="64"/>
      </patternFill>
    </fill>
    <fill>
      <patternFill patternType="solid">
        <fgColor rgb="FFFFC000"/>
        <bgColor indexed="64"/>
      </patternFill>
    </fill>
    <fill>
      <patternFill patternType="solid">
        <fgColor indexed="22"/>
        <bgColor indexed="0"/>
      </patternFill>
    </fill>
    <fill>
      <patternFill patternType="solid">
        <fgColor theme="4"/>
      </patternFill>
    </fill>
    <fill>
      <patternFill patternType="solid">
        <fgColor theme="3"/>
        <bgColor indexed="64"/>
      </patternFill>
    </fill>
    <fill>
      <patternFill patternType="solid">
        <fgColor theme="4" tint="0.79998168889431442"/>
        <bgColor theme="4" tint="0.79998168889431442"/>
      </patternFill>
    </fill>
    <fill>
      <patternFill patternType="solid">
        <fgColor theme="3"/>
        <bgColor theme="4" tint="0.79998168889431442"/>
      </patternFill>
    </fill>
    <fill>
      <patternFill patternType="solid">
        <fgColor theme="9" tint="0.59999389629810485"/>
        <bgColor theme="4" tint="0.79998168889431442"/>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indexed="64"/>
      </patternFill>
    </fill>
    <fill>
      <patternFill patternType="solid">
        <fgColor rgb="FF1F497D"/>
        <bgColor indexed="64"/>
      </patternFill>
    </fill>
    <fill>
      <patternFill patternType="solid">
        <fgColor rgb="FFF2F2F2"/>
        <bgColor indexed="64"/>
      </patternFill>
    </fill>
    <fill>
      <patternFill patternType="solid">
        <fgColor rgb="FF31849B"/>
        <bgColor indexed="64"/>
      </patternFill>
    </fill>
    <fill>
      <patternFill patternType="solid">
        <fgColor theme="0"/>
        <bgColor indexed="64"/>
      </patternFill>
    </fill>
    <fill>
      <patternFill patternType="solid">
        <fgColor theme="4" tint="0.39997558519241921"/>
        <bgColor indexed="64"/>
      </patternFill>
    </fill>
    <fill>
      <patternFill patternType="solid">
        <fgColor rgb="FF366092"/>
        <bgColor indexed="64"/>
      </patternFill>
    </fill>
    <fill>
      <patternFill patternType="solid">
        <fgColor theme="6" tint="0.79998168889431442"/>
        <bgColor indexed="64"/>
      </patternFill>
    </fill>
    <fill>
      <patternFill patternType="solid">
        <fgColor rgb="FFFF99FF"/>
        <bgColor indexed="64"/>
      </patternFill>
    </fill>
    <fill>
      <patternFill patternType="solid">
        <fgColor rgb="FFFFE5FF"/>
        <bgColor indexed="64"/>
      </patternFill>
    </fill>
    <fill>
      <patternFill patternType="solid">
        <fgColor theme="2"/>
        <bgColor indexed="64"/>
      </patternFill>
    </fill>
    <fill>
      <patternFill patternType="solid">
        <fgColor theme="6" tint="0.79998168889431442"/>
        <bgColor indexed="0"/>
      </patternFill>
    </fill>
    <fill>
      <patternFill patternType="solid">
        <fgColor theme="8" tint="0.39997558519241921"/>
        <bgColor indexed="64"/>
      </patternFill>
    </fill>
    <fill>
      <patternFill patternType="solid">
        <fgColor theme="1"/>
        <bgColor indexed="64"/>
      </patternFill>
    </fill>
    <fill>
      <patternFill patternType="solid">
        <fgColor theme="6" tint="0.59999389629810485"/>
        <bgColor rgb="FF000000"/>
      </patternFill>
    </fill>
    <fill>
      <patternFill patternType="solid">
        <fgColor rgb="FFC6E0B4"/>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7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theme="4" tint="0.39997558519241921"/>
      </bottom>
      <diagonal/>
    </border>
    <border>
      <left style="medium">
        <color indexed="64"/>
      </left>
      <right/>
      <top/>
      <bottom style="thin">
        <color theme="4" tint="0.3999755851924192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bottom style="thin">
        <color theme="4" tint="0.39997558519241921"/>
      </bottom>
      <diagonal/>
    </border>
    <border>
      <left style="thin">
        <color auto="1"/>
      </left>
      <right/>
      <top style="medium">
        <color auto="1"/>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
      <left style="medium">
        <color rgb="FF1F497D"/>
      </left>
      <right style="medium">
        <color rgb="FF1F497D"/>
      </right>
      <top style="medium">
        <color rgb="FF1F497D"/>
      </top>
      <bottom style="medium">
        <color rgb="FF1F497D"/>
      </bottom>
      <diagonal/>
    </border>
    <border>
      <left/>
      <right style="medium">
        <color rgb="FF1F497D"/>
      </right>
      <top style="medium">
        <color rgb="FF1F497D"/>
      </top>
      <bottom style="medium">
        <color rgb="FF1F497D"/>
      </bottom>
      <diagonal/>
    </border>
    <border>
      <left style="medium">
        <color rgb="FF1F497D"/>
      </left>
      <right style="medium">
        <color rgb="FF1F497D"/>
      </right>
      <top/>
      <bottom style="medium">
        <color rgb="FF1F497D"/>
      </bottom>
      <diagonal/>
    </border>
    <border>
      <left/>
      <right style="medium">
        <color rgb="FF1F497D"/>
      </right>
      <top/>
      <bottom style="medium">
        <color rgb="FF1F497D"/>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rgb="FF000000"/>
      </right>
      <top style="medium">
        <color rgb="FF000000"/>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s>
  <cellStyleXfs count="476">
    <xf numFmtId="0" fontId="0" fillId="0" borderId="0"/>
    <xf numFmtId="0" fontId="4" fillId="0" borderId="0" applyNumberFormat="0" applyFill="0" applyBorder="0" applyAlignment="0" applyProtection="0">
      <alignment vertical="top"/>
      <protection locked="0"/>
    </xf>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6" fillId="3" borderId="0" applyNumberFormat="0" applyBorder="0" applyAlignment="0" applyProtection="0"/>
    <xf numFmtId="0" fontId="10" fillId="0" borderId="0"/>
    <xf numFmtId="0" fontId="10" fillId="0" borderId="0"/>
    <xf numFmtId="8" fontId="13" fillId="0" borderId="0" applyFont="0" applyFill="0" applyBorder="0" applyAlignment="0" applyProtection="0"/>
    <xf numFmtId="43" fontId="10" fillId="0" borderId="0" applyFont="0" applyFill="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5"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0"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8" fontId="13"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10" fillId="0" borderId="0"/>
    <xf numFmtId="0" fontId="14"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5" fillId="0" borderId="0"/>
    <xf numFmtId="0" fontId="5" fillId="0" borderId="0"/>
    <xf numFmtId="0" fontId="5" fillId="0" borderId="0"/>
    <xf numFmtId="0" fontId="5" fillId="0" borderId="0"/>
    <xf numFmtId="0" fontId="10" fillId="0" borderId="0"/>
    <xf numFmtId="0" fontId="10" fillId="0" borderId="0"/>
    <xf numFmtId="0" fontId="5" fillId="0" borderId="0"/>
    <xf numFmtId="0" fontId="10"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1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167"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6" fillId="0" borderId="0"/>
    <xf numFmtId="0" fontId="16" fillId="0" borderId="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5"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0" fontId="10" fillId="4" borderId="9" applyNumberFormat="0" applyFont="0" applyAlignment="0" applyProtection="0"/>
    <xf numFmtId="9" fontId="10"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xf numFmtId="0" fontId="28" fillId="0" borderId="0"/>
    <xf numFmtId="9" fontId="10" fillId="0" borderId="0" applyFont="0" applyFill="0" applyBorder="0" applyAlignment="0" applyProtection="0"/>
    <xf numFmtId="0" fontId="35" fillId="23" borderId="0" applyNumberFormat="0" applyBorder="0" applyAlignment="0" applyProtection="0"/>
    <xf numFmtId="0" fontId="28" fillId="0" borderId="0"/>
    <xf numFmtId="0" fontId="31" fillId="0" borderId="0" applyNumberFormat="0" applyFill="0" applyBorder="0" applyAlignment="0" applyProtection="0">
      <alignment vertical="top"/>
      <protection locked="0"/>
    </xf>
    <xf numFmtId="43" fontId="10" fillId="0" borderId="0" applyFont="0" applyFill="0" applyBorder="0" applyAlignment="0" applyProtection="0"/>
    <xf numFmtId="8" fontId="13" fillId="0" borderId="0" applyFont="0" applyFill="0" applyBorder="0" applyAlignment="0" applyProtection="0"/>
    <xf numFmtId="9" fontId="10" fillId="0" borderId="0" applyFont="0" applyFill="0" applyBorder="0" applyAlignment="0" applyProtection="0"/>
    <xf numFmtId="0" fontId="5" fillId="6" borderId="0" applyNumberFormat="0" applyBorder="0" applyAlignment="0" applyProtection="0"/>
    <xf numFmtId="0" fontId="5" fillId="5" borderId="0" applyNumberFormat="0" applyBorder="0" applyAlignment="0" applyProtection="0"/>
    <xf numFmtId="0" fontId="16" fillId="0" borderId="0"/>
    <xf numFmtId="0" fontId="28" fillId="0" borderId="0"/>
  </cellStyleXfs>
  <cellXfs count="625">
    <xf numFmtId="0" fontId="0" fillId="0" borderId="0" xfId="0"/>
    <xf numFmtId="0" fontId="0" fillId="2" borderId="0" xfId="0" applyFill="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1" fillId="2" borderId="0" xfId="0" applyFont="1" applyFill="1" applyAlignment="1">
      <alignment horizontal="center"/>
    </xf>
    <xf numFmtId="0" fontId="4" fillId="0" borderId="0" xfId="1" applyAlignment="1" applyProtection="1"/>
    <xf numFmtId="0" fontId="7" fillId="0" borderId="0" xfId="0" applyFont="1"/>
    <xf numFmtId="0" fontId="2" fillId="0" borderId="0" xfId="0" applyFont="1" applyAlignment="1">
      <alignment horizontal="center" wrapText="1"/>
    </xf>
    <xf numFmtId="0" fontId="0" fillId="0" borderId="0" xfId="0" applyAlignment="1">
      <alignment wrapText="1"/>
    </xf>
    <xf numFmtId="164" fontId="0" fillId="0" borderId="0" xfId="3" applyNumberFormat="1" applyFont="1"/>
    <xf numFmtId="164" fontId="0" fillId="0" borderId="0" xfId="0" applyNumberFormat="1"/>
    <xf numFmtId="9" fontId="0" fillId="0" borderId="0" xfId="4" applyFont="1"/>
    <xf numFmtId="165" fontId="0" fillId="0" borderId="0" xfId="2" applyNumberFormat="1" applyFont="1"/>
    <xf numFmtId="165" fontId="0" fillId="0" borderId="0" xfId="0" applyNumberFormat="1"/>
    <xf numFmtId="44" fontId="0" fillId="0" borderId="0" xfId="3" applyFont="1"/>
    <xf numFmtId="0" fontId="0" fillId="0" borderId="0" xfId="0" applyAlignment="1">
      <alignment horizontal="center"/>
    </xf>
    <xf numFmtId="9" fontId="0" fillId="0" borderId="0" xfId="0" applyNumberFormat="1" applyAlignment="1">
      <alignment horizontal="center"/>
    </xf>
    <xf numFmtId="10" fontId="0" fillId="0" borderId="0" xfId="0" applyNumberFormat="1" applyAlignment="1">
      <alignment horizontal="center"/>
    </xf>
    <xf numFmtId="164" fontId="0" fillId="0" borderId="0" xfId="3" applyNumberFormat="1" applyFont="1" applyAlignment="1">
      <alignment horizontal="center"/>
    </xf>
    <xf numFmtId="6" fontId="0" fillId="0" borderId="0" xfId="0" applyNumberFormat="1" applyAlignment="1">
      <alignment wrapText="1"/>
    </xf>
    <xf numFmtId="166" fontId="0" fillId="0" borderId="0" xfId="0" applyNumberFormat="1" applyAlignment="1">
      <alignment horizontal="center"/>
    </xf>
    <xf numFmtId="165" fontId="0" fillId="0" borderId="0" xfId="2" applyNumberFormat="1" applyFont="1" applyAlignment="1">
      <alignment horizontal="center"/>
    </xf>
    <xf numFmtId="165" fontId="11" fillId="0" borderId="0" xfId="9" applyNumberFormat="1" applyFont="1" applyAlignment="1">
      <alignment horizontal="center"/>
    </xf>
    <xf numFmtId="164" fontId="11" fillId="0" borderId="0" xfId="3" applyNumberFormat="1" applyFont="1" applyAlignment="1">
      <alignment horizontal="center"/>
    </xf>
    <xf numFmtId="0" fontId="11" fillId="0" borderId="0" xfId="6" applyFont="1" applyAlignment="1">
      <alignment horizontal="center"/>
    </xf>
    <xf numFmtId="0" fontId="18" fillId="0" borderId="0" xfId="0" applyFont="1" applyAlignment="1">
      <alignment horizontal="left" indent="2"/>
    </xf>
    <xf numFmtId="0" fontId="17" fillId="0" borderId="0" xfId="0" applyFont="1" applyAlignment="1">
      <alignment wrapText="1"/>
    </xf>
    <xf numFmtId="0" fontId="18" fillId="0" borderId="0" xfId="0" applyFont="1" applyAlignment="1">
      <alignment horizontal="left" wrapText="1"/>
    </xf>
    <xf numFmtId="0" fontId="4" fillId="0" borderId="0" xfId="1" applyAlignment="1" applyProtection="1">
      <alignment horizontal="left" wrapText="1"/>
    </xf>
    <xf numFmtId="0" fontId="18" fillId="0" borderId="0" xfId="0" applyFont="1" applyAlignment="1">
      <alignment horizontal="left" wrapText="1" indent="2"/>
    </xf>
    <xf numFmtId="0" fontId="11" fillId="0" borderId="0" xfId="6" applyFont="1"/>
    <xf numFmtId="0" fontId="12" fillId="0" borderId="0" xfId="6" applyFont="1"/>
    <xf numFmtId="6" fontId="11" fillId="0" borderId="0" xfId="6" applyNumberFormat="1" applyFont="1" applyAlignment="1">
      <alignment horizontal="center"/>
    </xf>
    <xf numFmtId="0" fontId="2" fillId="0" borderId="0" xfId="0" applyFont="1"/>
    <xf numFmtId="9" fontId="0" fillId="0" borderId="0" xfId="0" applyNumberFormat="1"/>
    <xf numFmtId="0" fontId="0" fillId="17" borderId="2" xfId="0" applyFill="1" applyBorder="1"/>
    <xf numFmtId="0" fontId="11" fillId="0" borderId="0" xfId="0" applyFont="1"/>
    <xf numFmtId="0" fontId="11" fillId="0" borderId="0" xfId="0" applyFont="1" applyAlignment="1">
      <alignment horizontal="center"/>
    </xf>
    <xf numFmtId="6" fontId="11" fillId="0" borderId="0" xfId="0" applyNumberFormat="1" applyFont="1" applyAlignment="1">
      <alignment horizontal="center"/>
    </xf>
    <xf numFmtId="6" fontId="0" fillId="0" borderId="0" xfId="0" applyNumberFormat="1"/>
    <xf numFmtId="0" fontId="5" fillId="0" borderId="0" xfId="0" applyFont="1"/>
    <xf numFmtId="0" fontId="20" fillId="0" borderId="0" xfId="460" applyFont="1" applyAlignment="1">
      <alignment horizontal="center"/>
    </xf>
    <xf numFmtId="0" fontId="20" fillId="0" borderId="0" xfId="460" applyFont="1" applyAlignment="1">
      <alignment horizontal="center" wrapText="1"/>
    </xf>
    <xf numFmtId="0" fontId="20" fillId="0" borderId="0" xfId="460" applyFont="1"/>
    <xf numFmtId="3" fontId="20" fillId="0" borderId="0" xfId="9" applyNumberFormat="1" applyFont="1" applyAlignment="1">
      <alignment horizontal="center"/>
    </xf>
    <xf numFmtId="3" fontId="20" fillId="0" borderId="0" xfId="9" applyNumberFormat="1" applyFont="1" applyAlignment="1">
      <alignment horizontal="left"/>
    </xf>
    <xf numFmtId="166" fontId="20" fillId="0" borderId="0" xfId="421" applyNumberFormat="1" applyFont="1" applyAlignment="1">
      <alignment horizontal="center"/>
    </xf>
    <xf numFmtId="3" fontId="20" fillId="18" borderId="0" xfId="9" applyNumberFormat="1" applyFont="1" applyFill="1" applyAlignment="1">
      <alignment horizontal="center"/>
    </xf>
    <xf numFmtId="3" fontId="20" fillId="0" borderId="0" xfId="421" applyNumberFormat="1" applyFont="1" applyAlignment="1">
      <alignment horizontal="center"/>
    </xf>
    <xf numFmtId="3" fontId="20" fillId="0" borderId="0" xfId="421" applyNumberFormat="1" applyFont="1" applyAlignment="1">
      <alignment horizontal="left"/>
    </xf>
    <xf numFmtId="8" fontId="20" fillId="0" borderId="0" xfId="190" applyFont="1" applyAlignment="1">
      <alignment horizontal="center"/>
    </xf>
    <xf numFmtId="8" fontId="20" fillId="0" borderId="0" xfId="190" applyFont="1" applyAlignment="1">
      <alignment horizontal="left"/>
    </xf>
    <xf numFmtId="4" fontId="20" fillId="0" borderId="0" xfId="421" applyNumberFormat="1" applyFont="1" applyAlignment="1">
      <alignment horizontal="center"/>
    </xf>
    <xf numFmtId="4" fontId="20" fillId="0" borderId="0" xfId="421" applyNumberFormat="1" applyFont="1" applyAlignment="1">
      <alignment horizontal="left"/>
    </xf>
    <xf numFmtId="0" fontId="20" fillId="0" borderId="0" xfId="460" applyFont="1" applyAlignment="1">
      <alignment horizontal="left"/>
    </xf>
    <xf numFmtId="6" fontId="20" fillId="0" borderId="0" xfId="190" applyNumberFormat="1" applyFont="1" applyAlignment="1">
      <alignment horizontal="center"/>
    </xf>
    <xf numFmtId="9" fontId="5" fillId="0" borderId="0" xfId="0" applyNumberFormat="1" applyFont="1"/>
    <xf numFmtId="0" fontId="5" fillId="0" borderId="0" xfId="0" applyFont="1" applyAlignment="1">
      <alignment horizontal="center"/>
    </xf>
    <xf numFmtId="165" fontId="5" fillId="0" borderId="0" xfId="2" applyNumberFormat="1" applyFont="1" applyAlignment="1">
      <alignment horizontal="center"/>
    </xf>
    <xf numFmtId="164" fontId="5" fillId="0" borderId="0" xfId="3" applyNumberFormat="1" applyFont="1"/>
    <xf numFmtId="6" fontId="5" fillId="0" borderId="0" xfId="3" applyNumberFormat="1" applyFont="1" applyAlignment="1">
      <alignment horizontal="center"/>
    </xf>
    <xf numFmtId="0" fontId="10" fillId="0" borderId="0" xfId="462" applyAlignment="1">
      <alignment horizontal="center" wrapText="1"/>
    </xf>
    <xf numFmtId="0" fontId="3" fillId="0" borderId="1" xfId="0" applyFont="1" applyBorder="1" applyAlignment="1">
      <alignment horizontal="left"/>
    </xf>
    <xf numFmtId="0" fontId="29" fillId="0" borderId="0" xfId="0" applyFont="1"/>
    <xf numFmtId="0" fontId="25" fillId="0" borderId="0" xfId="0" applyFont="1"/>
    <xf numFmtId="0" fontId="25" fillId="0" borderId="0" xfId="0" applyFont="1" applyAlignment="1">
      <alignment horizontal="center"/>
    </xf>
    <xf numFmtId="165" fontId="25" fillId="0" borderId="0" xfId="0" applyNumberFormat="1" applyFont="1"/>
    <xf numFmtId="1" fontId="25" fillId="0" borderId="0" xfId="0" applyNumberFormat="1" applyFont="1"/>
    <xf numFmtId="6" fontId="29" fillId="0" borderId="0" xfId="190" applyNumberFormat="1" applyFont="1"/>
    <xf numFmtId="9" fontId="29" fillId="0" borderId="0" xfId="394" applyFont="1" applyAlignment="1">
      <alignment horizontal="center"/>
    </xf>
    <xf numFmtId="9" fontId="25" fillId="0" borderId="0" xfId="394" applyFont="1" applyAlignment="1">
      <alignment horizontal="center"/>
    </xf>
    <xf numFmtId="166" fontId="25" fillId="0" borderId="0" xfId="394" applyNumberFormat="1" applyFont="1" applyAlignment="1">
      <alignment horizontal="center"/>
    </xf>
    <xf numFmtId="10" fontId="25" fillId="0" borderId="0" xfId="394" applyNumberFormat="1" applyFont="1"/>
    <xf numFmtId="0" fontId="30" fillId="0" borderId="0" xfId="0" applyFont="1"/>
    <xf numFmtId="0" fontId="29" fillId="0" borderId="0" xfId="0" applyFont="1" applyAlignment="1">
      <alignment horizontal="center"/>
    </xf>
    <xf numFmtId="0" fontId="31" fillId="0" borderId="0" xfId="1" applyFont="1" applyAlignment="1" applyProtection="1"/>
    <xf numFmtId="9" fontId="29" fillId="0" borderId="0" xfId="0" applyNumberFormat="1" applyFont="1" applyAlignment="1">
      <alignment horizontal="center"/>
    </xf>
    <xf numFmtId="0" fontId="32" fillId="22" borderId="13" xfId="464" applyFont="1" applyFill="1" applyBorder="1" applyAlignment="1">
      <alignment horizontal="center"/>
    </xf>
    <xf numFmtId="0" fontId="32" fillId="0" borderId="14" xfId="464" applyFont="1" applyBorder="1" applyAlignment="1">
      <alignment wrapText="1"/>
    </xf>
    <xf numFmtId="165" fontId="32" fillId="0" borderId="14" xfId="118" applyNumberFormat="1" applyFont="1" applyFill="1" applyBorder="1" applyAlignment="1">
      <alignment horizontal="right" wrapText="1"/>
    </xf>
    <xf numFmtId="0" fontId="24" fillId="0" borderId="0" xfId="0" applyFont="1"/>
    <xf numFmtId="1" fontId="11" fillId="0" borderId="0" xfId="0" applyNumberFormat="1" applyFont="1" applyAlignment="1">
      <alignment horizontal="center"/>
    </xf>
    <xf numFmtId="9" fontId="11" fillId="0" borderId="0" xfId="0" applyNumberFormat="1" applyFont="1" applyAlignment="1">
      <alignment horizontal="center"/>
    </xf>
    <xf numFmtId="0" fontId="12" fillId="0" borderId="0" xfId="0" applyFont="1" applyAlignment="1">
      <alignment horizontal="right"/>
    </xf>
    <xf numFmtId="164" fontId="0" fillId="0" borderId="0" xfId="0" applyNumberFormat="1" applyAlignment="1">
      <alignment horizontal="center"/>
    </xf>
    <xf numFmtId="0" fontId="0" fillId="0" borderId="0" xfId="0" applyAlignment="1">
      <alignment horizontal="left" indent="1"/>
    </xf>
    <xf numFmtId="0" fontId="0" fillId="0" borderId="0" xfId="0" applyAlignment="1">
      <alignment horizontal="right"/>
    </xf>
    <xf numFmtId="0" fontId="0" fillId="0" borderId="0" xfId="0" pivotButton="1"/>
    <xf numFmtId="0" fontId="0" fillId="0" borderId="0" xfId="0" pivotButton="1" applyAlignment="1">
      <alignment horizontal="center"/>
    </xf>
    <xf numFmtId="44" fontId="0" fillId="0" borderId="0" xfId="0" applyNumberFormat="1"/>
    <xf numFmtId="0" fontId="11" fillId="0" borderId="0" xfId="460" applyFont="1"/>
    <xf numFmtId="0" fontId="12" fillId="0" borderId="0" xfId="460" applyFont="1"/>
    <xf numFmtId="0" fontId="12" fillId="0" borderId="0" xfId="460" applyFont="1" applyAlignment="1">
      <alignment horizontal="center" wrapText="1"/>
    </xf>
    <xf numFmtId="10" fontId="0" fillId="0" borderId="0" xfId="0" applyNumberFormat="1"/>
    <xf numFmtId="8" fontId="0" fillId="0" borderId="0" xfId="0" applyNumberFormat="1"/>
    <xf numFmtId="0" fontId="11" fillId="0" borderId="0" xfId="0" applyFont="1" applyAlignment="1">
      <alignment horizontal="left"/>
    </xf>
    <xf numFmtId="0" fontId="2" fillId="0" borderId="0" xfId="0" applyFont="1" applyAlignment="1">
      <alignment horizontal="center"/>
    </xf>
    <xf numFmtId="10" fontId="5" fillId="0" borderId="0" xfId="0" applyNumberFormat="1" applyFont="1"/>
    <xf numFmtId="166" fontId="0" fillId="0" borderId="0" xfId="0" applyNumberFormat="1" applyAlignment="1">
      <alignment horizontal="center" wrapText="1"/>
    </xf>
    <xf numFmtId="166" fontId="5" fillId="0" borderId="0" xfId="0" applyNumberFormat="1" applyFont="1" applyAlignment="1">
      <alignment horizontal="center"/>
    </xf>
    <xf numFmtId="166" fontId="0" fillId="0" borderId="0" xfId="0" applyNumberFormat="1"/>
    <xf numFmtId="164" fontId="0" fillId="0" borderId="0" xfId="3" applyNumberFormat="1" applyFont="1" applyBorder="1"/>
    <xf numFmtId="166" fontId="5" fillId="0" borderId="0" xfId="0" applyNumberFormat="1" applyFont="1"/>
    <xf numFmtId="8" fontId="11" fillId="0" borderId="0" xfId="0" applyNumberFormat="1" applyFont="1"/>
    <xf numFmtId="6" fontId="11" fillId="0" borderId="0" xfId="190" applyNumberFormat="1" applyFont="1" applyAlignment="1">
      <alignment horizontal="left"/>
    </xf>
    <xf numFmtId="0" fontId="11" fillId="24" borderId="15" xfId="0" applyFont="1" applyFill="1" applyBorder="1"/>
    <xf numFmtId="0" fontId="12" fillId="18" borderId="10" xfId="0" applyFont="1" applyFill="1" applyBorder="1" applyAlignment="1">
      <alignment horizontal="center"/>
    </xf>
    <xf numFmtId="0" fontId="12" fillId="18" borderId="12" xfId="0" applyFont="1" applyFill="1" applyBorder="1" applyAlignment="1">
      <alignment horizontal="center"/>
    </xf>
    <xf numFmtId="0" fontId="36" fillId="25" borderId="16" xfId="0" applyFont="1" applyFill="1" applyBorder="1"/>
    <xf numFmtId="0" fontId="36" fillId="25" borderId="17" xfId="0" applyFont="1" applyFill="1" applyBorder="1"/>
    <xf numFmtId="0" fontId="36" fillId="25" borderId="6" xfId="0" applyFont="1" applyFill="1" applyBorder="1"/>
    <xf numFmtId="0" fontId="36" fillId="26" borderId="4" xfId="0" applyFont="1" applyFill="1" applyBorder="1"/>
    <xf numFmtId="0" fontId="36" fillId="27" borderId="16" xfId="0" applyFont="1" applyFill="1" applyBorder="1"/>
    <xf numFmtId="9" fontId="25" fillId="0" borderId="2" xfId="394" applyFont="1" applyFill="1" applyBorder="1" applyAlignment="1">
      <alignment horizontal="center"/>
    </xf>
    <xf numFmtId="0" fontId="36" fillId="27" borderId="17" xfId="0" applyFont="1" applyFill="1" applyBorder="1"/>
    <xf numFmtId="0" fontId="36" fillId="27" borderId="6" xfId="0" applyFont="1" applyFill="1" applyBorder="1"/>
    <xf numFmtId="0" fontId="25" fillId="0" borderId="7" xfId="0" applyFont="1" applyBorder="1" applyAlignment="1">
      <alignment horizontal="center"/>
    </xf>
    <xf numFmtId="0" fontId="32" fillId="22" borderId="13" xfId="467" applyFont="1" applyFill="1" applyBorder="1" applyAlignment="1">
      <alignment horizontal="center"/>
    </xf>
    <xf numFmtId="0" fontId="32" fillId="0" borderId="14" xfId="467" applyFont="1" applyBorder="1" applyAlignment="1">
      <alignment horizontal="right" wrapText="1"/>
    </xf>
    <xf numFmtId="0" fontId="32" fillId="0" borderId="14" xfId="467" applyFont="1" applyBorder="1" applyAlignment="1">
      <alignment wrapText="1"/>
    </xf>
    <xf numFmtId="9" fontId="25" fillId="0" borderId="18" xfId="394" applyFont="1" applyFill="1" applyBorder="1" applyAlignment="1">
      <alignment horizontal="center"/>
    </xf>
    <xf numFmtId="1" fontId="25" fillId="0" borderId="19" xfId="0" applyNumberFormat="1" applyFont="1" applyBorder="1" applyAlignment="1">
      <alignment horizontal="center"/>
    </xf>
    <xf numFmtId="1" fontId="25" fillId="0" borderId="20" xfId="0" applyNumberFormat="1" applyFont="1" applyBorder="1" applyAlignment="1">
      <alignment horizontal="center"/>
    </xf>
    <xf numFmtId="9" fontId="11" fillId="0" borderId="0" xfId="0" applyNumberFormat="1" applyFont="1" applyAlignment="1">
      <alignment horizontal="center" wrapText="1"/>
    </xf>
    <xf numFmtId="0" fontId="37" fillId="28" borderId="0" xfId="0" applyFont="1" applyFill="1"/>
    <xf numFmtId="0" fontId="3" fillId="28" borderId="0" xfId="0" applyFont="1" applyFill="1"/>
    <xf numFmtId="165" fontId="0" fillId="0" borderId="0" xfId="2" applyNumberFormat="1" applyFont="1" applyFill="1"/>
    <xf numFmtId="0" fontId="20" fillId="0" borderId="0" xfId="0" applyFont="1"/>
    <xf numFmtId="9" fontId="0" fillId="0" borderId="21" xfId="4" applyFont="1" applyBorder="1"/>
    <xf numFmtId="168" fontId="20" fillId="0" borderId="0" xfId="0" applyNumberFormat="1" applyFont="1"/>
    <xf numFmtId="164" fontId="20" fillId="0" borderId="0" xfId="0" applyNumberFormat="1" applyFont="1"/>
    <xf numFmtId="8" fontId="20" fillId="0" borderId="0" xfId="0" applyNumberFormat="1" applyFont="1"/>
    <xf numFmtId="8" fontId="20" fillId="0" borderId="21" xfId="0" applyNumberFormat="1" applyFont="1" applyBorder="1"/>
    <xf numFmtId="44" fontId="20" fillId="0" borderId="0" xfId="0" applyNumberFormat="1" applyFont="1"/>
    <xf numFmtId="0" fontId="2" fillId="29" borderId="0" xfId="0" applyFont="1" applyFill="1"/>
    <xf numFmtId="165" fontId="2" fillId="29" borderId="0" xfId="0" applyNumberFormat="1" applyFont="1" applyFill="1"/>
    <xf numFmtId="8" fontId="2" fillId="29" borderId="22" xfId="0" applyNumberFormat="1" applyFont="1" applyFill="1" applyBorder="1"/>
    <xf numFmtId="44" fontId="21" fillId="29" borderId="0" xfId="3" applyFont="1" applyFill="1" applyBorder="1"/>
    <xf numFmtId="164" fontId="21" fillId="29" borderId="0" xfId="0" applyNumberFormat="1" applyFont="1" applyFill="1"/>
    <xf numFmtId="0" fontId="21" fillId="28" borderId="0" xfId="0" applyFont="1" applyFill="1"/>
    <xf numFmtId="164" fontId="21" fillId="28" borderId="0" xfId="0" applyNumberFormat="1" applyFont="1" applyFill="1"/>
    <xf numFmtId="0" fontId="38" fillId="0" borderId="0" xfId="0" applyFont="1"/>
    <xf numFmtId="164" fontId="0" fillId="0" borderId="21" xfId="0" applyNumberFormat="1" applyBorder="1"/>
    <xf numFmtId="0" fontId="0" fillId="29" borderId="0" xfId="0" applyFill="1"/>
    <xf numFmtId="164" fontId="2" fillId="29" borderId="22" xfId="0" applyNumberFormat="1" applyFont="1" applyFill="1" applyBorder="1"/>
    <xf numFmtId="0" fontId="2" fillId="29" borderId="22" xfId="0" applyFont="1" applyFill="1" applyBorder="1"/>
    <xf numFmtId="0" fontId="40" fillId="0" borderId="0" xfId="1" applyFont="1" applyAlignment="1" applyProtection="1"/>
    <xf numFmtId="0" fontId="0" fillId="0" borderId="23" xfId="0" applyBorder="1"/>
    <xf numFmtId="0" fontId="21" fillId="29" borderId="0" xfId="0" applyFont="1" applyFill="1"/>
    <xf numFmtId="8" fontId="21" fillId="29" borderId="22" xfId="0" applyNumberFormat="1" applyFont="1" applyFill="1" applyBorder="1"/>
    <xf numFmtId="0" fontId="39" fillId="0" borderId="0" xfId="1" applyFont="1" applyFill="1" applyBorder="1" applyAlignment="1" applyProtection="1"/>
    <xf numFmtId="0" fontId="34" fillId="0" borderId="0" xfId="0" applyFont="1"/>
    <xf numFmtId="164" fontId="5" fillId="0" borderId="0" xfId="3" applyNumberFormat="1" applyFont="1" applyFill="1" applyBorder="1" applyAlignment="1"/>
    <xf numFmtId="44" fontId="0" fillId="0" borderId="0" xfId="3" applyFont="1" applyFill="1" applyBorder="1" applyAlignment="1"/>
    <xf numFmtId="164" fontId="0" fillId="0" borderId="23" xfId="0" applyNumberFormat="1" applyBorder="1"/>
    <xf numFmtId="164" fontId="2" fillId="29" borderId="22" xfId="3" applyNumberFormat="1" applyFont="1" applyFill="1" applyBorder="1" applyAlignment="1"/>
    <xf numFmtId="8" fontId="0" fillId="0" borderId="0" xfId="3" applyNumberFormat="1" applyFont="1" applyFill="1" applyBorder="1" applyAlignment="1"/>
    <xf numFmtId="1" fontId="0" fillId="0" borderId="0" xfId="0" applyNumberFormat="1"/>
    <xf numFmtId="0" fontId="3" fillId="0" borderId="0" xfId="0" applyFont="1"/>
    <xf numFmtId="0" fontId="2" fillId="0" borderId="0" xfId="0" applyFont="1" applyAlignment="1">
      <alignment horizontal="center" vertical="center"/>
    </xf>
    <xf numFmtId="0" fontId="39" fillId="0" borderId="0" xfId="1" applyFont="1" applyAlignment="1" applyProtection="1"/>
    <xf numFmtId="0" fontId="21" fillId="29" borderId="22" xfId="0" applyFont="1" applyFill="1" applyBorder="1" applyAlignment="1">
      <alignment horizontal="center"/>
    </xf>
    <xf numFmtId="3" fontId="0" fillId="0" borderId="0" xfId="0" applyNumberFormat="1"/>
    <xf numFmtId="3"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indent="2"/>
    </xf>
    <xf numFmtId="169" fontId="31" fillId="0" borderId="0" xfId="468" applyNumberFormat="1" applyAlignment="1" applyProtection="1"/>
    <xf numFmtId="169" fontId="31" fillId="0" borderId="0" xfId="3" applyNumberFormat="1" applyFont="1" applyAlignment="1" applyProtection="1"/>
    <xf numFmtId="0" fontId="2" fillId="25" borderId="0" xfId="0" applyFont="1" applyFill="1" applyAlignment="1">
      <alignment horizontal="center"/>
    </xf>
    <xf numFmtId="0" fontId="2" fillId="25" borderId="24" xfId="0" applyFont="1" applyFill="1" applyBorder="1" applyAlignment="1">
      <alignment horizontal="center"/>
    </xf>
    <xf numFmtId="44" fontId="0" fillId="0" borderId="0" xfId="0" applyNumberFormat="1" applyAlignment="1">
      <alignment horizontal="center"/>
    </xf>
    <xf numFmtId="0" fontId="0" fillId="0" borderId="1" xfId="0" applyBorder="1"/>
    <xf numFmtId="0" fontId="0" fillId="0" borderId="25" xfId="0" applyBorder="1" applyAlignment="1">
      <alignment horizontal="center"/>
    </xf>
    <xf numFmtId="0" fontId="0" fillId="0" borderId="10" xfId="0" applyBorder="1" applyAlignment="1">
      <alignment horizontal="center" wrapText="1"/>
    </xf>
    <xf numFmtId="0" fontId="0" fillId="0" borderId="25" xfId="0" applyBorder="1" applyAlignment="1">
      <alignment horizontal="center" wrapText="1"/>
    </xf>
    <xf numFmtId="0" fontId="0" fillId="0" borderId="12" xfId="0" applyBorder="1" applyAlignment="1">
      <alignment horizontal="center" wrapText="1"/>
    </xf>
    <xf numFmtId="0" fontId="0" fillId="0" borderId="26" xfId="0" applyBorder="1"/>
    <xf numFmtId="170" fontId="0" fillId="0" borderId="0" xfId="2" applyNumberFormat="1" applyFont="1" applyAlignment="1">
      <alignment horizontal="center"/>
    </xf>
    <xf numFmtId="0" fontId="0" fillId="0" borderId="27" xfId="0" applyBorder="1"/>
    <xf numFmtId="0" fontId="0" fillId="0" borderId="28" xfId="0" applyBorder="1"/>
    <xf numFmtId="0" fontId="0" fillId="19" borderId="0" xfId="0" applyFill="1"/>
    <xf numFmtId="0" fontId="42" fillId="0" borderId="0" xfId="0" applyFont="1"/>
    <xf numFmtId="9" fontId="0" fillId="0" borderId="0" xfId="4" applyFont="1" applyAlignment="1"/>
    <xf numFmtId="44" fontId="0" fillId="0" borderId="0" xfId="3" applyFont="1" applyAlignment="1"/>
    <xf numFmtId="165" fontId="0" fillId="0" borderId="0" xfId="2" applyNumberFormat="1" applyFont="1" applyBorder="1" applyAlignment="1"/>
    <xf numFmtId="44" fontId="5" fillId="0" borderId="0" xfId="3" applyFont="1" applyBorder="1" applyAlignment="1"/>
    <xf numFmtId="0" fontId="25" fillId="0" borderId="0" xfId="7" applyFont="1" applyAlignment="1">
      <alignment horizontal="left"/>
    </xf>
    <xf numFmtId="0" fontId="20" fillId="29" borderId="0" xfId="0" applyFont="1" applyFill="1"/>
    <xf numFmtId="164" fontId="21" fillId="29" borderId="0" xfId="3" applyNumberFormat="1" applyFont="1" applyFill="1" applyBorder="1" applyAlignment="1"/>
    <xf numFmtId="164" fontId="21" fillId="29" borderId="22" xfId="3" applyNumberFormat="1" applyFont="1" applyFill="1" applyBorder="1" applyAlignment="1"/>
    <xf numFmtId="164" fontId="0" fillId="0" borderId="21" xfId="3" applyNumberFormat="1" applyFont="1" applyBorder="1" applyAlignment="1"/>
    <xf numFmtId="0" fontId="0" fillId="0" borderId="0" xfId="0" applyAlignment="1">
      <alignment horizontal="left"/>
    </xf>
    <xf numFmtId="0" fontId="0" fillId="0" borderId="7" xfId="0" applyBorder="1" applyAlignment="1">
      <alignment horizontal="center"/>
    </xf>
    <xf numFmtId="0" fontId="3" fillId="0" borderId="0" xfId="0" applyFont="1" applyAlignment="1">
      <alignment horizontal="left"/>
    </xf>
    <xf numFmtId="164" fontId="0" fillId="0" borderId="7" xfId="3" applyNumberFormat="1" applyFont="1" applyBorder="1"/>
    <xf numFmtId="0" fontId="0" fillId="0" borderId="0" xfId="2" applyNumberFormat="1" applyFont="1" applyAlignment="1">
      <alignment horizontal="center"/>
    </xf>
    <xf numFmtId="0" fontId="2" fillId="9" borderId="0" xfId="28" applyFont="1" applyAlignment="1">
      <alignment horizontal="center"/>
    </xf>
    <xf numFmtId="0" fontId="2" fillId="5" borderId="0" xfId="473" applyFont="1" applyAlignment="1">
      <alignment horizontal="center"/>
    </xf>
    <xf numFmtId="0" fontId="0" fillId="0" borderId="0" xfId="0" applyAlignment="1">
      <alignment horizontal="center" wrapText="1"/>
    </xf>
    <xf numFmtId="0" fontId="5" fillId="9" borderId="0" xfId="28"/>
    <xf numFmtId="0" fontId="5" fillId="5" borderId="0" xfId="473"/>
    <xf numFmtId="164" fontId="0" fillId="0" borderId="0" xfId="3" applyNumberFormat="1" applyFont="1" applyFill="1"/>
    <xf numFmtId="164" fontId="5" fillId="9" borderId="0" xfId="28" applyNumberFormat="1"/>
    <xf numFmtId="164" fontId="5" fillId="5" borderId="0" xfId="473" applyNumberFormat="1"/>
    <xf numFmtId="164" fontId="0" fillId="0" borderId="0" xfId="3" applyNumberFormat="1" applyFont="1" applyFill="1" applyAlignment="1">
      <alignment horizontal="center"/>
    </xf>
    <xf numFmtId="9" fontId="5" fillId="9" borderId="0" xfId="28" applyNumberFormat="1" applyAlignment="1">
      <alignment horizontal="center"/>
    </xf>
    <xf numFmtId="9" fontId="5" fillId="5" borderId="0" xfId="473" applyNumberFormat="1" applyAlignment="1">
      <alignment horizontal="center"/>
    </xf>
    <xf numFmtId="164" fontId="0" fillId="0" borderId="0" xfId="3" applyNumberFormat="1" applyFont="1" applyFill="1" applyBorder="1"/>
    <xf numFmtId="164" fontId="5" fillId="9" borderId="0" xfId="28" applyNumberFormat="1" applyBorder="1"/>
    <xf numFmtId="164" fontId="5" fillId="5" borderId="0" xfId="473" applyNumberFormat="1" applyBorder="1"/>
    <xf numFmtId="164" fontId="0" fillId="0" borderId="0" xfId="3" applyNumberFormat="1" applyFont="1" applyFill="1" applyBorder="1" applyAlignment="1">
      <alignment horizontal="center"/>
    </xf>
    <xf numFmtId="164" fontId="5" fillId="9" borderId="29" xfId="28" applyNumberFormat="1" applyBorder="1"/>
    <xf numFmtId="164" fontId="5" fillId="5" borderId="29" xfId="473" applyNumberFormat="1" applyBorder="1"/>
    <xf numFmtId="0" fontId="0" fillId="0" borderId="29" xfId="0" applyBorder="1" applyAlignment="1">
      <alignment horizontal="center"/>
    </xf>
    <xf numFmtId="0" fontId="0" fillId="0" borderId="29" xfId="0" applyBorder="1" applyAlignment="1">
      <alignment wrapText="1"/>
    </xf>
    <xf numFmtId="6" fontId="0" fillId="0" borderId="29" xfId="0" applyNumberFormat="1" applyBorder="1" applyAlignment="1">
      <alignment wrapText="1"/>
    </xf>
    <xf numFmtId="9" fontId="0" fillId="0" borderId="29" xfId="0" applyNumberFormat="1" applyBorder="1" applyAlignment="1">
      <alignment horizontal="center"/>
    </xf>
    <xf numFmtId="166" fontId="0" fillId="0" borderId="29" xfId="0" applyNumberFormat="1" applyBorder="1" applyAlignment="1">
      <alignment horizontal="center"/>
    </xf>
    <xf numFmtId="164" fontId="0" fillId="0" borderId="29" xfId="3" applyNumberFormat="1" applyFont="1" applyFill="1" applyBorder="1" applyAlignment="1">
      <alignment horizontal="center"/>
    </xf>
    <xf numFmtId="164" fontId="0" fillId="0" borderId="29" xfId="3" applyNumberFormat="1" applyFont="1" applyBorder="1"/>
    <xf numFmtId="165" fontId="5" fillId="9" borderId="0" xfId="2" applyNumberFormat="1" applyFill="1"/>
    <xf numFmtId="44" fontId="0" fillId="0" borderId="29" xfId="0" applyNumberFormat="1" applyBorder="1"/>
    <xf numFmtId="164" fontId="0" fillId="0" borderId="0" xfId="0" applyNumberFormat="1" applyAlignment="1">
      <alignment wrapText="1"/>
    </xf>
    <xf numFmtId="164" fontId="0" fillId="0" borderId="29" xfId="0" applyNumberFormat="1" applyBorder="1"/>
    <xf numFmtId="165" fontId="5" fillId="5" borderId="0" xfId="2" applyNumberFormat="1" applyFill="1"/>
    <xf numFmtId="171" fontId="0" fillId="0" borderId="29" xfId="3" applyNumberFormat="1" applyFont="1" applyBorder="1"/>
    <xf numFmtId="44" fontId="5" fillId="9" borderId="0" xfId="28" applyNumberFormat="1"/>
    <xf numFmtId="9" fontId="5" fillId="5" borderId="0" xfId="473" applyNumberFormat="1"/>
    <xf numFmtId="0" fontId="0" fillId="0" borderId="29" xfId="0" applyBorder="1"/>
    <xf numFmtId="0" fontId="5" fillId="9" borderId="7" xfId="28" applyBorder="1"/>
    <xf numFmtId="0" fontId="5" fillId="5" borderId="7" xfId="473" applyBorder="1"/>
    <xf numFmtId="0" fontId="0" fillId="0" borderId="7" xfId="0" applyBorder="1" applyAlignment="1">
      <alignment wrapText="1"/>
    </xf>
    <xf numFmtId="164" fontId="0" fillId="0" borderId="7" xfId="3" applyNumberFormat="1" applyFont="1" applyFill="1" applyBorder="1" applyAlignment="1">
      <alignment horizontal="center"/>
    </xf>
    <xf numFmtId="165" fontId="5" fillId="9" borderId="0" xfId="28" applyNumberFormat="1"/>
    <xf numFmtId="165" fontId="5" fillId="5" borderId="0" xfId="473" applyNumberFormat="1"/>
    <xf numFmtId="44" fontId="5" fillId="5" borderId="0" xfId="473" applyNumberFormat="1"/>
    <xf numFmtId="0" fontId="0" fillId="0" borderId="0" xfId="0" applyAlignment="1">
      <alignment horizontal="left" wrapText="1"/>
    </xf>
    <xf numFmtId="0" fontId="37" fillId="28" borderId="0" xfId="0" applyFont="1" applyFill="1" applyAlignment="1">
      <alignment horizontal="left"/>
    </xf>
    <xf numFmtId="0" fontId="2" fillId="0" borderId="0" xfId="0" applyFont="1" applyAlignment="1">
      <alignment horizontal="left"/>
    </xf>
    <xf numFmtId="0" fontId="0" fillId="0" borderId="29" xfId="0" applyBorder="1" applyAlignment="1">
      <alignment horizontal="left" wrapText="1"/>
    </xf>
    <xf numFmtId="0" fontId="4" fillId="0" borderId="0" xfId="1" applyAlignment="1" applyProtection="1">
      <alignment horizontal="left"/>
    </xf>
    <xf numFmtId="164" fontId="5" fillId="0" borderId="0" xfId="3" applyNumberFormat="1" applyFont="1" applyAlignment="1">
      <alignment horizontal="center"/>
    </xf>
    <xf numFmtId="0" fontId="43"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left" vertical="center" indent="2"/>
    </xf>
    <xf numFmtId="0" fontId="18" fillId="0" borderId="0" xfId="0" applyFont="1" applyAlignment="1">
      <alignment horizontal="left" vertical="center" indent="3"/>
    </xf>
    <xf numFmtId="0" fontId="45" fillId="0" borderId="0" xfId="0" applyFont="1" applyAlignment="1">
      <alignment horizontal="left" vertical="center" indent="4"/>
    </xf>
    <xf numFmtId="0" fontId="4" fillId="0" borderId="0" xfId="1" applyAlignment="1" applyProtection="1">
      <alignment horizontal="left" vertical="center" indent="2"/>
    </xf>
    <xf numFmtId="0" fontId="2" fillId="30" borderId="30" xfId="0" applyFont="1" applyFill="1" applyBorder="1" applyAlignment="1">
      <alignment vertical="top" wrapText="1"/>
    </xf>
    <xf numFmtId="0" fontId="4" fillId="0" borderId="35" xfId="1" applyBorder="1" applyAlignment="1" applyProtection="1">
      <alignment vertical="top" wrapText="1"/>
    </xf>
    <xf numFmtId="0" fontId="18" fillId="0" borderId="35" xfId="0" applyFont="1" applyBorder="1" applyAlignment="1">
      <alignment vertical="center" wrapText="1"/>
    </xf>
    <xf numFmtId="0" fontId="2" fillId="30" borderId="31" xfId="0" applyFont="1" applyFill="1" applyBorder="1" applyAlignment="1">
      <alignment vertical="top"/>
    </xf>
    <xf numFmtId="0" fontId="4" fillId="0" borderId="35" xfId="1" applyBorder="1" applyAlignment="1" applyProtection="1">
      <alignment vertical="top"/>
    </xf>
    <xf numFmtId="0" fontId="18" fillId="0" borderId="35" xfId="0" applyFont="1" applyBorder="1" applyAlignment="1">
      <alignment horizontal="left" vertical="center"/>
    </xf>
    <xf numFmtId="0" fontId="18" fillId="0" borderId="35" xfId="0" applyFont="1" applyBorder="1" applyAlignment="1">
      <alignment horizontal="left" vertical="center" wrapText="1"/>
    </xf>
    <xf numFmtId="0" fontId="18" fillId="0" borderId="34" xfId="0" applyFont="1" applyBorder="1" applyAlignment="1">
      <alignment horizontal="left" vertical="center" wrapText="1"/>
    </xf>
    <xf numFmtId="0" fontId="4" fillId="0" borderId="35" xfId="1" applyBorder="1" applyAlignment="1" applyProtection="1">
      <alignment horizontal="left" vertical="center" wrapText="1"/>
    </xf>
    <xf numFmtId="0" fontId="45" fillId="0" borderId="35" xfId="0" applyFont="1" applyBorder="1" applyAlignment="1">
      <alignment horizontal="left" vertical="center" wrapText="1"/>
    </xf>
    <xf numFmtId="44" fontId="11" fillId="0" borderId="0" xfId="3" applyFont="1"/>
    <xf numFmtId="6" fontId="12" fillId="0" borderId="48" xfId="190" applyNumberFormat="1" applyFont="1" applyBorder="1" applyAlignment="1">
      <alignment horizontal="center"/>
    </xf>
    <xf numFmtId="6" fontId="12" fillId="0" borderId="0" xfId="461" applyNumberFormat="1" applyFont="1" applyAlignment="1">
      <alignment horizontal="center"/>
    </xf>
    <xf numFmtId="43" fontId="11" fillId="0" borderId="0" xfId="461" applyNumberFormat="1" applyFont="1" applyAlignment="1">
      <alignment horizontal="center"/>
    </xf>
    <xf numFmtId="0" fontId="11" fillId="0" borderId="0" xfId="461" applyFont="1" applyAlignment="1">
      <alignment horizontal="center"/>
    </xf>
    <xf numFmtId="0" fontId="41" fillId="0" borderId="0" xfId="466" applyFont="1" applyFill="1" applyBorder="1" applyAlignment="1">
      <alignment horizontal="center" vertical="center" wrapText="1"/>
    </xf>
    <xf numFmtId="0" fontId="1" fillId="0" borderId="0" xfId="466" applyFont="1" applyFill="1" applyBorder="1" applyAlignment="1">
      <alignment horizontal="center" vertical="center" wrapText="1"/>
    </xf>
    <xf numFmtId="172" fontId="11" fillId="0" borderId="0" xfId="0" applyNumberFormat="1" applyFont="1" applyAlignment="1">
      <alignment horizontal="center"/>
    </xf>
    <xf numFmtId="0" fontId="12" fillId="0" borderId="49" xfId="0" applyFont="1" applyBorder="1" applyAlignment="1">
      <alignment horizontal="center"/>
    </xf>
    <xf numFmtId="0" fontId="11" fillId="0" borderId="49" xfId="0" applyFont="1" applyBorder="1" applyAlignment="1">
      <alignment horizontal="center"/>
    </xf>
    <xf numFmtId="0" fontId="11" fillId="0" borderId="23" xfId="0" applyFont="1" applyBorder="1"/>
    <xf numFmtId="43" fontId="11" fillId="0" borderId="0" xfId="0" applyNumberFormat="1" applyFont="1"/>
    <xf numFmtId="6" fontId="12" fillId="0" borderId="48" xfId="0" applyNumberFormat="1" applyFont="1" applyBorder="1" applyAlignment="1">
      <alignment horizontal="center"/>
    </xf>
    <xf numFmtId="8" fontId="11" fillId="0" borderId="0" xfId="0" applyNumberFormat="1" applyFont="1" applyAlignment="1">
      <alignment horizontal="center"/>
    </xf>
    <xf numFmtId="43" fontId="11" fillId="0" borderId="0" xfId="0" applyNumberFormat="1" applyFont="1" applyAlignment="1">
      <alignment horizontal="center"/>
    </xf>
    <xf numFmtId="0" fontId="12" fillId="0" borderId="0" xfId="0" applyFont="1" applyAlignment="1">
      <alignment horizontal="center"/>
    </xf>
    <xf numFmtId="0" fontId="11" fillId="0" borderId="0" xfId="0" applyFont="1" applyAlignment="1">
      <alignment horizontal="left" wrapText="1"/>
    </xf>
    <xf numFmtId="0" fontId="11" fillId="0" borderId="0" xfId="0" applyFont="1" applyAlignment="1">
      <alignment wrapText="1"/>
    </xf>
    <xf numFmtId="0" fontId="10" fillId="0" borderId="0" xfId="7"/>
    <xf numFmtId="0" fontId="11" fillId="0" borderId="0" xfId="7" applyFont="1"/>
    <xf numFmtId="0" fontId="11" fillId="0" borderId="0" xfId="7" applyFont="1" applyAlignment="1">
      <alignment horizontal="center"/>
    </xf>
    <xf numFmtId="165" fontId="11" fillId="0" borderId="0" xfId="118" applyNumberFormat="1" applyFont="1" applyAlignment="1">
      <alignment horizontal="center"/>
    </xf>
    <xf numFmtId="6" fontId="11" fillId="0" borderId="0" xfId="190" applyNumberFormat="1" applyFont="1"/>
    <xf numFmtId="0" fontId="11" fillId="0" borderId="0" xfId="461" applyFont="1"/>
    <xf numFmtId="0" fontId="24" fillId="0" borderId="0" xfId="461" applyFont="1"/>
    <xf numFmtId="0" fontId="11" fillId="0" borderId="0" xfId="461" applyFont="1" applyAlignment="1">
      <alignment horizontal="center" wrapText="1"/>
    </xf>
    <xf numFmtId="166" fontId="11" fillId="0" borderId="0" xfId="394" applyNumberFormat="1" applyFont="1" applyAlignment="1">
      <alignment horizontal="center"/>
    </xf>
    <xf numFmtId="165" fontId="11" fillId="0" borderId="0" xfId="461" applyNumberFormat="1" applyFont="1" applyAlignment="1">
      <alignment horizontal="center"/>
    </xf>
    <xf numFmtId="0" fontId="11" fillId="0" borderId="0" xfId="461" applyFont="1" applyAlignment="1">
      <alignment horizontal="left"/>
    </xf>
    <xf numFmtId="9" fontId="11" fillId="0" borderId="0" xfId="394" applyFont="1" applyAlignment="1">
      <alignment horizontal="center"/>
    </xf>
    <xf numFmtId="8" fontId="11" fillId="0" borderId="0" xfId="190" applyFont="1" applyAlignment="1">
      <alignment horizontal="center"/>
    </xf>
    <xf numFmtId="6" fontId="11" fillId="0" borderId="0" xfId="190" applyNumberFormat="1" applyFont="1" applyAlignment="1">
      <alignment horizontal="center"/>
    </xf>
    <xf numFmtId="0" fontId="12" fillId="0" borderId="0" xfId="461" applyFont="1" applyAlignment="1">
      <alignment horizontal="right"/>
    </xf>
    <xf numFmtId="6" fontId="11" fillId="0" borderId="0" xfId="461" applyNumberFormat="1" applyFont="1" applyAlignment="1">
      <alignment horizontal="center"/>
    </xf>
    <xf numFmtId="0" fontId="46" fillId="31" borderId="0" xfId="461" applyFont="1" applyFill="1" applyAlignment="1">
      <alignment vertical="top"/>
    </xf>
    <xf numFmtId="0" fontId="47" fillId="31" borderId="0" xfId="461" applyFont="1" applyFill="1" applyAlignment="1">
      <alignment horizontal="center" vertical="top"/>
    </xf>
    <xf numFmtId="0" fontId="48" fillId="0" borderId="37" xfId="461" applyFont="1" applyBorder="1" applyAlignment="1">
      <alignment vertical="top"/>
    </xf>
    <xf numFmtId="0" fontId="48" fillId="0" borderId="39" xfId="461" applyFont="1" applyBorder="1" applyAlignment="1">
      <alignment vertical="top"/>
    </xf>
    <xf numFmtId="0" fontId="47" fillId="33" borderId="39" xfId="461" applyFont="1" applyFill="1" applyBorder="1" applyAlignment="1">
      <alignment vertical="top"/>
    </xf>
    <xf numFmtId="0" fontId="49" fillId="0" borderId="0" xfId="461" applyFont="1" applyAlignment="1">
      <alignment vertical="top"/>
    </xf>
    <xf numFmtId="9" fontId="47" fillId="33" borderId="40" xfId="461" applyNumberFormat="1" applyFont="1" applyFill="1" applyBorder="1" applyAlignment="1">
      <alignment horizontal="right" vertical="top"/>
    </xf>
    <xf numFmtId="0" fontId="12" fillId="0" borderId="0" xfId="461" applyFont="1"/>
    <xf numFmtId="1" fontId="11" fillId="0" borderId="0" xfId="461" applyNumberFormat="1" applyFont="1" applyAlignment="1">
      <alignment horizontal="center"/>
    </xf>
    <xf numFmtId="8" fontId="11" fillId="0" borderId="0" xfId="461" applyNumberFormat="1" applyFont="1" applyAlignment="1">
      <alignment horizontal="center"/>
    </xf>
    <xf numFmtId="0" fontId="11" fillId="0" borderId="0" xfId="461" applyFont="1" applyAlignment="1">
      <alignment horizontal="right"/>
    </xf>
    <xf numFmtId="0" fontId="10" fillId="0" borderId="0" xfId="461"/>
    <xf numFmtId="10" fontId="11" fillId="0" borderId="0" xfId="394" applyNumberFormat="1" applyFont="1" applyAlignment="1">
      <alignment horizontal="center"/>
    </xf>
    <xf numFmtId="164" fontId="11" fillId="0" borderId="0" xfId="461" applyNumberFormat="1" applyFont="1" applyAlignment="1">
      <alignment horizontal="center"/>
    </xf>
    <xf numFmtId="0" fontId="11" fillId="18" borderId="0" xfId="461" applyFont="1" applyFill="1" applyAlignment="1">
      <alignment horizontal="center"/>
    </xf>
    <xf numFmtId="9" fontId="11" fillId="0" borderId="0" xfId="394" applyFont="1" applyAlignment="1">
      <alignment horizontal="left"/>
    </xf>
    <xf numFmtId="0" fontId="32" fillId="22" borderId="42" xfId="475" applyFont="1" applyFill="1" applyBorder="1" applyAlignment="1">
      <alignment horizontal="center"/>
    </xf>
    <xf numFmtId="0" fontId="32" fillId="22" borderId="43" xfId="475" applyFont="1" applyFill="1" applyBorder="1" applyAlignment="1">
      <alignment horizontal="center"/>
    </xf>
    <xf numFmtId="0" fontId="32" fillId="0" borderId="44" xfId="475" applyFont="1" applyBorder="1" applyAlignment="1">
      <alignment horizontal="center" wrapText="1"/>
    </xf>
    <xf numFmtId="0" fontId="32" fillId="0" borderId="45" xfId="475" applyFont="1" applyBorder="1" applyAlignment="1">
      <alignment horizontal="center" wrapText="1"/>
    </xf>
    <xf numFmtId="0" fontId="11" fillId="0" borderId="46" xfId="461" applyFont="1" applyBorder="1" applyAlignment="1">
      <alignment horizontal="center"/>
    </xf>
    <xf numFmtId="9" fontId="11" fillId="0" borderId="47" xfId="394" applyFont="1" applyBorder="1" applyAlignment="1">
      <alignment horizontal="center"/>
    </xf>
    <xf numFmtId="9" fontId="11" fillId="18" borderId="0" xfId="394" applyFont="1" applyFill="1" applyAlignment="1">
      <alignment horizontal="center"/>
    </xf>
    <xf numFmtId="0" fontId="42" fillId="0" borderId="0" xfId="7" applyFont="1"/>
    <xf numFmtId="165" fontId="48" fillId="32" borderId="38" xfId="118" applyNumberFormat="1" applyFont="1" applyFill="1" applyBorder="1" applyAlignment="1">
      <alignment horizontal="center" vertical="top"/>
    </xf>
    <xf numFmtId="165" fontId="48" fillId="0" borderId="38" xfId="118" applyNumberFormat="1" applyFont="1" applyBorder="1" applyAlignment="1">
      <alignment horizontal="center" vertical="top"/>
    </xf>
    <xf numFmtId="165" fontId="48" fillId="32" borderId="40" xfId="118" applyNumberFormat="1" applyFont="1" applyFill="1" applyBorder="1" applyAlignment="1">
      <alignment horizontal="center" vertical="top"/>
    </xf>
    <xf numFmtId="165" fontId="48" fillId="0" borderId="40" xfId="118" applyNumberFormat="1" applyFont="1" applyBorder="1" applyAlignment="1">
      <alignment horizontal="center" vertical="top"/>
    </xf>
    <xf numFmtId="165" fontId="47" fillId="33" borderId="40" xfId="118" applyNumberFormat="1" applyFont="1" applyFill="1" applyBorder="1" applyAlignment="1">
      <alignment horizontal="center" vertical="top"/>
    </xf>
    <xf numFmtId="0" fontId="42" fillId="0" borderId="0" xfId="461" applyFont="1" applyAlignment="1">
      <alignment horizontal="left"/>
    </xf>
    <xf numFmtId="0" fontId="12" fillId="0" borderId="0" xfId="461" applyFont="1" applyAlignment="1">
      <alignment horizontal="left"/>
    </xf>
    <xf numFmtId="0" fontId="11" fillId="0" borderId="0" xfId="461" applyFont="1" applyAlignment="1">
      <alignment wrapText="1"/>
    </xf>
    <xf numFmtId="0" fontId="11" fillId="0" borderId="23" xfId="7" applyFont="1" applyBorder="1"/>
    <xf numFmtId="0" fontId="11" fillId="0" borderId="49" xfId="7" applyFont="1" applyBorder="1" applyAlignment="1">
      <alignment horizontal="center"/>
    </xf>
    <xf numFmtId="0" fontId="12" fillId="0" borderId="49" xfId="7" applyFont="1" applyBorder="1" applyAlignment="1">
      <alignment horizontal="center"/>
    </xf>
    <xf numFmtId="0" fontId="20" fillId="0" borderId="0" xfId="7" applyFont="1"/>
    <xf numFmtId="0" fontId="51" fillId="33" borderId="39" xfId="461" applyFont="1" applyFill="1" applyBorder="1" applyAlignment="1">
      <alignment vertical="top"/>
    </xf>
    <xf numFmtId="165" fontId="11" fillId="0" borderId="0" xfId="118" applyNumberFormat="1" applyFont="1" applyAlignment="1"/>
    <xf numFmtId="6" fontId="12" fillId="0" borderId="48" xfId="461" applyNumberFormat="1" applyFont="1" applyBorder="1" applyAlignment="1">
      <alignment horizontal="center"/>
    </xf>
    <xf numFmtId="165" fontId="11" fillId="0" borderId="0" xfId="118" applyNumberFormat="1" applyFont="1" applyFill="1" applyAlignment="1">
      <alignment horizontal="center"/>
    </xf>
    <xf numFmtId="43" fontId="11" fillId="0" borderId="48" xfId="118" applyFont="1" applyBorder="1" applyAlignment="1">
      <alignment horizontal="center"/>
    </xf>
    <xf numFmtId="165" fontId="11" fillId="0" borderId="49" xfId="118" applyNumberFormat="1" applyFont="1" applyFill="1" applyBorder="1" applyAlignment="1">
      <alignment horizontal="center"/>
    </xf>
    <xf numFmtId="9" fontId="11" fillId="0" borderId="0" xfId="394" applyFont="1" applyFill="1" applyAlignment="1">
      <alignment horizontal="center"/>
    </xf>
    <xf numFmtId="0" fontId="0" fillId="18" borderId="0" xfId="0" applyFill="1"/>
    <xf numFmtId="0" fontId="0" fillId="34" borderId="0" xfId="0" applyFill="1"/>
    <xf numFmtId="165" fontId="11" fillId="0" borderId="48" xfId="118" applyNumberFormat="1" applyFont="1" applyBorder="1" applyAlignment="1">
      <alignment horizontal="center"/>
    </xf>
    <xf numFmtId="165" fontId="2" fillId="0" borderId="0" xfId="0" applyNumberFormat="1" applyFont="1"/>
    <xf numFmtId="0" fontId="26" fillId="0" borderId="0" xfId="0" applyFont="1"/>
    <xf numFmtId="0" fontId="0" fillId="28" borderId="4" xfId="0" applyFill="1" applyBorder="1" applyAlignment="1">
      <alignment horizontal="center"/>
    </xf>
    <xf numFmtId="0" fontId="0" fillId="28" borderId="0" xfId="0" applyFill="1" applyAlignment="1">
      <alignment horizontal="center"/>
    </xf>
    <xf numFmtId="0" fontId="0" fillId="28" borderId="5" xfId="0" applyFill="1" applyBorder="1" applyAlignment="1">
      <alignment horizontal="center"/>
    </xf>
    <xf numFmtId="165" fontId="0" fillId="28" borderId="4" xfId="2" applyNumberFormat="1" applyFont="1" applyFill="1" applyBorder="1"/>
    <xf numFmtId="165" fontId="0" fillId="28" borderId="0" xfId="2" applyNumberFormat="1" applyFont="1" applyFill="1" applyBorder="1"/>
    <xf numFmtId="165" fontId="0" fillId="28" borderId="5" xfId="2" applyNumberFormat="1" applyFont="1" applyFill="1" applyBorder="1"/>
    <xf numFmtId="44" fontId="0" fillId="28" borderId="6" xfId="3" applyFont="1" applyFill="1" applyBorder="1"/>
    <xf numFmtId="164" fontId="0" fillId="28" borderId="7" xfId="3" applyNumberFormat="1" applyFont="1" applyFill="1" applyBorder="1"/>
    <xf numFmtId="164" fontId="0" fillId="28" borderId="8" xfId="3" applyNumberFormat="1" applyFont="1" applyFill="1" applyBorder="1"/>
    <xf numFmtId="0" fontId="35" fillId="0" borderId="0" xfId="0" applyFont="1" applyAlignment="1">
      <alignment wrapText="1"/>
    </xf>
    <xf numFmtId="164" fontId="0" fillId="18" borderId="0" xfId="3" applyNumberFormat="1" applyFont="1" applyFill="1" applyAlignment="1">
      <alignment horizontal="center"/>
    </xf>
    <xf numFmtId="174" fontId="0" fillId="0" borderId="0" xfId="0" applyNumberFormat="1"/>
    <xf numFmtId="174" fontId="0" fillId="18" borderId="0" xfId="0" applyNumberFormat="1" applyFill="1"/>
    <xf numFmtId="0" fontId="53" fillId="0" borderId="0" xfId="0" applyFont="1" applyAlignment="1">
      <alignment horizontal="right" vertical="center"/>
    </xf>
    <xf numFmtId="0" fontId="53" fillId="0" borderId="0" xfId="0" applyFont="1" applyAlignment="1">
      <alignment vertical="center"/>
    </xf>
    <xf numFmtId="0" fontId="53" fillId="0" borderId="0" xfId="0" applyFont="1" applyAlignment="1">
      <alignment horizontal="center" vertical="center"/>
    </xf>
    <xf numFmtId="0" fontId="54" fillId="0" borderId="0" xfId="0" applyFont="1" applyAlignment="1">
      <alignment horizontal="left" vertical="center" indent="10"/>
    </xf>
    <xf numFmtId="0" fontId="54" fillId="0" borderId="0" xfId="0" applyFont="1" applyAlignment="1">
      <alignment horizontal="left" vertical="center" indent="5"/>
    </xf>
    <xf numFmtId="0" fontId="56" fillId="0" borderId="0" xfId="0" applyFont="1" applyAlignment="1">
      <alignment horizontal="left" vertical="center" indent="5"/>
    </xf>
    <xf numFmtId="0" fontId="56" fillId="0" borderId="0" xfId="0" applyFont="1" applyAlignment="1">
      <alignment horizontal="left" vertical="center" indent="10"/>
    </xf>
    <xf numFmtId="0" fontId="2" fillId="35" borderId="0" xfId="0" applyFont="1" applyFill="1" applyAlignment="1">
      <alignment horizontal="center" wrapText="1"/>
    </xf>
    <xf numFmtId="0" fontId="2" fillId="6" borderId="0" xfId="472" applyFont="1" applyAlignment="1">
      <alignment horizontal="center"/>
    </xf>
    <xf numFmtId="0" fontId="58" fillId="36" borderId="36" xfId="0" applyFont="1" applyFill="1" applyBorder="1" applyAlignment="1">
      <alignment vertical="center" wrapText="1"/>
    </xf>
    <xf numFmtId="0" fontId="59" fillId="36" borderId="55" xfId="0" applyFont="1" applyFill="1" applyBorder="1" applyAlignment="1">
      <alignment horizontal="center" vertical="center" wrapText="1"/>
    </xf>
    <xf numFmtId="0" fontId="58" fillId="36" borderId="55" xfId="0" applyFont="1" applyFill="1" applyBorder="1" applyAlignment="1">
      <alignment vertical="center" wrapText="1"/>
    </xf>
    <xf numFmtId="0" fontId="59" fillId="36" borderId="32" xfId="0" applyFont="1" applyFill="1" applyBorder="1" applyAlignment="1">
      <alignment horizontal="center" vertical="center" wrapText="1"/>
    </xf>
    <xf numFmtId="0" fontId="59" fillId="36" borderId="34" xfId="0" applyFont="1" applyFill="1" applyBorder="1" applyAlignment="1">
      <alignment horizontal="center" vertical="center" wrapText="1"/>
    </xf>
    <xf numFmtId="0" fontId="59" fillId="36" borderId="34" xfId="0" applyFont="1" applyFill="1" applyBorder="1" applyAlignment="1">
      <alignment vertical="center" wrapText="1"/>
    </xf>
    <xf numFmtId="0" fontId="60" fillId="0" borderId="33" xfId="0" applyFont="1" applyBorder="1" applyAlignment="1">
      <alignment vertical="center" wrapText="1"/>
    </xf>
    <xf numFmtId="0" fontId="60" fillId="0" borderId="35" xfId="0" applyFont="1" applyBorder="1" applyAlignment="1">
      <alignment horizontal="center" vertical="center" wrapText="1"/>
    </xf>
    <xf numFmtId="0" fontId="60" fillId="0" borderId="35" xfId="0" applyFont="1" applyBorder="1" applyAlignment="1">
      <alignment vertical="center" wrapText="1"/>
    </xf>
    <xf numFmtId="0" fontId="60" fillId="0" borderId="32" xfId="0" applyFont="1" applyBorder="1" applyAlignment="1">
      <alignment horizontal="center" vertical="center" wrapText="1"/>
    </xf>
    <xf numFmtId="0" fontId="60" fillId="0" borderId="34" xfId="0" applyFont="1" applyBorder="1" applyAlignment="1">
      <alignment horizontal="center" vertical="center" wrapText="1"/>
    </xf>
    <xf numFmtId="0" fontId="60" fillId="0" borderId="34" xfId="0" applyFont="1" applyBorder="1" applyAlignment="1">
      <alignment vertical="center" wrapText="1"/>
    </xf>
    <xf numFmtId="0" fontId="60" fillId="0" borderId="35" xfId="0" applyFont="1" applyBorder="1" applyAlignment="1">
      <alignment horizontal="left" vertical="center" wrapText="1" indent="1"/>
    </xf>
    <xf numFmtId="0" fontId="60" fillId="0" borderId="34" xfId="0" applyFont="1" applyBorder="1" applyAlignment="1">
      <alignment horizontal="left" vertical="center" wrapText="1" indent="1"/>
    </xf>
    <xf numFmtId="0" fontId="59" fillId="36" borderId="34" xfId="0" applyFont="1" applyFill="1" applyBorder="1" applyAlignment="1">
      <alignment horizontal="left" vertical="center" wrapText="1" indent="1"/>
    </xf>
    <xf numFmtId="0" fontId="0" fillId="0" borderId="0" xfId="0" applyAlignment="1">
      <alignment vertical="center"/>
    </xf>
    <xf numFmtId="3" fontId="0" fillId="0" borderId="0" xfId="0" applyNumberFormat="1" applyAlignment="1">
      <alignment vertical="center"/>
    </xf>
    <xf numFmtId="0" fontId="11" fillId="0" borderId="0" xfId="0" applyFont="1" applyAlignment="1">
      <alignment horizontal="left" indent="2"/>
    </xf>
    <xf numFmtId="173" fontId="0" fillId="0" borderId="0" xfId="0" applyNumberFormat="1"/>
    <xf numFmtId="175" fontId="0" fillId="0" borderId="0" xfId="2" applyNumberFormat="1" applyFont="1"/>
    <xf numFmtId="164" fontId="0" fillId="0" borderId="4" xfId="3" applyNumberFormat="1" applyFont="1" applyBorder="1"/>
    <xf numFmtId="164" fontId="0" fillId="0" borderId="5" xfId="3" applyNumberFormat="1" applyFont="1" applyBorder="1"/>
    <xf numFmtId="164" fontId="0" fillId="0" borderId="6" xfId="3" applyNumberFormat="1" applyFont="1" applyBorder="1"/>
    <xf numFmtId="164" fontId="0" fillId="0" borderId="8" xfId="3" applyNumberFormat="1" applyFont="1" applyBorder="1"/>
    <xf numFmtId="164" fontId="0" fillId="0" borderId="5" xfId="0" applyNumberFormat="1" applyBorder="1"/>
    <xf numFmtId="164" fontId="0" fillId="0" borderId="7" xfId="0" applyNumberFormat="1" applyBorder="1"/>
    <xf numFmtId="164" fontId="0" fillId="0" borderId="8" xfId="0" applyNumberFormat="1" applyBorder="1"/>
    <xf numFmtId="6" fontId="5" fillId="37" borderId="0" xfId="3" applyNumberFormat="1" applyFont="1" applyFill="1" applyAlignment="1">
      <alignment horizontal="center"/>
    </xf>
    <xf numFmtId="164" fontId="0" fillId="38" borderId="0" xfId="3" applyNumberFormat="1" applyFont="1" applyFill="1"/>
    <xf numFmtId="164" fontId="0" fillId="38" borderId="0" xfId="0" applyNumberFormat="1" applyFill="1" applyAlignment="1">
      <alignment wrapText="1"/>
    </xf>
    <xf numFmtId="0" fontId="48" fillId="0" borderId="0" xfId="0" applyFont="1" applyAlignment="1">
      <alignment vertical="center"/>
    </xf>
    <xf numFmtId="0" fontId="2" fillId="40" borderId="11" xfId="0" applyFont="1" applyFill="1" applyBorder="1"/>
    <xf numFmtId="0" fontId="0" fillId="0" borderId="58" xfId="0" applyBorder="1"/>
    <xf numFmtId="0" fontId="0" fillId="0" borderId="61" xfId="0" applyBorder="1"/>
    <xf numFmtId="0" fontId="48" fillId="0" borderId="63" xfId="0" applyFont="1" applyBorder="1" applyAlignment="1">
      <alignment vertical="center"/>
    </xf>
    <xf numFmtId="0" fontId="48" fillId="0" borderId="65" xfId="0" applyFont="1" applyBorder="1" applyAlignment="1">
      <alignment vertical="center"/>
    </xf>
    <xf numFmtId="0" fontId="2" fillId="0" borderId="67" xfId="0" applyFont="1" applyBorder="1"/>
    <xf numFmtId="8" fontId="0" fillId="0" borderId="59" xfId="0" applyNumberFormat="1" applyBorder="1" applyAlignment="1">
      <alignment horizontal="center"/>
    </xf>
    <xf numFmtId="0" fontId="48" fillId="0" borderId="60" xfId="0" applyFont="1" applyBorder="1" applyAlignment="1">
      <alignment horizontal="center" vertical="center"/>
    </xf>
    <xf numFmtId="0" fontId="48" fillId="0" borderId="53" xfId="0" applyFont="1" applyBorder="1" applyAlignment="1">
      <alignment horizontal="center" vertical="center"/>
    </xf>
    <xf numFmtId="0" fontId="48" fillId="0" borderId="43" xfId="0" applyFont="1" applyBorder="1" applyAlignment="1">
      <alignment horizontal="center" vertical="center"/>
    </xf>
    <xf numFmtId="164" fontId="0" fillId="0" borderId="62" xfId="3" applyNumberFormat="1" applyFont="1" applyBorder="1" applyAlignment="1">
      <alignment horizontal="center"/>
    </xf>
    <xf numFmtId="164" fontId="0" fillId="18" borderId="51" xfId="3" applyNumberFormat="1" applyFont="1" applyFill="1" applyBorder="1" applyAlignment="1">
      <alignment horizontal="center"/>
    </xf>
    <xf numFmtId="164" fontId="0" fillId="18" borderId="26" xfId="3" applyNumberFormat="1" applyFont="1" applyFill="1" applyBorder="1" applyAlignment="1">
      <alignment horizontal="center"/>
    </xf>
    <xf numFmtId="164" fontId="0" fillId="18" borderId="56" xfId="3" applyNumberFormat="1" applyFont="1" applyFill="1" applyBorder="1" applyAlignment="1">
      <alignment horizontal="center"/>
    </xf>
    <xf numFmtId="164" fontId="2" fillId="40" borderId="15" xfId="3" applyNumberFormat="1" applyFont="1" applyFill="1" applyBorder="1" applyAlignment="1">
      <alignment horizontal="center"/>
    </xf>
    <xf numFmtId="164" fontId="2" fillId="40" borderId="10" xfId="3" applyNumberFormat="1" applyFont="1" applyFill="1" applyBorder="1" applyAlignment="1">
      <alignment horizontal="center"/>
    </xf>
    <xf numFmtId="164" fontId="2" fillId="40" borderId="12" xfId="3" applyNumberFormat="1" applyFont="1" applyFill="1" applyBorder="1" applyAlignment="1">
      <alignment horizontal="center"/>
    </xf>
    <xf numFmtId="164" fontId="0" fillId="0" borderId="64" xfId="3" applyNumberFormat="1" applyFont="1" applyBorder="1" applyAlignment="1">
      <alignment horizontal="center"/>
    </xf>
    <xf numFmtId="164" fontId="48" fillId="0" borderId="50" xfId="3" applyNumberFormat="1" applyFont="1" applyBorder="1" applyAlignment="1">
      <alignment horizontal="center" vertical="center"/>
    </xf>
    <xf numFmtId="164" fontId="48" fillId="0" borderId="28" xfId="3" applyNumberFormat="1" applyFont="1" applyBorder="1" applyAlignment="1">
      <alignment horizontal="center" vertical="center"/>
    </xf>
    <xf numFmtId="164" fontId="48" fillId="0" borderId="57" xfId="3" applyNumberFormat="1" applyFont="1" applyBorder="1" applyAlignment="1">
      <alignment horizontal="center" vertical="center"/>
    </xf>
    <xf numFmtId="164" fontId="0" fillId="0" borderId="66" xfId="3" applyNumberFormat="1" applyFont="1" applyBorder="1" applyAlignment="1">
      <alignment horizontal="center"/>
    </xf>
    <xf numFmtId="164" fontId="48" fillId="0" borderId="41" xfId="3" applyNumberFormat="1" applyFont="1" applyBorder="1" applyAlignment="1">
      <alignment horizontal="center" vertical="center"/>
    </xf>
    <xf numFmtId="164" fontId="48" fillId="0" borderId="52" xfId="3" applyNumberFormat="1" applyFont="1" applyBorder="1" applyAlignment="1">
      <alignment horizontal="center" vertical="center"/>
    </xf>
    <xf numFmtId="164" fontId="52" fillId="0" borderId="52" xfId="3" applyNumberFormat="1" applyFont="1" applyBorder="1" applyAlignment="1">
      <alignment horizontal="center" vertical="top"/>
    </xf>
    <xf numFmtId="164" fontId="52" fillId="0" borderId="45" xfId="3" applyNumberFormat="1" applyFont="1" applyBorder="1" applyAlignment="1">
      <alignment horizontal="center" vertical="top"/>
    </xf>
    <xf numFmtId="164" fontId="2" fillId="0" borderId="68" xfId="3" applyNumberFormat="1" applyFont="1" applyBorder="1" applyAlignment="1">
      <alignment horizontal="center"/>
    </xf>
    <xf numFmtId="164" fontId="2" fillId="0" borderId="69" xfId="3" applyNumberFormat="1" applyFont="1" applyBorder="1" applyAlignment="1">
      <alignment horizontal="center"/>
    </xf>
    <xf numFmtId="164" fontId="2" fillId="0" borderId="54" xfId="3" applyNumberFormat="1" applyFont="1" applyBorder="1" applyAlignment="1">
      <alignment horizontal="center"/>
    </xf>
    <xf numFmtId="164" fontId="2" fillId="0" borderId="47" xfId="3" applyNumberFormat="1" applyFont="1" applyBorder="1" applyAlignment="1">
      <alignment horizontal="center"/>
    </xf>
    <xf numFmtId="0" fontId="48" fillId="0" borderId="20" xfId="0" applyFont="1" applyBorder="1" applyAlignment="1">
      <alignment horizontal="center" vertical="center"/>
    </xf>
    <xf numFmtId="0" fontId="48" fillId="0" borderId="8" xfId="0" applyFont="1" applyBorder="1" applyAlignment="1">
      <alignment horizontal="center" vertical="center"/>
    </xf>
    <xf numFmtId="0" fontId="52" fillId="0" borderId="8" xfId="0" applyFont="1" applyBorder="1" applyAlignment="1">
      <alignment horizontal="center" vertical="top"/>
    </xf>
    <xf numFmtId="10" fontId="0" fillId="0" borderId="0" xfId="4" applyNumberFormat="1" applyFont="1" applyFill="1" applyAlignment="1">
      <alignment horizontal="center"/>
    </xf>
    <xf numFmtId="9" fontId="0" fillId="0" borderId="0" xfId="4" applyFont="1" applyAlignment="1">
      <alignment horizontal="center"/>
    </xf>
    <xf numFmtId="164" fontId="0" fillId="18" borderId="0" xfId="0" applyNumberFormat="1" applyFill="1"/>
    <xf numFmtId="0" fontId="61" fillId="2" borderId="0" xfId="0" applyFont="1" applyFill="1" applyAlignment="1">
      <alignment horizontal="center" vertical="center"/>
    </xf>
    <xf numFmtId="164" fontId="5" fillId="0" borderId="0" xfId="3" applyNumberFormat="1" applyFont="1" applyFill="1" applyAlignment="1">
      <alignment horizontal="center"/>
    </xf>
    <xf numFmtId="0" fontId="5" fillId="37" borderId="0" xfId="0" applyFont="1" applyFill="1"/>
    <xf numFmtId="6" fontId="5" fillId="37" borderId="0" xfId="0" applyNumberFormat="1" applyFont="1" applyFill="1"/>
    <xf numFmtId="0" fontId="0" fillId="37" borderId="0" xfId="0" applyFill="1"/>
    <xf numFmtId="166" fontId="0" fillId="18" borderId="0" xfId="0" applyNumberFormat="1" applyFill="1"/>
    <xf numFmtId="6" fontId="0" fillId="37" borderId="0" xfId="0" applyNumberFormat="1" applyFill="1"/>
    <xf numFmtId="164" fontId="5" fillId="37" borderId="0" xfId="3" applyNumberFormat="1" applyFont="1" applyFill="1"/>
    <xf numFmtId="9" fontId="0" fillId="37" borderId="0" xfId="0" applyNumberFormat="1" applyFill="1"/>
    <xf numFmtId="0" fontId="29" fillId="37" borderId="0" xfId="0" applyFont="1" applyFill="1"/>
    <xf numFmtId="0" fontId="25" fillId="37" borderId="0" xfId="0" applyFont="1" applyFill="1"/>
    <xf numFmtId="0" fontId="25" fillId="37" borderId="0" xfId="0" applyFont="1" applyFill="1" applyAlignment="1">
      <alignment horizontal="center"/>
    </xf>
    <xf numFmtId="165" fontId="25" fillId="37" borderId="0" xfId="0" applyNumberFormat="1" applyFont="1" applyFill="1"/>
    <xf numFmtId="1" fontId="25" fillId="37" borderId="0" xfId="0" applyNumberFormat="1" applyFont="1" applyFill="1"/>
    <xf numFmtId="6" fontId="29" fillId="37" borderId="0" xfId="190" applyNumberFormat="1" applyFont="1" applyFill="1"/>
    <xf numFmtId="9" fontId="29" fillId="37" borderId="0" xfId="394" applyFont="1" applyFill="1" applyAlignment="1">
      <alignment horizontal="center"/>
    </xf>
    <xf numFmtId="9" fontId="25" fillId="37" borderId="0" xfId="394" applyFont="1" applyFill="1" applyAlignment="1">
      <alignment horizontal="center"/>
    </xf>
    <xf numFmtId="166" fontId="25" fillId="37" borderId="0" xfId="394" applyNumberFormat="1" applyFont="1" applyFill="1" applyAlignment="1">
      <alignment horizontal="center"/>
    </xf>
    <xf numFmtId="10" fontId="25" fillId="37" borderId="0" xfId="394" applyNumberFormat="1" applyFont="1" applyFill="1"/>
    <xf numFmtId="9" fontId="29" fillId="37" borderId="0" xfId="0" applyNumberFormat="1" applyFont="1" applyFill="1"/>
    <xf numFmtId="0" fontId="30" fillId="37" borderId="0" xfId="0" applyFont="1" applyFill="1"/>
    <xf numFmtId="0" fontId="29" fillId="37" borderId="0" xfId="0" applyFont="1" applyFill="1" applyAlignment="1">
      <alignment horizontal="center"/>
    </xf>
    <xf numFmtId="0" fontId="31" fillId="37" borderId="0" xfId="1" applyFont="1" applyFill="1" applyAlignment="1" applyProtection="1"/>
    <xf numFmtId="9" fontId="29" fillId="37" borderId="0" xfId="0" applyNumberFormat="1" applyFont="1" applyFill="1" applyAlignment="1">
      <alignment horizontal="center"/>
    </xf>
    <xf numFmtId="0" fontId="32" fillId="41" borderId="13" xfId="464" applyFont="1" applyFill="1" applyBorder="1" applyAlignment="1">
      <alignment horizontal="center"/>
    </xf>
    <xf numFmtId="0" fontId="32" fillId="37" borderId="14" xfId="464" applyFont="1" applyFill="1" applyBorder="1" applyAlignment="1">
      <alignment wrapText="1"/>
    </xf>
    <xf numFmtId="165" fontId="32" fillId="37" borderId="14" xfId="118" applyNumberFormat="1" applyFont="1" applyFill="1" applyBorder="1" applyAlignment="1">
      <alignment horizontal="right" wrapText="1"/>
    </xf>
    <xf numFmtId="0" fontId="5" fillId="37" borderId="0" xfId="3" applyNumberFormat="1" applyFont="1" applyFill="1"/>
    <xf numFmtId="0" fontId="5" fillId="37" borderId="0" xfId="3" applyNumberFormat="1" applyFont="1" applyFill="1" applyAlignment="1">
      <alignment horizontal="center"/>
    </xf>
    <xf numFmtId="6" fontId="5" fillId="37" borderId="0" xfId="4" applyNumberFormat="1" applyFont="1" applyFill="1" applyAlignment="1">
      <alignment horizontal="center"/>
    </xf>
    <xf numFmtId="0" fontId="0" fillId="20" borderId="0" xfId="0" applyFill="1"/>
    <xf numFmtId="42" fontId="5" fillId="0" borderId="0" xfId="3" applyNumberFormat="1" applyFont="1" applyAlignment="1">
      <alignment horizontal="center"/>
    </xf>
    <xf numFmtId="9" fontId="5" fillId="0" borderId="0" xfId="4" applyFont="1"/>
    <xf numFmtId="0" fontId="63" fillId="0" borderId="0" xfId="0" applyFont="1" applyAlignment="1">
      <alignment vertical="center"/>
    </xf>
    <xf numFmtId="3" fontId="53" fillId="0" borderId="0" xfId="0" applyNumberFormat="1" applyFont="1" applyAlignment="1">
      <alignment horizontal="right" vertical="center"/>
    </xf>
    <xf numFmtId="164" fontId="53" fillId="0" borderId="0" xfId="3" applyNumberFormat="1" applyFont="1" applyAlignment="1">
      <alignment vertical="center"/>
    </xf>
    <xf numFmtId="174" fontId="0" fillId="0" borderId="0" xfId="3" applyNumberFormat="1" applyFont="1" applyFill="1" applyBorder="1"/>
    <xf numFmtId="6" fontId="53" fillId="0" borderId="0" xfId="0" applyNumberFormat="1" applyFont="1" applyAlignment="1">
      <alignment vertical="center"/>
    </xf>
    <xf numFmtId="9" fontId="11" fillId="0" borderId="0" xfId="4" applyFont="1" applyAlignment="1">
      <alignment horizontal="center"/>
    </xf>
    <xf numFmtId="9" fontId="11" fillId="0" borderId="0" xfId="4" applyFont="1"/>
    <xf numFmtId="173" fontId="11" fillId="0" borderId="0" xfId="4" applyNumberFormat="1" applyFont="1"/>
    <xf numFmtId="43" fontId="0" fillId="0" borderId="0" xfId="0" applyNumberFormat="1"/>
    <xf numFmtId="0" fontId="0" fillId="21" borderId="0" xfId="0" applyFill="1"/>
    <xf numFmtId="164" fontId="0" fillId="21" borderId="0" xfId="3" applyNumberFormat="1" applyFont="1" applyFill="1" applyAlignment="1">
      <alignment horizontal="center"/>
    </xf>
    <xf numFmtId="164" fontId="0" fillId="21" borderId="0" xfId="0" applyNumberFormat="1" applyFill="1"/>
    <xf numFmtId="164" fontId="0" fillId="21" borderId="0" xfId="0" applyNumberFormat="1" applyFill="1" applyAlignment="1">
      <alignment horizontal="center"/>
    </xf>
    <xf numFmtId="164" fontId="0" fillId="18" borderId="0" xfId="3" applyNumberFormat="1" applyFont="1" applyFill="1" applyAlignment="1"/>
    <xf numFmtId="6" fontId="5" fillId="39" borderId="0" xfId="3" applyNumberFormat="1" applyFont="1" applyFill="1" applyAlignment="1">
      <alignment horizontal="center"/>
    </xf>
    <xf numFmtId="0" fontId="5" fillId="39" borderId="0" xfId="0" applyFont="1" applyFill="1" applyAlignment="1">
      <alignment horizontal="center"/>
    </xf>
    <xf numFmtId="6" fontId="5" fillId="0" borderId="0" xfId="0" applyNumberFormat="1" applyFont="1"/>
    <xf numFmtId="164" fontId="5" fillId="42" borderId="0" xfId="3" applyNumberFormat="1" applyFont="1" applyFill="1"/>
    <xf numFmtId="164" fontId="5" fillId="42" borderId="0" xfId="0" applyNumberFormat="1" applyFont="1" applyFill="1"/>
    <xf numFmtId="8" fontId="0" fillId="0" borderId="0" xfId="0" applyNumberFormat="1" applyAlignment="1">
      <alignment horizontal="center"/>
    </xf>
    <xf numFmtId="176" fontId="0" fillId="0" borderId="0" xfId="0" applyNumberFormat="1" applyAlignment="1">
      <alignment horizontal="center"/>
    </xf>
    <xf numFmtId="177" fontId="0" fillId="21" borderId="0" xfId="0" applyNumberFormat="1" applyFill="1" applyAlignment="1">
      <alignment horizontal="center"/>
    </xf>
    <xf numFmtId="6" fontId="0" fillId="0" borderId="0" xfId="0" applyNumberFormat="1" applyAlignment="1">
      <alignment horizontal="center"/>
    </xf>
    <xf numFmtId="17" fontId="0" fillId="0" borderId="0" xfId="0" applyNumberFormat="1"/>
    <xf numFmtId="0" fontId="10" fillId="0" borderId="0" xfId="6"/>
    <xf numFmtId="3" fontId="10" fillId="0" borderId="0" xfId="9" applyNumberFormat="1"/>
    <xf numFmtId="178" fontId="0" fillId="0" borderId="0" xfId="4" applyNumberFormat="1" applyFont="1" applyAlignment="1">
      <alignment horizontal="center"/>
    </xf>
    <xf numFmtId="176" fontId="0" fillId="0" borderId="0" xfId="0" applyNumberFormat="1"/>
    <xf numFmtId="173" fontId="0" fillId="0" borderId="0" xfId="4" applyNumberFormat="1" applyFont="1" applyAlignment="1">
      <alignment horizontal="center"/>
    </xf>
    <xf numFmtId="178" fontId="0" fillId="0" borderId="0" xfId="4" applyNumberFormat="1" applyFont="1"/>
    <xf numFmtId="0" fontId="4" fillId="0" borderId="0" xfId="1" applyFill="1" applyBorder="1" applyAlignment="1" applyProtection="1"/>
    <xf numFmtId="6" fontId="0" fillId="0" borderId="0" xfId="3" applyNumberFormat="1" applyFont="1" applyFill="1" applyBorder="1"/>
    <xf numFmtId="0" fontId="4" fillId="0" borderId="0" xfId="1" applyFill="1" applyAlignment="1" applyProtection="1"/>
    <xf numFmtId="0" fontId="2" fillId="0" borderId="7" xfId="0" applyFont="1" applyBorder="1"/>
    <xf numFmtId="6" fontId="0" fillId="0" borderId="7" xfId="0" applyNumberFormat="1" applyBorder="1"/>
    <xf numFmtId="6" fontId="62" fillId="0" borderId="0" xfId="0" applyNumberFormat="1" applyFont="1"/>
    <xf numFmtId="0" fontId="0" fillId="2" borderId="0" xfId="0" applyFill="1" applyAlignment="1">
      <alignment horizontal="center"/>
    </xf>
    <xf numFmtId="0" fontId="0" fillId="0" borderId="4" xfId="0" applyBorder="1" applyAlignment="1">
      <alignment horizontal="center"/>
    </xf>
    <xf numFmtId="0" fontId="0" fillId="0" borderId="6" xfId="0" applyBorder="1" applyAlignment="1">
      <alignment horizontal="center"/>
    </xf>
    <xf numFmtId="8" fontId="11" fillId="0" borderId="0" xfId="8" applyFont="1"/>
    <xf numFmtId="0" fontId="25" fillId="0" borderId="2" xfId="0" applyFont="1" applyBorder="1" applyAlignment="1">
      <alignment horizontal="center"/>
    </xf>
    <xf numFmtId="0" fontId="25" fillId="0" borderId="3" xfId="0" applyFont="1" applyBorder="1" applyAlignment="1">
      <alignment horizontal="center"/>
    </xf>
    <xf numFmtId="0" fontId="25" fillId="0" borderId="5" xfId="0" applyFont="1" applyBorder="1" applyAlignment="1">
      <alignment horizontal="center"/>
    </xf>
    <xf numFmtId="0" fontId="25" fillId="0" borderId="8" xfId="0" applyFont="1" applyBorder="1" applyAlignment="1">
      <alignment horizontal="center"/>
    </xf>
    <xf numFmtId="0" fontId="25" fillId="24" borderId="0" xfId="0" applyFont="1" applyFill="1" applyAlignment="1">
      <alignment horizontal="center"/>
    </xf>
    <xf numFmtId="0" fontId="25" fillId="24" borderId="5" xfId="0" applyFont="1" applyFill="1" applyBorder="1" applyAlignment="1">
      <alignment horizontal="center"/>
    </xf>
    <xf numFmtId="0" fontId="25" fillId="0" borderId="19" xfId="0" applyFont="1" applyBorder="1" applyAlignment="1">
      <alignment horizontal="center"/>
    </xf>
    <xf numFmtId="9" fontId="20" fillId="0" borderId="0" xfId="421" applyFont="1" applyAlignment="1">
      <alignment horizontal="center"/>
    </xf>
    <xf numFmtId="9" fontId="20" fillId="19" borderId="0" xfId="421" applyFont="1" applyFill="1" applyAlignment="1">
      <alignment horizontal="center"/>
    </xf>
    <xf numFmtId="9" fontId="20" fillId="0" borderId="0" xfId="421" applyFont="1" applyAlignment="1">
      <alignment horizontal="left"/>
    </xf>
    <xf numFmtId="9" fontId="18" fillId="0" borderId="0" xfId="394" applyFont="1" applyFill="1" applyAlignment="1">
      <alignment horizontal="center"/>
    </xf>
    <xf numFmtId="174" fontId="5" fillId="0" borderId="0" xfId="3" applyNumberFormat="1" applyFont="1" applyAlignment="1">
      <alignment horizontal="center"/>
    </xf>
    <xf numFmtId="179" fontId="0" fillId="0" borderId="0" xfId="0" applyNumberFormat="1"/>
    <xf numFmtId="6" fontId="11" fillId="0" borderId="0" xfId="190" applyNumberFormat="1" applyFont="1" applyFill="1" applyAlignment="1">
      <alignment horizontal="center"/>
    </xf>
    <xf numFmtId="8" fontId="11" fillId="0" borderId="0" xfId="190" applyFont="1" applyFill="1" applyAlignment="1">
      <alignment horizontal="center"/>
    </xf>
    <xf numFmtId="164" fontId="6" fillId="0" borderId="0" xfId="5" applyNumberFormat="1" applyFill="1"/>
    <xf numFmtId="0" fontId="52" fillId="0" borderId="0" xfId="0" applyFont="1"/>
    <xf numFmtId="6" fontId="5" fillId="0" borderId="0" xfId="3" applyNumberFormat="1" applyFont="1" applyFill="1" applyAlignment="1">
      <alignment horizontal="center"/>
    </xf>
    <xf numFmtId="9" fontId="0" fillId="0" borderId="0" xfId="394" applyFont="1" applyFill="1"/>
    <xf numFmtId="165" fontId="0" fillId="0" borderId="48" xfId="0" applyNumberFormat="1" applyBorder="1"/>
    <xf numFmtId="10" fontId="11" fillId="0" borderId="0" xfId="394" applyNumberFormat="1" applyFont="1" applyFill="1" applyAlignment="1">
      <alignment horizontal="center"/>
    </xf>
    <xf numFmtId="2" fontId="11" fillId="0" borderId="0" xfId="461" applyNumberFormat="1" applyFont="1" applyAlignment="1">
      <alignment horizontal="center"/>
    </xf>
    <xf numFmtId="0" fontId="11" fillId="0" borderId="0" xfId="461" applyFont="1" applyAlignment="1">
      <alignment horizontal="left" wrapText="1"/>
    </xf>
    <xf numFmtId="6" fontId="12" fillId="0" borderId="48" xfId="190" applyNumberFormat="1" applyFont="1" applyFill="1" applyBorder="1" applyAlignment="1">
      <alignment horizontal="center"/>
    </xf>
    <xf numFmtId="0" fontId="0" fillId="0" borderId="0" xfId="461" applyFont="1" applyAlignment="1">
      <alignment horizontal="left"/>
    </xf>
    <xf numFmtId="0" fontId="10" fillId="0" borderId="0" xfId="461" applyAlignment="1">
      <alignment horizontal="center"/>
    </xf>
    <xf numFmtId="164" fontId="11" fillId="0" borderId="0" xfId="190" applyNumberFormat="1" applyFont="1" applyFill="1" applyAlignment="1">
      <alignment horizontal="center"/>
    </xf>
    <xf numFmtId="44" fontId="11" fillId="0" borderId="0" xfId="461" applyNumberFormat="1" applyFont="1" applyAlignment="1">
      <alignment horizontal="center"/>
    </xf>
    <xf numFmtId="9" fontId="18" fillId="0" borderId="41" xfId="394" applyFont="1" applyFill="1" applyBorder="1" applyAlignment="1">
      <alignment horizontal="center"/>
    </xf>
    <xf numFmtId="0" fontId="11" fillId="0" borderId="0" xfId="0" applyFont="1" applyAlignment="1">
      <alignment horizontal="left" indent="1"/>
    </xf>
    <xf numFmtId="44" fontId="0" fillId="0" borderId="0" xfId="3" applyFont="1" applyFill="1"/>
    <xf numFmtId="165" fontId="0" fillId="0" borderId="0" xfId="2" applyNumberFormat="1" applyFont="1" applyFill="1" applyAlignment="1">
      <alignment horizontal="center"/>
    </xf>
    <xf numFmtId="0" fontId="17" fillId="2" borderId="0" xfId="0" applyFont="1" applyFill="1" applyAlignment="1">
      <alignment horizontal="center" vertical="center"/>
    </xf>
    <xf numFmtId="6" fontId="66" fillId="0" borderId="0" xfId="0" applyNumberFormat="1" applyFont="1" applyAlignment="1">
      <alignment horizontal="center"/>
    </xf>
    <xf numFmtId="14" fontId="0" fillId="0" borderId="0" xfId="0" applyNumberFormat="1" applyAlignment="1">
      <alignment horizontal="center"/>
    </xf>
    <xf numFmtId="0" fontId="4" fillId="0" borderId="0" xfId="1" applyAlignment="1" applyProtection="1">
      <alignment horizontal="center"/>
    </xf>
    <xf numFmtId="0" fontId="11" fillId="0" borderId="0" xfId="0" applyFont="1" applyAlignment="1">
      <alignment horizontal="center" wrapText="1"/>
    </xf>
    <xf numFmtId="6" fontId="12" fillId="0" borderId="0" xfId="0" applyNumberFormat="1" applyFont="1" applyAlignment="1">
      <alignment horizontal="center"/>
    </xf>
    <xf numFmtId="174" fontId="0" fillId="20" borderId="0" xfId="0" applyNumberFormat="1" applyFill="1"/>
    <xf numFmtId="174" fontId="0" fillId="20" borderId="0" xfId="3" applyNumberFormat="1" applyFont="1" applyFill="1" applyBorder="1"/>
    <xf numFmtId="0" fontId="0" fillId="20" borderId="0" xfId="0" applyFill="1" applyAlignment="1">
      <alignment horizontal="center"/>
    </xf>
    <xf numFmtId="164" fontId="0" fillId="20" borderId="0" xfId="3" applyNumberFormat="1" applyFont="1" applyFill="1" applyAlignment="1">
      <alignment horizontal="center"/>
    </xf>
    <xf numFmtId="164" fontId="0" fillId="20" borderId="0" xfId="0" applyNumberFormat="1" applyFill="1"/>
    <xf numFmtId="6" fontId="0" fillId="20" borderId="0" xfId="0" applyNumberFormat="1" applyFill="1"/>
    <xf numFmtId="0" fontId="41" fillId="43" borderId="0" xfId="0" applyFont="1" applyFill="1"/>
    <xf numFmtId="0" fontId="2" fillId="20" borderId="0" xfId="0" applyFont="1" applyFill="1"/>
    <xf numFmtId="0" fontId="66" fillId="44" borderId="0" xfId="0" applyFont="1" applyFill="1"/>
    <xf numFmtId="6" fontId="66" fillId="44" borderId="0" xfId="0" applyNumberFormat="1" applyFont="1" applyFill="1" applyAlignment="1">
      <alignment horizontal="center"/>
    </xf>
    <xf numFmtId="6" fontId="66" fillId="20" borderId="0" xfId="0" applyNumberFormat="1" applyFont="1" applyFill="1" applyAlignment="1">
      <alignment horizontal="center"/>
    </xf>
    <xf numFmtId="0" fontId="2" fillId="20" borderId="0" xfId="0" applyFont="1" applyFill="1" applyAlignment="1">
      <alignment horizontal="center"/>
    </xf>
    <xf numFmtId="0" fontId="0" fillId="20" borderId="0" xfId="0" applyFill="1" applyAlignment="1">
      <alignment wrapText="1"/>
    </xf>
    <xf numFmtId="0" fontId="66" fillId="20" borderId="0" xfId="0" applyFont="1" applyFill="1" applyAlignment="1">
      <alignment horizontal="center"/>
    </xf>
    <xf numFmtId="0" fontId="66" fillId="20" borderId="0" xfId="0" applyFont="1" applyFill="1"/>
    <xf numFmtId="6" fontId="0" fillId="20" borderId="0" xfId="0" applyNumberFormat="1" applyFill="1" applyAlignment="1">
      <alignment horizontal="center"/>
    </xf>
    <xf numFmtId="165" fontId="0" fillId="0" borderId="0" xfId="0" applyNumberFormat="1" applyAlignment="1">
      <alignment horizontal="center" vertical="center"/>
    </xf>
    <xf numFmtId="165" fontId="2" fillId="0" borderId="21" xfId="0" applyNumberFormat="1" applyFont="1" applyBorder="1" applyAlignment="1">
      <alignment horizontal="center" vertical="center"/>
    </xf>
    <xf numFmtId="0" fontId="0" fillId="20" borderId="0" xfId="0" applyFill="1" applyAlignment="1">
      <alignment horizontal="right"/>
    </xf>
    <xf numFmtId="165" fontId="0" fillId="20" borderId="0" xfId="0" applyNumberFormat="1" applyFill="1" applyAlignment="1">
      <alignment vertical="center"/>
    </xf>
    <xf numFmtId="0" fontId="0" fillId="45" borderId="0" xfId="0" applyFill="1"/>
    <xf numFmtId="0" fontId="53" fillId="45" borderId="0" xfId="0" applyFont="1" applyFill="1" applyAlignment="1">
      <alignment vertical="center"/>
    </xf>
    <xf numFmtId="44" fontId="0" fillId="45" borderId="0" xfId="0" applyNumberFormat="1" applyFill="1"/>
    <xf numFmtId="44" fontId="0" fillId="45" borderId="0" xfId="3" applyFont="1" applyFill="1"/>
    <xf numFmtId="6" fontId="0" fillId="45" borderId="0" xfId="0" applyNumberFormat="1" applyFill="1"/>
    <xf numFmtId="174" fontId="0" fillId="45" borderId="0" xfId="0" applyNumberFormat="1" applyFill="1"/>
    <xf numFmtId="0" fontId="41" fillId="43" borderId="0" xfId="0" applyFont="1" applyFill="1" applyAlignment="1">
      <alignment horizontal="center"/>
    </xf>
    <xf numFmtId="0" fontId="12" fillId="0" borderId="0" xfId="460" applyFont="1" applyAlignment="1">
      <alignment horizontal="center"/>
    </xf>
    <xf numFmtId="166" fontId="0" fillId="20" borderId="0" xfId="4" applyNumberFormat="1" applyFont="1" applyFill="1" applyAlignment="1"/>
    <xf numFmtId="0" fontId="0" fillId="46" borderId="0" xfId="0" applyFill="1"/>
    <xf numFmtId="0" fontId="2" fillId="0" borderId="23" xfId="0" applyFont="1" applyBorder="1"/>
    <xf numFmtId="0" fontId="2" fillId="37" borderId="0" xfId="0" applyFont="1" applyFill="1"/>
    <xf numFmtId="174" fontId="0" fillId="37" borderId="0" xfId="0" applyNumberFormat="1" applyFill="1"/>
    <xf numFmtId="0" fontId="2" fillId="34" borderId="0" xfId="0" applyFont="1" applyFill="1"/>
    <xf numFmtId="174" fontId="0" fillId="34" borderId="0" xfId="0" applyNumberFormat="1" applyFill="1"/>
    <xf numFmtId="174" fontId="0" fillId="46" borderId="0" xfId="0" applyNumberFormat="1" applyFill="1"/>
    <xf numFmtId="0" fontId="2" fillId="47" borderId="0" xfId="0" applyFont="1" applyFill="1"/>
    <xf numFmtId="174" fontId="2" fillId="47" borderId="0" xfId="0" applyNumberFormat="1" applyFont="1" applyFill="1"/>
    <xf numFmtId="174" fontId="0" fillId="47" borderId="0" xfId="0" applyNumberFormat="1" applyFill="1"/>
    <xf numFmtId="0" fontId="2" fillId="46" borderId="0" xfId="0" applyFont="1" applyFill="1"/>
    <xf numFmtId="174" fontId="2" fillId="46" borderId="0" xfId="0" applyNumberFormat="1" applyFont="1" applyFill="1"/>
    <xf numFmtId="0" fontId="2" fillId="48" borderId="0" xfId="0" applyFont="1" applyFill="1"/>
    <xf numFmtId="174" fontId="2" fillId="48" borderId="0" xfId="0" applyNumberFormat="1" applyFont="1" applyFill="1"/>
    <xf numFmtId="174" fontId="0" fillId="48" borderId="0" xfId="0" applyNumberFormat="1" applyFill="1"/>
    <xf numFmtId="174" fontId="2" fillId="0" borderId="0" xfId="0" applyNumberFormat="1" applyFont="1"/>
    <xf numFmtId="0" fontId="68" fillId="0" borderId="0" xfId="0" applyFont="1" applyAlignment="1">
      <alignment horizontal="center"/>
    </xf>
    <xf numFmtId="165" fontId="0" fillId="0" borderId="7" xfId="2" applyNumberFormat="1" applyFont="1" applyBorder="1"/>
    <xf numFmtId="0" fontId="0" fillId="0" borderId="0" xfId="0" applyAlignment="1">
      <alignment vertical="center" wrapText="1"/>
    </xf>
    <xf numFmtId="0" fontId="0" fillId="0" borderId="0" xfId="0" applyAlignment="1">
      <alignment horizontal="left" vertical="top" wrapText="1"/>
    </xf>
    <xf numFmtId="165" fontId="0" fillId="0" borderId="0" xfId="2" applyNumberFormat="1" applyFont="1" applyBorder="1" applyAlignment="1">
      <alignment horizontal="left" vertical="top" wrapText="1"/>
    </xf>
    <xf numFmtId="165" fontId="0" fillId="0" borderId="70" xfId="2" applyNumberFormat="1" applyFont="1" applyBorder="1"/>
    <xf numFmtId="165" fontId="2" fillId="21" borderId="0" xfId="2" applyNumberFormat="1" applyFont="1" applyFill="1" applyAlignment="1">
      <alignment horizontal="center"/>
    </xf>
    <xf numFmtId="165" fontId="0" fillId="21" borderId="23" xfId="2" applyNumberFormat="1" applyFont="1" applyFill="1" applyBorder="1"/>
    <xf numFmtId="165" fontId="0" fillId="21" borderId="23" xfId="2" applyNumberFormat="1" applyFont="1" applyFill="1" applyBorder="1" applyAlignment="1">
      <alignment horizontal="left" vertical="top" wrapText="1"/>
    </xf>
    <xf numFmtId="0" fontId="2" fillId="21" borderId="0" xfId="0" applyFont="1" applyFill="1"/>
    <xf numFmtId="0" fontId="0" fillId="0" borderId="0" xfId="0" applyAlignment="1">
      <alignment horizontal="left" vertical="top" wrapText="1"/>
    </xf>
    <xf numFmtId="0" fontId="41" fillId="43" borderId="0" xfId="0" applyFont="1" applyFill="1" applyAlignment="1">
      <alignment horizontal="center"/>
    </xf>
    <xf numFmtId="0" fontId="65" fillId="44" borderId="0" xfId="0" applyFont="1" applyFill="1" applyAlignment="1">
      <alignment horizontal="left" wrapText="1"/>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0" xfId="0" applyAlignment="1">
      <alignment horizontal="center" wrapText="1"/>
    </xf>
    <xf numFmtId="0" fontId="0" fillId="0" borderId="0" xfId="0" applyAlignment="1">
      <alignment horizontal="center"/>
    </xf>
    <xf numFmtId="0" fontId="21" fillId="28" borderId="0" xfId="0" applyFont="1" applyFill="1" applyAlignment="1">
      <alignment horizontal="center"/>
    </xf>
    <xf numFmtId="0" fontId="0" fillId="0" borderId="0" xfId="0" applyAlignment="1">
      <alignment horizontal="left" wrapText="1"/>
    </xf>
    <xf numFmtId="0" fontId="21" fillId="0" borderId="0" xfId="460" applyFont="1" applyAlignment="1">
      <alignment horizontal="center"/>
    </xf>
    <xf numFmtId="0" fontId="11" fillId="0" borderId="0" xfId="461" applyFont="1" applyAlignment="1">
      <alignment horizontal="left" wrapText="1"/>
    </xf>
    <xf numFmtId="0" fontId="11" fillId="0" borderId="0" xfId="0" applyFont="1" applyAlignment="1">
      <alignment horizontal="left" wrapText="1"/>
    </xf>
    <xf numFmtId="0" fontId="0" fillId="0" borderId="0" xfId="0" applyAlignment="1">
      <alignment horizontal="left"/>
    </xf>
    <xf numFmtId="0" fontId="26" fillId="0" borderId="0" xfId="0" applyFont="1" applyAlignment="1">
      <alignment horizontal="left" wrapText="1"/>
    </xf>
    <xf numFmtId="0" fontId="25" fillId="0" borderId="0" xfId="0" applyFont="1" applyAlignment="1">
      <alignment horizontal="left" wrapText="1"/>
    </xf>
    <xf numFmtId="0" fontId="26" fillId="37" borderId="0" xfId="0" applyFont="1" applyFill="1" applyAlignment="1">
      <alignment horizontal="left" wrapText="1"/>
    </xf>
    <xf numFmtId="0" fontId="26" fillId="37" borderId="0" xfId="0" applyFont="1" applyFill="1" applyAlignment="1">
      <alignment horizontal="left"/>
    </xf>
    <xf numFmtId="0" fontId="56" fillId="0" borderId="0" xfId="0" applyFont="1" applyAlignment="1">
      <alignment horizontal="left" vertical="center" wrapText="1"/>
    </xf>
    <xf numFmtId="0" fontId="12" fillId="0" borderId="0" xfId="460" applyFont="1" applyAlignment="1">
      <alignment horizontal="center"/>
    </xf>
    <xf numFmtId="0" fontId="0" fillId="0" borderId="36" xfId="0" applyBorder="1" applyAlignment="1">
      <alignment vertical="top" wrapText="1"/>
    </xf>
    <xf numFmtId="0" fontId="0" fillId="0" borderId="33" xfId="0" applyBorder="1" applyAlignment="1">
      <alignment vertical="top" wrapText="1"/>
    </xf>
    <xf numFmtId="0" fontId="0" fillId="0" borderId="32" xfId="0" applyBorder="1" applyAlignment="1">
      <alignment vertical="top" wrapText="1"/>
    </xf>
    <xf numFmtId="0" fontId="11" fillId="0" borderId="23" xfId="7" applyFont="1" applyBorder="1" applyAlignment="1">
      <alignment horizontal="center"/>
    </xf>
    <xf numFmtId="0" fontId="11" fillId="0" borderId="23" xfId="0" applyFont="1" applyBorder="1" applyAlignment="1">
      <alignment horizontal="center"/>
    </xf>
    <xf numFmtId="0" fontId="20" fillId="0" borderId="0" xfId="461" applyFont="1" applyAlignment="1">
      <alignment horizontal="center"/>
    </xf>
  </cellXfs>
  <cellStyles count="476">
    <cellStyle name="20% - Accent1" xfId="473" builtinId="30"/>
    <cellStyle name="20% - Accent1 2" xfId="10" xr:uid="{00000000-0005-0000-0000-000001000000}"/>
    <cellStyle name="20% - Accent1 2 2" xfId="11" xr:uid="{00000000-0005-0000-0000-000002000000}"/>
    <cellStyle name="20% - Accent1 2 2 2" xfId="12" xr:uid="{00000000-0005-0000-0000-000003000000}"/>
    <cellStyle name="20% - Accent1 2 2 2 2" xfId="13" xr:uid="{00000000-0005-0000-0000-000004000000}"/>
    <cellStyle name="20% - Accent1 2 2 3" xfId="14" xr:uid="{00000000-0005-0000-0000-000005000000}"/>
    <cellStyle name="20% - Accent1 2 3" xfId="15" xr:uid="{00000000-0005-0000-0000-000006000000}"/>
    <cellStyle name="20% - Accent1 2 3 2" xfId="16" xr:uid="{00000000-0005-0000-0000-000007000000}"/>
    <cellStyle name="20% - Accent1 2 4" xfId="17" xr:uid="{00000000-0005-0000-0000-000008000000}"/>
    <cellStyle name="20% - Accent2 2" xfId="18" xr:uid="{00000000-0005-0000-0000-000009000000}"/>
    <cellStyle name="20% - Accent2 2 2" xfId="19" xr:uid="{00000000-0005-0000-0000-00000A000000}"/>
    <cellStyle name="20% - Accent2 2 2 2" xfId="20" xr:uid="{00000000-0005-0000-0000-00000B000000}"/>
    <cellStyle name="20% - Accent2 2 3" xfId="21" xr:uid="{00000000-0005-0000-0000-00000C000000}"/>
    <cellStyle name="20% - Accent2 3" xfId="22" xr:uid="{00000000-0005-0000-0000-00000D000000}"/>
    <cellStyle name="20% - Accent2 3 2" xfId="23" xr:uid="{00000000-0005-0000-0000-00000E000000}"/>
    <cellStyle name="20% - Accent2 4" xfId="24" xr:uid="{00000000-0005-0000-0000-00000F000000}"/>
    <cellStyle name="20% - Accent3 2" xfId="25" xr:uid="{00000000-0005-0000-0000-000010000000}"/>
    <cellStyle name="20% - Accent3 2 2" xfId="26" xr:uid="{00000000-0005-0000-0000-000011000000}"/>
    <cellStyle name="20% - Accent3 2 2 2" xfId="27" xr:uid="{00000000-0005-0000-0000-000012000000}"/>
    <cellStyle name="20% - Accent3 2 2 2 2" xfId="28" xr:uid="{00000000-0005-0000-0000-000013000000}"/>
    <cellStyle name="20% - Accent3 2 2 3" xfId="29" xr:uid="{00000000-0005-0000-0000-000014000000}"/>
    <cellStyle name="20% - Accent3 2 3" xfId="30" xr:uid="{00000000-0005-0000-0000-000015000000}"/>
    <cellStyle name="20% - Accent3 2 3 2" xfId="31" xr:uid="{00000000-0005-0000-0000-000016000000}"/>
    <cellStyle name="20% - Accent3 2 4" xfId="32" xr:uid="{00000000-0005-0000-0000-000017000000}"/>
    <cellStyle name="20% - Accent4 2" xfId="33" xr:uid="{00000000-0005-0000-0000-000018000000}"/>
    <cellStyle name="20% - Accent4 2 2" xfId="34" xr:uid="{00000000-0005-0000-0000-000019000000}"/>
    <cellStyle name="20% - Accent4 2 2 2" xfId="35" xr:uid="{00000000-0005-0000-0000-00001A000000}"/>
    <cellStyle name="20% - Accent4 2 3" xfId="36" xr:uid="{00000000-0005-0000-0000-00001B000000}"/>
    <cellStyle name="20% - Accent4 3" xfId="37" xr:uid="{00000000-0005-0000-0000-00001C000000}"/>
    <cellStyle name="20% - Accent4 3 2" xfId="38" xr:uid="{00000000-0005-0000-0000-00001D000000}"/>
    <cellStyle name="20% - Accent4 4" xfId="39" xr:uid="{00000000-0005-0000-0000-00001E000000}"/>
    <cellStyle name="20% - Accent5 2" xfId="40" xr:uid="{00000000-0005-0000-0000-00001F000000}"/>
    <cellStyle name="20% - Accent5 2 2" xfId="41" xr:uid="{00000000-0005-0000-0000-000020000000}"/>
    <cellStyle name="20% - Accent5 2 2 2" xfId="42" xr:uid="{00000000-0005-0000-0000-000021000000}"/>
    <cellStyle name="20% - Accent5 2 2 2 2" xfId="43" xr:uid="{00000000-0005-0000-0000-000022000000}"/>
    <cellStyle name="20% - Accent5 2 2 3" xfId="44" xr:uid="{00000000-0005-0000-0000-000023000000}"/>
    <cellStyle name="20% - Accent5 2 3" xfId="45" xr:uid="{00000000-0005-0000-0000-000024000000}"/>
    <cellStyle name="20% - Accent5 2 3 2" xfId="46" xr:uid="{00000000-0005-0000-0000-000025000000}"/>
    <cellStyle name="20% - Accent5 2 4" xfId="47" xr:uid="{00000000-0005-0000-0000-000026000000}"/>
    <cellStyle name="20% - Accent5 3" xfId="48" xr:uid="{00000000-0005-0000-0000-000027000000}"/>
    <cellStyle name="20% - Accent5 3 2" xfId="49" xr:uid="{00000000-0005-0000-0000-000028000000}"/>
    <cellStyle name="20% - Accent5 3 2 2" xfId="50" xr:uid="{00000000-0005-0000-0000-000029000000}"/>
    <cellStyle name="20% - Accent5 3 3" xfId="51" xr:uid="{00000000-0005-0000-0000-00002A000000}"/>
    <cellStyle name="20% - Accent5 4" xfId="52" xr:uid="{00000000-0005-0000-0000-00002B000000}"/>
    <cellStyle name="20% - Accent5 4 2" xfId="53" xr:uid="{00000000-0005-0000-0000-00002C000000}"/>
    <cellStyle name="20% - Accent5 5" xfId="54" xr:uid="{00000000-0005-0000-0000-00002D000000}"/>
    <cellStyle name="20% - Accent6 2" xfId="55" xr:uid="{00000000-0005-0000-0000-00002E000000}"/>
    <cellStyle name="20% - Accent6 2 2" xfId="56" xr:uid="{00000000-0005-0000-0000-00002F000000}"/>
    <cellStyle name="20% - Accent6 2 2 2" xfId="57" xr:uid="{00000000-0005-0000-0000-000030000000}"/>
    <cellStyle name="20% - Accent6 2 3" xfId="58" xr:uid="{00000000-0005-0000-0000-000031000000}"/>
    <cellStyle name="20% - Accent6 3" xfId="59" xr:uid="{00000000-0005-0000-0000-000032000000}"/>
    <cellStyle name="20% - Accent6 3 2" xfId="60" xr:uid="{00000000-0005-0000-0000-000033000000}"/>
    <cellStyle name="20% - Accent6 4" xfId="61" xr:uid="{00000000-0005-0000-0000-000034000000}"/>
    <cellStyle name="40% - Accent1" xfId="472" builtinId="31"/>
    <cellStyle name="40% - Accent1 2" xfId="62" xr:uid="{00000000-0005-0000-0000-000036000000}"/>
    <cellStyle name="40% - Accent1 2 2" xfId="63" xr:uid="{00000000-0005-0000-0000-000037000000}"/>
    <cellStyle name="40% - Accent1 2 2 2" xfId="64" xr:uid="{00000000-0005-0000-0000-000038000000}"/>
    <cellStyle name="40% - Accent1 2 2 2 2" xfId="65" xr:uid="{00000000-0005-0000-0000-000039000000}"/>
    <cellStyle name="40% - Accent1 2 2 3" xfId="66" xr:uid="{00000000-0005-0000-0000-00003A000000}"/>
    <cellStyle name="40% - Accent1 2 3" xfId="67" xr:uid="{00000000-0005-0000-0000-00003B000000}"/>
    <cellStyle name="40% - Accent1 2 3 2" xfId="68" xr:uid="{00000000-0005-0000-0000-00003C000000}"/>
    <cellStyle name="40% - Accent1 2 4" xfId="69" xr:uid="{00000000-0005-0000-0000-00003D000000}"/>
    <cellStyle name="40% - Accent1 3" xfId="70" xr:uid="{00000000-0005-0000-0000-00003E000000}"/>
    <cellStyle name="40% - Accent2 2" xfId="71" xr:uid="{00000000-0005-0000-0000-00003F000000}"/>
    <cellStyle name="40% - Accent2 2 2" xfId="72" xr:uid="{00000000-0005-0000-0000-000040000000}"/>
    <cellStyle name="40% - Accent2 2 2 2" xfId="73" xr:uid="{00000000-0005-0000-0000-000041000000}"/>
    <cellStyle name="40% - Accent2 2 3" xfId="74" xr:uid="{00000000-0005-0000-0000-000042000000}"/>
    <cellStyle name="40% - Accent2 3" xfId="75" xr:uid="{00000000-0005-0000-0000-000043000000}"/>
    <cellStyle name="40% - Accent2 3 2" xfId="76" xr:uid="{00000000-0005-0000-0000-000044000000}"/>
    <cellStyle name="40% - Accent2 4" xfId="77" xr:uid="{00000000-0005-0000-0000-000045000000}"/>
    <cellStyle name="40% - Accent3 2" xfId="78" xr:uid="{00000000-0005-0000-0000-000046000000}"/>
    <cellStyle name="40% - Accent3 2 2" xfId="79" xr:uid="{00000000-0005-0000-0000-000047000000}"/>
    <cellStyle name="40% - Accent3 2 2 2" xfId="80" xr:uid="{00000000-0005-0000-0000-000048000000}"/>
    <cellStyle name="40% - Accent3 2 3" xfId="81" xr:uid="{00000000-0005-0000-0000-000049000000}"/>
    <cellStyle name="40% - Accent3 3" xfId="82" xr:uid="{00000000-0005-0000-0000-00004A000000}"/>
    <cellStyle name="40% - Accent3 3 2" xfId="83" xr:uid="{00000000-0005-0000-0000-00004B000000}"/>
    <cellStyle name="40% - Accent3 4" xfId="84" xr:uid="{00000000-0005-0000-0000-00004C000000}"/>
    <cellStyle name="40% - Accent4 2" xfId="85" xr:uid="{00000000-0005-0000-0000-00004D000000}"/>
    <cellStyle name="40% - Accent4 2 2" xfId="86" xr:uid="{00000000-0005-0000-0000-00004E000000}"/>
    <cellStyle name="40% - Accent4 2 2 2" xfId="87" xr:uid="{00000000-0005-0000-0000-00004F000000}"/>
    <cellStyle name="40% - Accent4 2 2 2 2" xfId="88" xr:uid="{00000000-0005-0000-0000-000050000000}"/>
    <cellStyle name="40% - Accent4 2 2 3" xfId="89" xr:uid="{00000000-0005-0000-0000-000051000000}"/>
    <cellStyle name="40% - Accent4 2 3" xfId="90" xr:uid="{00000000-0005-0000-0000-000052000000}"/>
    <cellStyle name="40% - Accent4 2 3 2" xfId="91" xr:uid="{00000000-0005-0000-0000-000053000000}"/>
    <cellStyle name="40% - Accent4 2 4" xfId="92" xr:uid="{00000000-0005-0000-0000-000054000000}"/>
    <cellStyle name="40% - Accent4 3" xfId="93" xr:uid="{00000000-0005-0000-0000-000055000000}"/>
    <cellStyle name="40% - Accent5 2" xfId="94" xr:uid="{00000000-0005-0000-0000-000056000000}"/>
    <cellStyle name="40% - Accent5 2 2" xfId="95" xr:uid="{00000000-0005-0000-0000-000057000000}"/>
    <cellStyle name="40% - Accent5 2 2 2" xfId="96" xr:uid="{00000000-0005-0000-0000-000058000000}"/>
    <cellStyle name="40% - Accent5 2 2 2 2" xfId="97" xr:uid="{00000000-0005-0000-0000-000059000000}"/>
    <cellStyle name="40% - Accent5 2 2 3" xfId="98" xr:uid="{00000000-0005-0000-0000-00005A000000}"/>
    <cellStyle name="40% - Accent5 2 3" xfId="99" xr:uid="{00000000-0005-0000-0000-00005B000000}"/>
    <cellStyle name="40% - Accent5 2 3 2" xfId="100" xr:uid="{00000000-0005-0000-0000-00005C000000}"/>
    <cellStyle name="40% - Accent5 2 4" xfId="101" xr:uid="{00000000-0005-0000-0000-00005D000000}"/>
    <cellStyle name="40% - Accent5 3" xfId="102" xr:uid="{00000000-0005-0000-0000-00005E000000}"/>
    <cellStyle name="40% - Accent5 3 2" xfId="103" xr:uid="{00000000-0005-0000-0000-00005F000000}"/>
    <cellStyle name="40% - Accent5 3 2 2" xfId="104" xr:uid="{00000000-0005-0000-0000-000060000000}"/>
    <cellStyle name="40% - Accent5 3 2 2 2" xfId="105" xr:uid="{00000000-0005-0000-0000-000061000000}"/>
    <cellStyle name="40% - Accent5 3 2 3" xfId="106" xr:uid="{00000000-0005-0000-0000-000062000000}"/>
    <cellStyle name="40% - Accent5 3 3" xfId="107" xr:uid="{00000000-0005-0000-0000-000063000000}"/>
    <cellStyle name="40% - Accent5 3 3 2" xfId="108" xr:uid="{00000000-0005-0000-0000-000064000000}"/>
    <cellStyle name="40% - Accent5 3 4" xfId="109" xr:uid="{00000000-0005-0000-0000-000065000000}"/>
    <cellStyle name="40% - Accent5 4" xfId="110" xr:uid="{00000000-0005-0000-0000-000066000000}"/>
    <cellStyle name="40% - Accent6 2" xfId="111" xr:uid="{00000000-0005-0000-0000-000067000000}"/>
    <cellStyle name="40% - Accent6 2 2" xfId="112" xr:uid="{00000000-0005-0000-0000-000068000000}"/>
    <cellStyle name="40% - Accent6 2 2 2" xfId="113" xr:uid="{00000000-0005-0000-0000-000069000000}"/>
    <cellStyle name="40% - Accent6 2 3" xfId="114" xr:uid="{00000000-0005-0000-0000-00006A000000}"/>
    <cellStyle name="40% - Accent6 3" xfId="115" xr:uid="{00000000-0005-0000-0000-00006B000000}"/>
    <cellStyle name="40% - Accent6 3 2" xfId="116" xr:uid="{00000000-0005-0000-0000-00006C000000}"/>
    <cellStyle name="40% - Accent6 4" xfId="117" xr:uid="{00000000-0005-0000-0000-00006D000000}"/>
    <cellStyle name="Accent1" xfId="466" builtinId="29"/>
    <cellStyle name="Comma" xfId="2" builtinId="3"/>
    <cellStyle name="Comma 10" xfId="118" xr:uid="{00000000-0005-0000-0000-000070000000}"/>
    <cellStyle name="Comma 10 2" xfId="463" xr:uid="{00000000-0005-0000-0000-000071000000}"/>
    <cellStyle name="Comma 11" xfId="119" xr:uid="{00000000-0005-0000-0000-000072000000}"/>
    <cellStyle name="Comma 12" xfId="469" xr:uid="{00000000-0005-0000-0000-000073000000}"/>
    <cellStyle name="Comma 2" xfId="120" xr:uid="{00000000-0005-0000-0000-000074000000}"/>
    <cellStyle name="Comma 2 2" xfId="121" xr:uid="{00000000-0005-0000-0000-000075000000}"/>
    <cellStyle name="Comma 2 2 2" xfId="122" xr:uid="{00000000-0005-0000-0000-000076000000}"/>
    <cellStyle name="Comma 2 2 2 2" xfId="123" xr:uid="{00000000-0005-0000-0000-000077000000}"/>
    <cellStyle name="Comma 2 2 2 2 2" xfId="124" xr:uid="{00000000-0005-0000-0000-000078000000}"/>
    <cellStyle name="Comma 2 2 2 3" xfId="125" xr:uid="{00000000-0005-0000-0000-000079000000}"/>
    <cellStyle name="Comma 2 2 3" xfId="126" xr:uid="{00000000-0005-0000-0000-00007A000000}"/>
    <cellStyle name="Comma 2 2 3 2" xfId="127" xr:uid="{00000000-0005-0000-0000-00007B000000}"/>
    <cellStyle name="Comma 2 2 4" xfId="128" xr:uid="{00000000-0005-0000-0000-00007C000000}"/>
    <cellStyle name="Comma 2 3" xfId="129" xr:uid="{00000000-0005-0000-0000-00007D000000}"/>
    <cellStyle name="Comma 2 3 2" xfId="130" xr:uid="{00000000-0005-0000-0000-00007E000000}"/>
    <cellStyle name="Comma 2 3 2 2" xfId="131" xr:uid="{00000000-0005-0000-0000-00007F000000}"/>
    <cellStyle name="Comma 2 3 2 2 2" xfId="132" xr:uid="{00000000-0005-0000-0000-000080000000}"/>
    <cellStyle name="Comma 2 3 2 3" xfId="133" xr:uid="{00000000-0005-0000-0000-000081000000}"/>
    <cellStyle name="Comma 2 3 3" xfId="134" xr:uid="{00000000-0005-0000-0000-000082000000}"/>
    <cellStyle name="Comma 2 3 3 2" xfId="135" xr:uid="{00000000-0005-0000-0000-000083000000}"/>
    <cellStyle name="Comma 2 3 4" xfId="136" xr:uid="{00000000-0005-0000-0000-000084000000}"/>
    <cellStyle name="Comma 2 4" xfId="137" xr:uid="{00000000-0005-0000-0000-000085000000}"/>
    <cellStyle name="Comma 2 4 2" xfId="138" xr:uid="{00000000-0005-0000-0000-000086000000}"/>
    <cellStyle name="Comma 2 4 2 2" xfId="139" xr:uid="{00000000-0005-0000-0000-000087000000}"/>
    <cellStyle name="Comma 2 4 3" xfId="140" xr:uid="{00000000-0005-0000-0000-000088000000}"/>
    <cellStyle name="Comma 2 5" xfId="141" xr:uid="{00000000-0005-0000-0000-000089000000}"/>
    <cellStyle name="Comma 2 5 2" xfId="142" xr:uid="{00000000-0005-0000-0000-00008A000000}"/>
    <cellStyle name="Comma 2 6" xfId="143" xr:uid="{00000000-0005-0000-0000-00008B000000}"/>
    <cellStyle name="Comma 3" xfId="9" xr:uid="{00000000-0005-0000-0000-00008C000000}"/>
    <cellStyle name="Comma 3 2" xfId="144" xr:uid="{00000000-0005-0000-0000-00008D000000}"/>
    <cellStyle name="Comma 3 2 2" xfId="145" xr:uid="{00000000-0005-0000-0000-00008E000000}"/>
    <cellStyle name="Comma 3 2 2 2" xfId="146" xr:uid="{00000000-0005-0000-0000-00008F000000}"/>
    <cellStyle name="Comma 3 2 2 2 2" xfId="147" xr:uid="{00000000-0005-0000-0000-000090000000}"/>
    <cellStyle name="Comma 3 2 2 3" xfId="148" xr:uid="{00000000-0005-0000-0000-000091000000}"/>
    <cellStyle name="Comma 3 2 3" xfId="149" xr:uid="{00000000-0005-0000-0000-000092000000}"/>
    <cellStyle name="Comma 3 2 3 2" xfId="150" xr:uid="{00000000-0005-0000-0000-000093000000}"/>
    <cellStyle name="Comma 3 2 4" xfId="151" xr:uid="{00000000-0005-0000-0000-000094000000}"/>
    <cellStyle name="Comma 4" xfId="152" xr:uid="{00000000-0005-0000-0000-000095000000}"/>
    <cellStyle name="Comma 4 2" xfId="153" xr:uid="{00000000-0005-0000-0000-000096000000}"/>
    <cellStyle name="Comma 4 2 2" xfId="154" xr:uid="{00000000-0005-0000-0000-000097000000}"/>
    <cellStyle name="Comma 4 2 2 2" xfId="155" xr:uid="{00000000-0005-0000-0000-000098000000}"/>
    <cellStyle name="Comma 4 2 3" xfId="156" xr:uid="{00000000-0005-0000-0000-000099000000}"/>
    <cellStyle name="Comma 4 3" xfId="157" xr:uid="{00000000-0005-0000-0000-00009A000000}"/>
    <cellStyle name="Comma 4 3 2" xfId="158" xr:uid="{00000000-0005-0000-0000-00009B000000}"/>
    <cellStyle name="Comma 4 4" xfId="159" xr:uid="{00000000-0005-0000-0000-00009C000000}"/>
    <cellStyle name="Comma 5" xfId="160" xr:uid="{00000000-0005-0000-0000-00009D000000}"/>
    <cellStyle name="Comma 5 2" xfId="161" xr:uid="{00000000-0005-0000-0000-00009E000000}"/>
    <cellStyle name="Comma 5 3" xfId="162" xr:uid="{00000000-0005-0000-0000-00009F000000}"/>
    <cellStyle name="Comma 5 3 2" xfId="163" xr:uid="{00000000-0005-0000-0000-0000A0000000}"/>
    <cellStyle name="Comma 5 3 2 2" xfId="164" xr:uid="{00000000-0005-0000-0000-0000A1000000}"/>
    <cellStyle name="Comma 5 3 3" xfId="165" xr:uid="{00000000-0005-0000-0000-0000A2000000}"/>
    <cellStyle name="Comma 5 4" xfId="166" xr:uid="{00000000-0005-0000-0000-0000A3000000}"/>
    <cellStyle name="Comma 5 4 2" xfId="167" xr:uid="{00000000-0005-0000-0000-0000A4000000}"/>
    <cellStyle name="Comma 5 5" xfId="168" xr:uid="{00000000-0005-0000-0000-0000A5000000}"/>
    <cellStyle name="Comma 6" xfId="169" xr:uid="{00000000-0005-0000-0000-0000A6000000}"/>
    <cellStyle name="Comma 6 2" xfId="170" xr:uid="{00000000-0005-0000-0000-0000A7000000}"/>
    <cellStyle name="Comma 6 2 2" xfId="171" xr:uid="{00000000-0005-0000-0000-0000A8000000}"/>
    <cellStyle name="Comma 6 2 2 2" xfId="172" xr:uid="{00000000-0005-0000-0000-0000A9000000}"/>
    <cellStyle name="Comma 6 2 3" xfId="173" xr:uid="{00000000-0005-0000-0000-0000AA000000}"/>
    <cellStyle name="Comma 6 3" xfId="174" xr:uid="{00000000-0005-0000-0000-0000AB000000}"/>
    <cellStyle name="Comma 6 3 2" xfId="175" xr:uid="{00000000-0005-0000-0000-0000AC000000}"/>
    <cellStyle name="Comma 6 4" xfId="176" xr:uid="{00000000-0005-0000-0000-0000AD000000}"/>
    <cellStyle name="Comma 7" xfId="177" xr:uid="{00000000-0005-0000-0000-0000AE000000}"/>
    <cellStyle name="Comma 7 2" xfId="178" xr:uid="{00000000-0005-0000-0000-0000AF000000}"/>
    <cellStyle name="Comma 7 2 2" xfId="179" xr:uid="{00000000-0005-0000-0000-0000B0000000}"/>
    <cellStyle name="Comma 7 2 2 2" xfId="180" xr:uid="{00000000-0005-0000-0000-0000B1000000}"/>
    <cellStyle name="Comma 7 2 3" xfId="181" xr:uid="{00000000-0005-0000-0000-0000B2000000}"/>
    <cellStyle name="Comma 7 3" xfId="182" xr:uid="{00000000-0005-0000-0000-0000B3000000}"/>
    <cellStyle name="Comma 7 3 2" xfId="183" xr:uid="{00000000-0005-0000-0000-0000B4000000}"/>
    <cellStyle name="Comma 7 4" xfId="184" xr:uid="{00000000-0005-0000-0000-0000B5000000}"/>
    <cellStyle name="Comma 8" xfId="185" xr:uid="{00000000-0005-0000-0000-0000B6000000}"/>
    <cellStyle name="Comma 9" xfId="186" xr:uid="{00000000-0005-0000-0000-0000B7000000}"/>
    <cellStyle name="Comma 9 2" xfId="187" xr:uid="{00000000-0005-0000-0000-0000B8000000}"/>
    <cellStyle name="Comma 9 2 2" xfId="188" xr:uid="{00000000-0005-0000-0000-0000B9000000}"/>
    <cellStyle name="Comma 9 3" xfId="189" xr:uid="{00000000-0005-0000-0000-0000BA000000}"/>
    <cellStyle name="Currency" xfId="3" builtinId="4"/>
    <cellStyle name="Currency 10" xfId="190" xr:uid="{00000000-0005-0000-0000-0000BC000000}"/>
    <cellStyle name="Currency 11" xfId="191" xr:uid="{00000000-0005-0000-0000-0000BD000000}"/>
    <cellStyle name="Currency 12" xfId="470" xr:uid="{00000000-0005-0000-0000-0000BE000000}"/>
    <cellStyle name="Currency 2" xfId="8" xr:uid="{00000000-0005-0000-0000-0000BF000000}"/>
    <cellStyle name="Currency 2 2" xfId="192" xr:uid="{00000000-0005-0000-0000-0000C0000000}"/>
    <cellStyle name="Currency 2 2 2" xfId="193" xr:uid="{00000000-0005-0000-0000-0000C1000000}"/>
    <cellStyle name="Currency 2 2 2 2" xfId="194" xr:uid="{00000000-0005-0000-0000-0000C2000000}"/>
    <cellStyle name="Currency 2 2 3" xfId="195" xr:uid="{00000000-0005-0000-0000-0000C3000000}"/>
    <cellStyle name="Currency 2 3" xfId="196" xr:uid="{00000000-0005-0000-0000-0000C4000000}"/>
    <cellStyle name="Currency 2 3 2" xfId="197" xr:uid="{00000000-0005-0000-0000-0000C5000000}"/>
    <cellStyle name="Currency 2 4" xfId="198" xr:uid="{00000000-0005-0000-0000-0000C6000000}"/>
    <cellStyle name="Currency 3" xfId="199" xr:uid="{00000000-0005-0000-0000-0000C7000000}"/>
    <cellStyle name="Currency 3 2" xfId="200" xr:uid="{00000000-0005-0000-0000-0000C8000000}"/>
    <cellStyle name="Currency 4" xfId="201" xr:uid="{00000000-0005-0000-0000-0000C9000000}"/>
    <cellStyle name="Currency 4 2" xfId="202" xr:uid="{00000000-0005-0000-0000-0000CA000000}"/>
    <cellStyle name="Currency 4 2 2" xfId="203" xr:uid="{00000000-0005-0000-0000-0000CB000000}"/>
    <cellStyle name="Currency 4 2 2 2" xfId="204" xr:uid="{00000000-0005-0000-0000-0000CC000000}"/>
    <cellStyle name="Currency 4 2 3" xfId="205" xr:uid="{00000000-0005-0000-0000-0000CD000000}"/>
    <cellStyle name="Currency 4 3" xfId="206" xr:uid="{00000000-0005-0000-0000-0000CE000000}"/>
    <cellStyle name="Currency 4 3 2" xfId="207" xr:uid="{00000000-0005-0000-0000-0000CF000000}"/>
    <cellStyle name="Currency 4 4" xfId="208" xr:uid="{00000000-0005-0000-0000-0000D0000000}"/>
    <cellStyle name="Currency 5" xfId="209" xr:uid="{00000000-0005-0000-0000-0000D1000000}"/>
    <cellStyle name="Currency 5 2" xfId="210" xr:uid="{00000000-0005-0000-0000-0000D2000000}"/>
    <cellStyle name="Currency 5 2 2" xfId="211" xr:uid="{00000000-0005-0000-0000-0000D3000000}"/>
    <cellStyle name="Currency 5 2 2 2" xfId="212" xr:uid="{00000000-0005-0000-0000-0000D4000000}"/>
    <cellStyle name="Currency 5 2 3" xfId="213" xr:uid="{00000000-0005-0000-0000-0000D5000000}"/>
    <cellStyle name="Currency 5 3" xfId="214" xr:uid="{00000000-0005-0000-0000-0000D6000000}"/>
    <cellStyle name="Currency 5 3 2" xfId="215" xr:uid="{00000000-0005-0000-0000-0000D7000000}"/>
    <cellStyle name="Currency 5 4" xfId="216" xr:uid="{00000000-0005-0000-0000-0000D8000000}"/>
    <cellStyle name="Currency 6" xfId="217" xr:uid="{00000000-0005-0000-0000-0000D9000000}"/>
    <cellStyle name="Currency 7" xfId="218" xr:uid="{00000000-0005-0000-0000-0000DA000000}"/>
    <cellStyle name="Currency 7 2" xfId="219" xr:uid="{00000000-0005-0000-0000-0000DB000000}"/>
    <cellStyle name="Currency 7 2 2" xfId="220" xr:uid="{00000000-0005-0000-0000-0000DC000000}"/>
    <cellStyle name="Currency 7 3" xfId="221" xr:uid="{00000000-0005-0000-0000-0000DD000000}"/>
    <cellStyle name="Currency 8" xfId="222" xr:uid="{00000000-0005-0000-0000-0000DE000000}"/>
    <cellStyle name="Currency 9" xfId="223" xr:uid="{00000000-0005-0000-0000-0000DF000000}"/>
    <cellStyle name="Currency 9 2" xfId="224" xr:uid="{00000000-0005-0000-0000-0000E0000000}"/>
    <cellStyle name="Good" xfId="5" builtinId="26"/>
    <cellStyle name="Hyperlink" xfId="1" builtinId="8"/>
    <cellStyle name="Hyperlink 2" xfId="225" xr:uid="{00000000-0005-0000-0000-0000E3000000}"/>
    <cellStyle name="Hyperlink 3" xfId="468" xr:uid="{00000000-0005-0000-0000-0000E4000000}"/>
    <cellStyle name="Normal" xfId="0" builtinId="0"/>
    <cellStyle name="Normal 10" xfId="226" xr:uid="{00000000-0005-0000-0000-0000E6000000}"/>
    <cellStyle name="Normal 10 2" xfId="227" xr:uid="{00000000-0005-0000-0000-0000E7000000}"/>
    <cellStyle name="Normal 10 2 2" xfId="228" xr:uid="{00000000-0005-0000-0000-0000E8000000}"/>
    <cellStyle name="Normal 10 2 2 2" xfId="229" xr:uid="{00000000-0005-0000-0000-0000E9000000}"/>
    <cellStyle name="Normal 10 2 2 2 2" xfId="230" xr:uid="{00000000-0005-0000-0000-0000EA000000}"/>
    <cellStyle name="Normal 10 2 2 3" xfId="231" xr:uid="{00000000-0005-0000-0000-0000EB000000}"/>
    <cellStyle name="Normal 10 2 3" xfId="232" xr:uid="{00000000-0005-0000-0000-0000EC000000}"/>
    <cellStyle name="Normal 10 2 3 2" xfId="233" xr:uid="{00000000-0005-0000-0000-0000ED000000}"/>
    <cellStyle name="Normal 10 2 4" xfId="234" xr:uid="{00000000-0005-0000-0000-0000EE000000}"/>
    <cellStyle name="Normal 10 3" xfId="235" xr:uid="{00000000-0005-0000-0000-0000EF000000}"/>
    <cellStyle name="Normal 10 3 2" xfId="236" xr:uid="{00000000-0005-0000-0000-0000F0000000}"/>
    <cellStyle name="Normal 10 3 2 2" xfId="237" xr:uid="{00000000-0005-0000-0000-0000F1000000}"/>
    <cellStyle name="Normal 10 3 3" xfId="238" xr:uid="{00000000-0005-0000-0000-0000F2000000}"/>
    <cellStyle name="Normal 10 4" xfId="239" xr:uid="{00000000-0005-0000-0000-0000F3000000}"/>
    <cellStyle name="Normal 10 4 2" xfId="240" xr:uid="{00000000-0005-0000-0000-0000F4000000}"/>
    <cellStyle name="Normal 10 5" xfId="241" xr:uid="{00000000-0005-0000-0000-0000F5000000}"/>
    <cellStyle name="Normal 11" xfId="242" xr:uid="{00000000-0005-0000-0000-0000F6000000}"/>
    <cellStyle name="Normal 11 2" xfId="243" xr:uid="{00000000-0005-0000-0000-0000F7000000}"/>
    <cellStyle name="Normal 11 2 2" xfId="244" xr:uid="{00000000-0005-0000-0000-0000F8000000}"/>
    <cellStyle name="Normal 11 2 2 2" xfId="245" xr:uid="{00000000-0005-0000-0000-0000F9000000}"/>
    <cellStyle name="Normal 11 2 3" xfId="246" xr:uid="{00000000-0005-0000-0000-0000FA000000}"/>
    <cellStyle name="Normal 11 3" xfId="247" xr:uid="{00000000-0005-0000-0000-0000FB000000}"/>
    <cellStyle name="Normal 11 3 2" xfId="248" xr:uid="{00000000-0005-0000-0000-0000FC000000}"/>
    <cellStyle name="Normal 11 4" xfId="249" xr:uid="{00000000-0005-0000-0000-0000FD000000}"/>
    <cellStyle name="Normal 12" xfId="7" xr:uid="{00000000-0005-0000-0000-0000FE000000}"/>
    <cellStyle name="Normal 13" xfId="250" xr:uid="{00000000-0005-0000-0000-0000FF000000}"/>
    <cellStyle name="Normal 13 2" xfId="251" xr:uid="{00000000-0005-0000-0000-000000010000}"/>
    <cellStyle name="Normal 13 2 2" xfId="252" xr:uid="{00000000-0005-0000-0000-000001010000}"/>
    <cellStyle name="Normal 13 2 2 2" xfId="253" xr:uid="{00000000-0005-0000-0000-000002010000}"/>
    <cellStyle name="Normal 13 2 3" xfId="254" xr:uid="{00000000-0005-0000-0000-000003010000}"/>
    <cellStyle name="Normal 13 3" xfId="255" xr:uid="{00000000-0005-0000-0000-000004010000}"/>
    <cellStyle name="Normal 13 3 2" xfId="256" xr:uid="{00000000-0005-0000-0000-000005010000}"/>
    <cellStyle name="Normal 13 4" xfId="257" xr:uid="{00000000-0005-0000-0000-000006010000}"/>
    <cellStyle name="Normal 14" xfId="258" xr:uid="{00000000-0005-0000-0000-000007010000}"/>
    <cellStyle name="Normal 14 2" xfId="259" xr:uid="{00000000-0005-0000-0000-000008010000}"/>
    <cellStyle name="Normal 14 2 2" xfId="260" xr:uid="{00000000-0005-0000-0000-000009010000}"/>
    <cellStyle name="Normal 14 2 2 2" xfId="261" xr:uid="{00000000-0005-0000-0000-00000A010000}"/>
    <cellStyle name="Normal 14 2 2 2 2" xfId="262" xr:uid="{00000000-0005-0000-0000-00000B010000}"/>
    <cellStyle name="Normal 14 2 2 3" xfId="263" xr:uid="{00000000-0005-0000-0000-00000C010000}"/>
    <cellStyle name="Normal 14 2 3" xfId="264" xr:uid="{00000000-0005-0000-0000-00000D010000}"/>
    <cellStyle name="Normal 14 2 3 2" xfId="265" xr:uid="{00000000-0005-0000-0000-00000E010000}"/>
    <cellStyle name="Normal 14 2 4" xfId="266" xr:uid="{00000000-0005-0000-0000-00000F010000}"/>
    <cellStyle name="Normal 14 3" xfId="267" xr:uid="{00000000-0005-0000-0000-000010010000}"/>
    <cellStyle name="Normal 14 3 2" xfId="268" xr:uid="{00000000-0005-0000-0000-000011010000}"/>
    <cellStyle name="Normal 14 3 2 2" xfId="269" xr:uid="{00000000-0005-0000-0000-000012010000}"/>
    <cellStyle name="Normal 14 3 3" xfId="270" xr:uid="{00000000-0005-0000-0000-000013010000}"/>
    <cellStyle name="Normal 14 4" xfId="271" xr:uid="{00000000-0005-0000-0000-000014010000}"/>
    <cellStyle name="Normal 14 4 2" xfId="272" xr:uid="{00000000-0005-0000-0000-000015010000}"/>
    <cellStyle name="Normal 14 5" xfId="273" xr:uid="{00000000-0005-0000-0000-000016010000}"/>
    <cellStyle name="Normal 14 6" xfId="274" xr:uid="{00000000-0005-0000-0000-000017010000}"/>
    <cellStyle name="Normal 15" xfId="275" xr:uid="{00000000-0005-0000-0000-000018010000}"/>
    <cellStyle name="Normal 15 2" xfId="276" xr:uid="{00000000-0005-0000-0000-000019010000}"/>
    <cellStyle name="Normal 15 2 2" xfId="277" xr:uid="{00000000-0005-0000-0000-00001A010000}"/>
    <cellStyle name="Normal 15 2 2 2" xfId="278" xr:uid="{00000000-0005-0000-0000-00001B010000}"/>
    <cellStyle name="Normal 15 2 3" xfId="279" xr:uid="{00000000-0005-0000-0000-00001C010000}"/>
    <cellStyle name="Normal 15 3" xfId="280" xr:uid="{00000000-0005-0000-0000-00001D010000}"/>
    <cellStyle name="Normal 15 3 2" xfId="281" xr:uid="{00000000-0005-0000-0000-00001E010000}"/>
    <cellStyle name="Normal 15 4" xfId="282" xr:uid="{00000000-0005-0000-0000-00001F010000}"/>
    <cellStyle name="Normal 16" xfId="283" xr:uid="{00000000-0005-0000-0000-000020010000}"/>
    <cellStyle name="Normal 17" xfId="284" xr:uid="{00000000-0005-0000-0000-000021010000}"/>
    <cellStyle name="Normal 17 2" xfId="285" xr:uid="{00000000-0005-0000-0000-000022010000}"/>
    <cellStyle name="Normal 17 2 2" xfId="286" xr:uid="{00000000-0005-0000-0000-000023010000}"/>
    <cellStyle name="Normal 17 3" xfId="287" xr:uid="{00000000-0005-0000-0000-000024010000}"/>
    <cellStyle name="Normal 18" xfId="288" xr:uid="{00000000-0005-0000-0000-000025010000}"/>
    <cellStyle name="Normal 18 2" xfId="289" xr:uid="{00000000-0005-0000-0000-000026010000}"/>
    <cellStyle name="Normal 18 2 2" xfId="290" xr:uid="{00000000-0005-0000-0000-000027010000}"/>
    <cellStyle name="Normal 18 3" xfId="291" xr:uid="{00000000-0005-0000-0000-000028010000}"/>
    <cellStyle name="Normal 19" xfId="292" xr:uid="{00000000-0005-0000-0000-000029010000}"/>
    <cellStyle name="Normal 19 2" xfId="293" xr:uid="{00000000-0005-0000-0000-00002A010000}"/>
    <cellStyle name="Normal 2" xfId="294" xr:uid="{00000000-0005-0000-0000-00002B010000}"/>
    <cellStyle name="Normal 2 2" xfId="295" xr:uid="{00000000-0005-0000-0000-00002C010000}"/>
    <cellStyle name="Normal 2 3" xfId="296" xr:uid="{00000000-0005-0000-0000-00002D010000}"/>
    <cellStyle name="Normal 2 3 2" xfId="297" xr:uid="{00000000-0005-0000-0000-00002E010000}"/>
    <cellStyle name="Normal 2 3 2 2" xfId="298" xr:uid="{00000000-0005-0000-0000-00002F010000}"/>
    <cellStyle name="Normal 2 3 2 2 2" xfId="299" xr:uid="{00000000-0005-0000-0000-000030010000}"/>
    <cellStyle name="Normal 2 3 2 3" xfId="300" xr:uid="{00000000-0005-0000-0000-000031010000}"/>
    <cellStyle name="Normal 2 3 3" xfId="301" xr:uid="{00000000-0005-0000-0000-000032010000}"/>
    <cellStyle name="Normal 2 3 3 2" xfId="302" xr:uid="{00000000-0005-0000-0000-000033010000}"/>
    <cellStyle name="Normal 2 3 4" xfId="303" xr:uid="{00000000-0005-0000-0000-000034010000}"/>
    <cellStyle name="Normal 2 4" xfId="304" xr:uid="{00000000-0005-0000-0000-000035010000}"/>
    <cellStyle name="Normal 20" xfId="305" xr:uid="{00000000-0005-0000-0000-000036010000}"/>
    <cellStyle name="Normal 20 2" xfId="306" xr:uid="{00000000-0005-0000-0000-000037010000}"/>
    <cellStyle name="Normal 21" xfId="307" xr:uid="{00000000-0005-0000-0000-000038010000}"/>
    <cellStyle name="Normal 22" xfId="308" xr:uid="{00000000-0005-0000-0000-000039010000}"/>
    <cellStyle name="Normal 23" xfId="309" xr:uid="{00000000-0005-0000-0000-00003A010000}"/>
    <cellStyle name="Normal 24" xfId="310" xr:uid="{00000000-0005-0000-0000-00003B010000}"/>
    <cellStyle name="Normal 25" xfId="311" xr:uid="{00000000-0005-0000-0000-00003C010000}"/>
    <cellStyle name="Normal 26" xfId="461" xr:uid="{00000000-0005-0000-0000-00003D010000}"/>
    <cellStyle name="Normal 27" xfId="460" xr:uid="{00000000-0005-0000-0000-00003E010000}"/>
    <cellStyle name="Normal 28" xfId="462" xr:uid="{00000000-0005-0000-0000-00003F010000}"/>
    <cellStyle name="Normal 3" xfId="6" xr:uid="{00000000-0005-0000-0000-000040010000}"/>
    <cellStyle name="Normal 3 2" xfId="312" xr:uid="{00000000-0005-0000-0000-000041010000}"/>
    <cellStyle name="Normal 3 2 2" xfId="313" xr:uid="{00000000-0005-0000-0000-000042010000}"/>
    <cellStyle name="Normal 3 2 2 2" xfId="314" xr:uid="{00000000-0005-0000-0000-000043010000}"/>
    <cellStyle name="Normal 3 2 2 2 2" xfId="315" xr:uid="{00000000-0005-0000-0000-000044010000}"/>
    <cellStyle name="Normal 3 2 2 2 2 2" xfId="316" xr:uid="{00000000-0005-0000-0000-000045010000}"/>
    <cellStyle name="Normal 3 2 2 2 3" xfId="317" xr:uid="{00000000-0005-0000-0000-000046010000}"/>
    <cellStyle name="Normal 3 2 2 3" xfId="318" xr:uid="{00000000-0005-0000-0000-000047010000}"/>
    <cellStyle name="Normal 3 2 2 3 2" xfId="319" xr:uid="{00000000-0005-0000-0000-000048010000}"/>
    <cellStyle name="Normal 3 2 2 4" xfId="320" xr:uid="{00000000-0005-0000-0000-000049010000}"/>
    <cellStyle name="Normal 3 2 3" xfId="321" xr:uid="{00000000-0005-0000-0000-00004A010000}"/>
    <cellStyle name="Normal 3 2 3 2" xfId="322" xr:uid="{00000000-0005-0000-0000-00004B010000}"/>
    <cellStyle name="Normal 3 2 3 2 2" xfId="323" xr:uid="{00000000-0005-0000-0000-00004C010000}"/>
    <cellStyle name="Normal 3 2 3 2 2 2" xfId="324" xr:uid="{00000000-0005-0000-0000-00004D010000}"/>
    <cellStyle name="Normal 3 2 3 2 3" xfId="325" xr:uid="{00000000-0005-0000-0000-00004E010000}"/>
    <cellStyle name="Normal 3 2 3 3" xfId="326" xr:uid="{00000000-0005-0000-0000-00004F010000}"/>
    <cellStyle name="Normal 3 2 3 3 2" xfId="327" xr:uid="{00000000-0005-0000-0000-000050010000}"/>
    <cellStyle name="Normal 3 2 3 4" xfId="328" xr:uid="{00000000-0005-0000-0000-000051010000}"/>
    <cellStyle name="Normal 3 2 4" xfId="329" xr:uid="{00000000-0005-0000-0000-000052010000}"/>
    <cellStyle name="Normal 3 2 4 2" xfId="330" xr:uid="{00000000-0005-0000-0000-000053010000}"/>
    <cellStyle name="Normal 3 2 4 2 2" xfId="331" xr:uid="{00000000-0005-0000-0000-000054010000}"/>
    <cellStyle name="Normal 3 2 4 3" xfId="332" xr:uid="{00000000-0005-0000-0000-000055010000}"/>
    <cellStyle name="Normal 3 2 5" xfId="333" xr:uid="{00000000-0005-0000-0000-000056010000}"/>
    <cellStyle name="Normal 3 2 5 2" xfId="334" xr:uid="{00000000-0005-0000-0000-000057010000}"/>
    <cellStyle name="Normal 3 2 6" xfId="335" xr:uid="{00000000-0005-0000-0000-000058010000}"/>
    <cellStyle name="Normal 3 3" xfId="336" xr:uid="{00000000-0005-0000-0000-000059010000}"/>
    <cellStyle name="Normal 3 3 2" xfId="337" xr:uid="{00000000-0005-0000-0000-00005A010000}"/>
    <cellStyle name="Normal 3 3 2 2" xfId="338" xr:uid="{00000000-0005-0000-0000-00005B010000}"/>
    <cellStyle name="Normal 3 3 2 2 2" xfId="339" xr:uid="{00000000-0005-0000-0000-00005C010000}"/>
    <cellStyle name="Normal 3 3 2 3" xfId="340" xr:uid="{00000000-0005-0000-0000-00005D010000}"/>
    <cellStyle name="Normal 3 3 3" xfId="341" xr:uid="{00000000-0005-0000-0000-00005E010000}"/>
    <cellStyle name="Normal 3 3 3 2" xfId="342" xr:uid="{00000000-0005-0000-0000-00005F010000}"/>
    <cellStyle name="Normal 3 3 4" xfId="343" xr:uid="{00000000-0005-0000-0000-000060010000}"/>
    <cellStyle name="Normal 3 4" xfId="474" xr:uid="{00000000-0005-0000-0000-000061010000}"/>
    <cellStyle name="Normal 4" xfId="344" xr:uid="{00000000-0005-0000-0000-000062010000}"/>
    <cellStyle name="Normal 4 2" xfId="345" xr:uid="{00000000-0005-0000-0000-000063010000}"/>
    <cellStyle name="Normal 4 3" xfId="346" xr:uid="{00000000-0005-0000-0000-000064010000}"/>
    <cellStyle name="Normal 4 3 2" xfId="347" xr:uid="{00000000-0005-0000-0000-000065010000}"/>
    <cellStyle name="Normal 4 3 2 2" xfId="348" xr:uid="{00000000-0005-0000-0000-000066010000}"/>
    <cellStyle name="Normal 4 3 2 2 2" xfId="349" xr:uid="{00000000-0005-0000-0000-000067010000}"/>
    <cellStyle name="Normal 4 3 2 3" xfId="350" xr:uid="{00000000-0005-0000-0000-000068010000}"/>
    <cellStyle name="Normal 4 3 3" xfId="351" xr:uid="{00000000-0005-0000-0000-000069010000}"/>
    <cellStyle name="Normal 4 3 3 2" xfId="352" xr:uid="{00000000-0005-0000-0000-00006A010000}"/>
    <cellStyle name="Normal 4 3 4" xfId="353" xr:uid="{00000000-0005-0000-0000-00006B010000}"/>
    <cellStyle name="Normal 5" xfId="354" xr:uid="{00000000-0005-0000-0000-00006C010000}"/>
    <cellStyle name="Normal 5 2" xfId="355" xr:uid="{00000000-0005-0000-0000-00006D010000}"/>
    <cellStyle name="Normal 5 2 2" xfId="356" xr:uid="{00000000-0005-0000-0000-00006E010000}"/>
    <cellStyle name="Normal 5 2 2 2" xfId="357" xr:uid="{00000000-0005-0000-0000-00006F010000}"/>
    <cellStyle name="Normal 5 2 2 2 2" xfId="358" xr:uid="{00000000-0005-0000-0000-000070010000}"/>
    <cellStyle name="Normal 5 2 2 3" xfId="359" xr:uid="{00000000-0005-0000-0000-000071010000}"/>
    <cellStyle name="Normal 5 2 3" xfId="360" xr:uid="{00000000-0005-0000-0000-000072010000}"/>
    <cellStyle name="Normal 5 2 3 2" xfId="361" xr:uid="{00000000-0005-0000-0000-000073010000}"/>
    <cellStyle name="Normal 5 2 4" xfId="362" xr:uid="{00000000-0005-0000-0000-000074010000}"/>
    <cellStyle name="Normal 6" xfId="363" xr:uid="{00000000-0005-0000-0000-000075010000}"/>
    <cellStyle name="Normal 6 2" xfId="364" xr:uid="{00000000-0005-0000-0000-000076010000}"/>
    <cellStyle name="Normal 6 2 2" xfId="365" xr:uid="{00000000-0005-0000-0000-000077010000}"/>
    <cellStyle name="Normal 6 2 2 2" xfId="366" xr:uid="{00000000-0005-0000-0000-000078010000}"/>
    <cellStyle name="Normal 6 2 2 2 2" xfId="367" xr:uid="{00000000-0005-0000-0000-000079010000}"/>
    <cellStyle name="Normal 6 2 2 3" xfId="368" xr:uid="{00000000-0005-0000-0000-00007A010000}"/>
    <cellStyle name="Normal 6 2 3" xfId="369" xr:uid="{00000000-0005-0000-0000-00007B010000}"/>
    <cellStyle name="Normal 6 2 3 2" xfId="370" xr:uid="{00000000-0005-0000-0000-00007C010000}"/>
    <cellStyle name="Normal 6 2 4" xfId="371" xr:uid="{00000000-0005-0000-0000-00007D010000}"/>
    <cellStyle name="Normal 7" xfId="372" xr:uid="{00000000-0005-0000-0000-00007E010000}"/>
    <cellStyle name="Normal 7 2" xfId="373" xr:uid="{00000000-0005-0000-0000-00007F010000}"/>
    <cellStyle name="Normal 7 2 2" xfId="374" xr:uid="{00000000-0005-0000-0000-000080010000}"/>
    <cellStyle name="Normal 7 2 2 2" xfId="375" xr:uid="{00000000-0005-0000-0000-000081010000}"/>
    <cellStyle name="Normal 7 2 2 2 2" xfId="376" xr:uid="{00000000-0005-0000-0000-000082010000}"/>
    <cellStyle name="Normal 7 2 2 3" xfId="377" xr:uid="{00000000-0005-0000-0000-000083010000}"/>
    <cellStyle name="Normal 7 2 3" xfId="378" xr:uid="{00000000-0005-0000-0000-000084010000}"/>
    <cellStyle name="Normal 7 2 3 2" xfId="379" xr:uid="{00000000-0005-0000-0000-000085010000}"/>
    <cellStyle name="Normal 7 2 4" xfId="380" xr:uid="{00000000-0005-0000-0000-000086010000}"/>
    <cellStyle name="Normal 8" xfId="381" xr:uid="{00000000-0005-0000-0000-000087010000}"/>
    <cellStyle name="Normal 9" xfId="382" xr:uid="{00000000-0005-0000-0000-000088010000}"/>
    <cellStyle name="Normal_Benefits Billing Rebills" xfId="475" xr:uid="{00000000-0005-0000-0000-000089010000}"/>
    <cellStyle name="Normal_Energy Efficiency" xfId="464" xr:uid="{00000000-0005-0000-0000-00008A010000}"/>
    <cellStyle name="Normal_Sheet1" xfId="467" xr:uid="{00000000-0005-0000-0000-00008B010000}"/>
    <cellStyle name="Note 2" xfId="383" xr:uid="{00000000-0005-0000-0000-00008C010000}"/>
    <cellStyle name="Note 2 2" xfId="384" xr:uid="{00000000-0005-0000-0000-00008D010000}"/>
    <cellStyle name="Note 2 2 2" xfId="385" xr:uid="{00000000-0005-0000-0000-00008E010000}"/>
    <cellStyle name="Note 2 2 2 2" xfId="386" xr:uid="{00000000-0005-0000-0000-00008F010000}"/>
    <cellStyle name="Note 2 2 3" xfId="387" xr:uid="{00000000-0005-0000-0000-000090010000}"/>
    <cellStyle name="Note 2 3" xfId="388" xr:uid="{00000000-0005-0000-0000-000091010000}"/>
    <cellStyle name="Note 2 3 2" xfId="389" xr:uid="{00000000-0005-0000-0000-000092010000}"/>
    <cellStyle name="Note 2 4" xfId="390" xr:uid="{00000000-0005-0000-0000-000093010000}"/>
    <cellStyle name="Note 3" xfId="391" xr:uid="{00000000-0005-0000-0000-000094010000}"/>
    <cellStyle name="Note 4" xfId="392" xr:uid="{00000000-0005-0000-0000-000095010000}"/>
    <cellStyle name="Note 5" xfId="393" xr:uid="{00000000-0005-0000-0000-000096010000}"/>
    <cellStyle name="Percent" xfId="4" builtinId="5"/>
    <cellStyle name="Percent 10" xfId="394" xr:uid="{00000000-0005-0000-0000-000098010000}"/>
    <cellStyle name="Percent 10 2" xfId="465" xr:uid="{00000000-0005-0000-0000-000099010000}"/>
    <cellStyle name="Percent 11" xfId="395" xr:uid="{00000000-0005-0000-0000-00009A010000}"/>
    <cellStyle name="Percent 12" xfId="396" xr:uid="{00000000-0005-0000-0000-00009B010000}"/>
    <cellStyle name="Percent 13" xfId="471" xr:uid="{00000000-0005-0000-0000-00009C010000}"/>
    <cellStyle name="Percent 2" xfId="397" xr:uid="{00000000-0005-0000-0000-00009D010000}"/>
    <cellStyle name="Percent 2 2" xfId="398" xr:uid="{00000000-0005-0000-0000-00009E010000}"/>
    <cellStyle name="Percent 2 2 2" xfId="399" xr:uid="{00000000-0005-0000-0000-00009F010000}"/>
    <cellStyle name="Percent 2 2 2 2" xfId="400" xr:uid="{00000000-0005-0000-0000-0000A0010000}"/>
    <cellStyle name="Percent 2 2 2 2 2" xfId="401" xr:uid="{00000000-0005-0000-0000-0000A1010000}"/>
    <cellStyle name="Percent 2 2 2 3" xfId="402" xr:uid="{00000000-0005-0000-0000-0000A2010000}"/>
    <cellStyle name="Percent 2 2 3" xfId="403" xr:uid="{00000000-0005-0000-0000-0000A3010000}"/>
    <cellStyle name="Percent 2 2 3 2" xfId="404" xr:uid="{00000000-0005-0000-0000-0000A4010000}"/>
    <cellStyle name="Percent 2 2 4" xfId="405" xr:uid="{00000000-0005-0000-0000-0000A5010000}"/>
    <cellStyle name="Percent 2 3" xfId="406" xr:uid="{00000000-0005-0000-0000-0000A6010000}"/>
    <cellStyle name="Percent 2 3 2" xfId="407" xr:uid="{00000000-0005-0000-0000-0000A7010000}"/>
    <cellStyle name="Percent 2 3 2 2" xfId="408" xr:uid="{00000000-0005-0000-0000-0000A8010000}"/>
    <cellStyle name="Percent 2 3 2 2 2" xfId="409" xr:uid="{00000000-0005-0000-0000-0000A9010000}"/>
    <cellStyle name="Percent 2 3 2 3" xfId="410" xr:uid="{00000000-0005-0000-0000-0000AA010000}"/>
    <cellStyle name="Percent 2 3 3" xfId="411" xr:uid="{00000000-0005-0000-0000-0000AB010000}"/>
    <cellStyle name="Percent 2 3 3 2" xfId="412" xr:uid="{00000000-0005-0000-0000-0000AC010000}"/>
    <cellStyle name="Percent 2 3 4" xfId="413" xr:uid="{00000000-0005-0000-0000-0000AD010000}"/>
    <cellStyle name="Percent 2 4" xfId="414" xr:uid="{00000000-0005-0000-0000-0000AE010000}"/>
    <cellStyle name="Percent 2 4 2" xfId="415" xr:uid="{00000000-0005-0000-0000-0000AF010000}"/>
    <cellStyle name="Percent 2 4 2 2" xfId="416" xr:uid="{00000000-0005-0000-0000-0000B0010000}"/>
    <cellStyle name="Percent 2 4 3" xfId="417" xr:uid="{00000000-0005-0000-0000-0000B1010000}"/>
    <cellStyle name="Percent 2 5" xfId="418" xr:uid="{00000000-0005-0000-0000-0000B2010000}"/>
    <cellStyle name="Percent 2 5 2" xfId="419" xr:uid="{00000000-0005-0000-0000-0000B3010000}"/>
    <cellStyle name="Percent 2 6" xfId="420" xr:uid="{00000000-0005-0000-0000-0000B4010000}"/>
    <cellStyle name="Percent 3" xfId="421" xr:uid="{00000000-0005-0000-0000-0000B5010000}"/>
    <cellStyle name="Percent 3 2" xfId="422" xr:uid="{00000000-0005-0000-0000-0000B6010000}"/>
    <cellStyle name="Percent 3 2 2" xfId="423" xr:uid="{00000000-0005-0000-0000-0000B7010000}"/>
    <cellStyle name="Percent 3 2 2 2" xfId="424" xr:uid="{00000000-0005-0000-0000-0000B8010000}"/>
    <cellStyle name="Percent 3 2 2 2 2" xfId="425" xr:uid="{00000000-0005-0000-0000-0000B9010000}"/>
    <cellStyle name="Percent 3 2 2 3" xfId="426" xr:uid="{00000000-0005-0000-0000-0000BA010000}"/>
    <cellStyle name="Percent 3 2 3" xfId="427" xr:uid="{00000000-0005-0000-0000-0000BB010000}"/>
    <cellStyle name="Percent 3 2 3 2" xfId="428" xr:uid="{00000000-0005-0000-0000-0000BC010000}"/>
    <cellStyle name="Percent 3 2 4" xfId="429" xr:uid="{00000000-0005-0000-0000-0000BD010000}"/>
    <cellStyle name="Percent 4" xfId="430" xr:uid="{00000000-0005-0000-0000-0000BE010000}"/>
    <cellStyle name="Percent 4 2" xfId="431" xr:uid="{00000000-0005-0000-0000-0000BF010000}"/>
    <cellStyle name="Percent 4 2 2" xfId="432" xr:uid="{00000000-0005-0000-0000-0000C0010000}"/>
    <cellStyle name="Percent 4 2 2 2" xfId="433" xr:uid="{00000000-0005-0000-0000-0000C1010000}"/>
    <cellStyle name="Percent 4 2 3" xfId="434" xr:uid="{00000000-0005-0000-0000-0000C2010000}"/>
    <cellStyle name="Percent 4 3" xfId="435" xr:uid="{00000000-0005-0000-0000-0000C3010000}"/>
    <cellStyle name="Percent 4 3 2" xfId="436" xr:uid="{00000000-0005-0000-0000-0000C4010000}"/>
    <cellStyle name="Percent 4 4" xfId="437" xr:uid="{00000000-0005-0000-0000-0000C5010000}"/>
    <cellStyle name="Percent 5" xfId="438" xr:uid="{00000000-0005-0000-0000-0000C6010000}"/>
    <cellStyle name="Percent 5 2" xfId="439" xr:uid="{00000000-0005-0000-0000-0000C7010000}"/>
    <cellStyle name="Percent 5 2 2" xfId="440" xr:uid="{00000000-0005-0000-0000-0000C8010000}"/>
    <cellStyle name="Percent 5 2 2 2" xfId="441" xr:uid="{00000000-0005-0000-0000-0000C9010000}"/>
    <cellStyle name="Percent 5 2 3" xfId="442" xr:uid="{00000000-0005-0000-0000-0000CA010000}"/>
    <cellStyle name="Percent 5 3" xfId="443" xr:uid="{00000000-0005-0000-0000-0000CB010000}"/>
    <cellStyle name="Percent 5 3 2" xfId="444" xr:uid="{00000000-0005-0000-0000-0000CC010000}"/>
    <cellStyle name="Percent 5 4" xfId="445" xr:uid="{00000000-0005-0000-0000-0000CD010000}"/>
    <cellStyle name="Percent 6" xfId="446" xr:uid="{00000000-0005-0000-0000-0000CE010000}"/>
    <cellStyle name="Percent 7" xfId="447" xr:uid="{00000000-0005-0000-0000-0000CF010000}"/>
    <cellStyle name="Percent 7 2" xfId="448" xr:uid="{00000000-0005-0000-0000-0000D0010000}"/>
    <cellStyle name="Percent 7 2 2" xfId="449" xr:uid="{00000000-0005-0000-0000-0000D1010000}"/>
    <cellStyle name="Percent 7 2 2 2" xfId="450" xr:uid="{00000000-0005-0000-0000-0000D2010000}"/>
    <cellStyle name="Percent 7 2 3" xfId="451" xr:uid="{00000000-0005-0000-0000-0000D3010000}"/>
    <cellStyle name="Percent 7 3" xfId="452" xr:uid="{00000000-0005-0000-0000-0000D4010000}"/>
    <cellStyle name="Percent 7 3 2" xfId="453" xr:uid="{00000000-0005-0000-0000-0000D5010000}"/>
    <cellStyle name="Percent 7 4" xfId="454" xr:uid="{00000000-0005-0000-0000-0000D6010000}"/>
    <cellStyle name="Percent 8" xfId="455" xr:uid="{00000000-0005-0000-0000-0000D7010000}"/>
    <cellStyle name="Percent 9" xfId="456" xr:uid="{00000000-0005-0000-0000-0000D8010000}"/>
    <cellStyle name="Percent 9 2" xfId="457" xr:uid="{00000000-0005-0000-0000-0000D9010000}"/>
    <cellStyle name="Percent 9 2 2" xfId="458" xr:uid="{00000000-0005-0000-0000-0000DA010000}"/>
    <cellStyle name="Percent 9 3" xfId="459" xr:uid="{00000000-0005-0000-0000-0000DB010000}"/>
  </cellStyles>
  <dxfs count="0"/>
  <tableStyles count="0" defaultTableStyle="TableStyleMedium9" defaultPivotStyle="PivotStyleLight16"/>
  <colors>
    <mruColors>
      <color rgb="FFFF99FF"/>
      <color rgb="FF09FF78"/>
      <color rgb="FFFFE5FF"/>
      <color rgb="FFFAE800"/>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microsoft.com/office/2017/10/relationships/person" Target="persons/person.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styles" Target="styles.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haredStrings" Target="sharedString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cap="none" spc="20" baseline="0">
                <a:solidFill>
                  <a:schemeClr val="tx1">
                    <a:lumMod val="50000"/>
                    <a:lumOff val="50000"/>
                  </a:schemeClr>
                </a:solidFill>
                <a:latin typeface="+mn-lt"/>
                <a:ea typeface="+mn-ea"/>
                <a:cs typeface="+mn-cs"/>
              </a:defRPr>
            </a:pPr>
            <a:r>
              <a:rPr lang="en-US" sz="1800"/>
              <a:t>Simulation</a:t>
            </a:r>
            <a:r>
              <a:rPr lang="en-US" sz="1800" baseline="0"/>
              <a:t> of Solar Install Using Bass Diffusion Model</a:t>
            </a:r>
            <a:endParaRPr lang="en-US" sz="1800"/>
          </a:p>
        </c:rich>
      </c:tx>
      <c:layout>
        <c:manualLayout>
          <c:xMode val="edge"/>
          <c:yMode val="edge"/>
          <c:x val="4.2090832763528901E-2"/>
          <c:y val="3.3288239622033242E-2"/>
        </c:manualLayout>
      </c:layout>
      <c:overlay val="0"/>
      <c:spPr>
        <a:noFill/>
        <a:ln>
          <a:noFill/>
        </a:ln>
        <a:effectLst/>
      </c:spPr>
    </c:title>
    <c:autoTitleDeleted val="0"/>
    <c:plotArea>
      <c:layout>
        <c:manualLayout>
          <c:layoutTarget val="inner"/>
          <c:xMode val="edge"/>
          <c:yMode val="edge"/>
          <c:x val="0.10775264987043894"/>
          <c:y val="0.14194929938809742"/>
          <c:w val="0.76448830814156821"/>
          <c:h val="0.73517025205476971"/>
        </c:manualLayout>
      </c:layout>
      <c:lineChart>
        <c:grouping val="standard"/>
        <c:varyColors val="1"/>
        <c:ser>
          <c:idx val="1"/>
          <c:order val="0"/>
          <c:tx>
            <c:v>Solar Installs</c:v>
          </c:tx>
          <c:spPr>
            <a:ln w="38100" cap="rnd">
              <a:solidFill>
                <a:schemeClr val="accent2"/>
              </a:solidFill>
              <a:round/>
            </a:ln>
            <a:effectLst>
              <a:outerShdw blurRad="40000" dist="20000" dir="5400000" rotWithShape="0">
                <a:srgbClr val="000000">
                  <a:alpha val="38000"/>
                </a:srgbClr>
              </a:outerShdw>
            </a:effectLst>
          </c:spPr>
          <c:marker>
            <c:symbol val="circle"/>
            <c:size val="5"/>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97.380273566702741</c:v>
              </c:pt>
              <c:pt idx="3">
                <c:v>145.66888105080321</c:v>
              </c:pt>
              <c:pt idx="4">
                <c:v>217.49427877527421</c:v>
              </c:pt>
              <c:pt idx="5">
                <c:v>323.82371591590913</c:v>
              </c:pt>
              <c:pt idx="6">
                <c:v>480.11385153949902</c:v>
              </c:pt>
              <c:pt idx="7">
                <c:v>707.38336901761852</c:v>
              </c:pt>
              <c:pt idx="8">
                <c:v>1032.5446725436504</c:v>
              </c:pt>
              <c:pt idx="9">
                <c:v>1486.4483159820315</c:v>
              </c:pt>
              <c:pt idx="10">
                <c:v>2096.6943804325356</c:v>
              </c:pt>
              <c:pt idx="11">
                <c:v>2870.8086630464086</c:v>
              </c:pt>
              <c:pt idx="12">
                <c:v>3766.2290661452248</c:v>
              </c:pt>
              <c:pt idx="13">
                <c:v>4652.592027370064</c:v>
              </c:pt>
              <c:pt idx="14">
                <c:v>5295.7252055608797</c:v>
              </c:pt>
              <c:pt idx="15">
                <c:v>5420.0378325592592</c:v>
              </c:pt>
              <c:pt idx="16">
                <c:v>4877.2991099626024</c:v>
              </c:pt>
              <c:pt idx="17">
                <c:v>3809.5673190442976</c:v>
              </c:pt>
              <c:pt idx="18">
                <c:v>2593.8413019408522</c:v>
              </c:pt>
              <c:pt idx="19">
                <c:v>1574.4881416946555</c:v>
              </c:pt>
              <c:pt idx="20">
                <c:v>880.02424297635025</c:v>
              </c:pt>
              <c:pt idx="21">
                <c:v>466.95284367883545</c:v>
              </c:pt>
              <c:pt idx="22">
                <c:v>240.51611118268201</c:v>
              </c:pt>
              <c:pt idx="23">
                <c:v>121.92120613147927</c:v>
              </c:pt>
              <c:pt idx="24">
                <c:v>61.293947058708</c:v>
              </c:pt>
              <c:pt idx="25">
                <c:v>30.685015521310561</c:v>
              </c:pt>
            </c:numLit>
          </c:val>
          <c:smooth val="0"/>
          <c:extLst>
            <c:ext xmlns:c16="http://schemas.microsoft.com/office/drawing/2014/chart" uri="{C3380CC4-5D6E-409C-BE32-E72D297353CC}">
              <c16:uniqueId val="{00000000-09F2-4654-9537-FD2D339D3741}"/>
            </c:ext>
          </c:extLst>
        </c:ser>
        <c:dLbls>
          <c:showLegendKey val="0"/>
          <c:showVal val="0"/>
          <c:showCatName val="0"/>
          <c:showSerName val="0"/>
          <c:showPercent val="0"/>
          <c:showBubbleSize val="0"/>
        </c:dLbls>
        <c:marker val="1"/>
        <c:smooth val="0"/>
        <c:axId val="422095272"/>
        <c:axId val="429754000"/>
      </c:lineChart>
      <c:lineChart>
        <c:grouping val="standard"/>
        <c:varyColors val="1"/>
        <c:ser>
          <c:idx val="2"/>
          <c:order val="1"/>
          <c:tx>
            <c:v>Cumulative Installs</c:v>
          </c:tx>
          <c:spPr>
            <a:ln w="38100" cap="rnd">
              <a:solidFill>
                <a:schemeClr val="accent3"/>
              </a:solidFill>
              <a:round/>
            </a:ln>
            <a:effectLst>
              <a:outerShdw blurRad="40000" dist="20000" dir="5400000" rotWithShape="0">
                <a:srgbClr val="000000">
                  <a:alpha val="38000"/>
                </a:srgbClr>
              </a:outerShdw>
            </a:effectLst>
          </c:spPr>
          <c:marker>
            <c:symbol val="circle"/>
            <c:size val="5"/>
            <c:spPr>
              <a:gradFill rotWithShape="1">
                <a:gsLst>
                  <a:gs pos="0">
                    <a:schemeClr val="accent3">
                      <a:tint val="50000"/>
                      <a:satMod val="300000"/>
                    </a:schemeClr>
                  </a:gs>
                  <a:gs pos="35000">
                    <a:schemeClr val="accent3">
                      <a:tint val="37000"/>
                      <a:satMod val="300000"/>
                    </a:schemeClr>
                  </a:gs>
                  <a:gs pos="100000">
                    <a:schemeClr val="accent3">
                      <a:tint val="15000"/>
                      <a:satMod val="350000"/>
                    </a:schemeClr>
                  </a:gs>
                </a:gsLst>
                <a:lin ang="16200000" scaled="1"/>
              </a:gradFill>
              <a:ln w="9525" cap="flat" cmpd="sng" algn="ctr">
                <a:solidFill>
                  <a:schemeClr val="accent3">
                    <a:shade val="95000"/>
                  </a:schemeClr>
                </a:solidFill>
                <a:round/>
              </a:ln>
              <a:effectLst>
                <a:outerShdw blurRad="40000" dist="20000" dir="5400000" rotWithShape="0">
                  <a:srgbClr val="000000">
                    <a:alpha val="38000"/>
                  </a:srgbClr>
                </a:outerShdw>
              </a:effectLst>
            </c:spPr>
          </c:marker>
          <c:cat>
            <c:strLit>
              <c:ptCount val="27"/>
              <c:pt idx="0">
                <c:v>Year</c:v>
              </c:pt>
              <c:pt idx="1">
                <c:v>2015</c:v>
              </c:pt>
              <c:pt idx="2">
                <c:v>2016</c:v>
              </c:pt>
              <c:pt idx="3">
                <c:v>2017</c:v>
              </c:pt>
              <c:pt idx="4">
                <c:v>2018</c:v>
              </c:pt>
              <c:pt idx="5">
                <c:v>2019</c:v>
              </c:pt>
              <c:pt idx="6">
                <c:v>2020</c:v>
              </c:pt>
              <c:pt idx="7">
                <c:v>2021</c:v>
              </c:pt>
              <c:pt idx="8">
                <c:v>2022</c:v>
              </c:pt>
              <c:pt idx="9">
                <c:v>2023</c:v>
              </c:pt>
              <c:pt idx="10">
                <c:v>2024</c:v>
              </c:pt>
              <c:pt idx="11">
                <c:v>2025</c:v>
              </c:pt>
              <c:pt idx="12">
                <c:v>2026</c:v>
              </c:pt>
              <c:pt idx="13">
                <c:v>2027</c:v>
              </c:pt>
              <c:pt idx="14">
                <c:v>2028</c:v>
              </c:pt>
              <c:pt idx="15">
                <c:v>2029</c:v>
              </c:pt>
              <c:pt idx="16">
                <c:v>2030</c:v>
              </c:pt>
              <c:pt idx="17">
                <c:v>2031</c:v>
              </c:pt>
              <c:pt idx="18">
                <c:v>2032</c:v>
              </c:pt>
              <c:pt idx="19">
                <c:v>2033</c:v>
              </c:pt>
              <c:pt idx="20">
                <c:v>2034</c:v>
              </c:pt>
              <c:pt idx="21">
                <c:v>2035</c:v>
              </c:pt>
              <c:pt idx="22">
                <c:v>2036</c:v>
              </c:pt>
              <c:pt idx="23">
                <c:v>2037</c:v>
              </c:pt>
              <c:pt idx="24">
                <c:v>2038</c:v>
              </c:pt>
              <c:pt idx="25">
                <c:v>2039</c:v>
              </c:pt>
              <c:pt idx="26">
                <c:v>2040</c:v>
              </c:pt>
            </c:strLit>
          </c:cat>
          <c:val>
            <c:numLit>
              <c:formatCode>General</c:formatCode>
              <c:ptCount val="26"/>
              <c:pt idx="0">
                <c:v>0</c:v>
              </c:pt>
              <c:pt idx="1">
                <c:v>65.017708941213726</c:v>
              </c:pt>
              <c:pt idx="2">
                <c:v>162.39798250791659</c:v>
              </c:pt>
              <c:pt idx="3">
                <c:v>308.06686355871955</c:v>
              </c:pt>
              <c:pt idx="4">
                <c:v>525.56114233399296</c:v>
              </c:pt>
              <c:pt idx="5">
                <c:v>849.38485824990357</c:v>
              </c:pt>
              <c:pt idx="6">
                <c:v>1329.4987097894038</c:v>
              </c:pt>
              <c:pt idx="7">
                <c:v>2036.8820788070198</c:v>
              </c:pt>
              <c:pt idx="8">
                <c:v>3069.4267513506707</c:v>
              </c:pt>
              <c:pt idx="9">
                <c:v>4555.8750673326995</c:v>
              </c:pt>
              <c:pt idx="10">
                <c:v>6652.5694477652414</c:v>
              </c:pt>
              <c:pt idx="11">
                <c:v>9523.3781108116455</c:v>
              </c:pt>
              <c:pt idx="12">
                <c:v>13289.60717695687</c:v>
              </c:pt>
              <c:pt idx="13">
                <c:v>17942.199204326895</c:v>
              </c:pt>
              <c:pt idx="14">
                <c:v>23237.924409887804</c:v>
              </c:pt>
              <c:pt idx="15">
                <c:v>28657.962242447062</c:v>
              </c:pt>
              <c:pt idx="16">
                <c:v>33535.261352409616</c:v>
              </c:pt>
              <c:pt idx="17">
                <c:v>37344.828671454015</c:v>
              </c:pt>
              <c:pt idx="18">
                <c:v>39938.669973394819</c:v>
              </c:pt>
              <c:pt idx="19">
                <c:v>41513.158115089493</c:v>
              </c:pt>
              <c:pt idx="20">
                <c:v>42393.182358065831</c:v>
              </c:pt>
              <c:pt idx="21">
                <c:v>42860.135201744655</c:v>
              </c:pt>
              <c:pt idx="22">
                <c:v>43100.651312927344</c:v>
              </c:pt>
              <c:pt idx="23">
                <c:v>43222.572519058915</c:v>
              </c:pt>
              <c:pt idx="24">
                <c:v>43283.866466117535</c:v>
              </c:pt>
              <c:pt idx="25">
                <c:v>43314.551481638824</c:v>
              </c:pt>
            </c:numLit>
          </c:val>
          <c:smooth val="0"/>
          <c:extLst>
            <c:ext xmlns:c16="http://schemas.microsoft.com/office/drawing/2014/chart" uri="{C3380CC4-5D6E-409C-BE32-E72D297353CC}">
              <c16:uniqueId val="{00000001-09F2-4654-9537-FD2D339D3741}"/>
            </c:ext>
          </c:extLst>
        </c:ser>
        <c:dLbls>
          <c:showLegendKey val="0"/>
          <c:showVal val="0"/>
          <c:showCatName val="0"/>
          <c:showSerName val="0"/>
          <c:showPercent val="0"/>
          <c:showBubbleSize val="0"/>
        </c:dLbls>
        <c:marker val="1"/>
        <c:smooth val="0"/>
        <c:axId val="429752432"/>
        <c:axId val="429753216"/>
      </c:lineChart>
      <c:catAx>
        <c:axId val="422095272"/>
        <c:scaling>
          <c:orientation val="minMax"/>
        </c:scaling>
        <c:delete val="0"/>
        <c:axPos val="b"/>
        <c:title>
          <c:tx>
            <c:rich>
              <a:bodyPr rot="0" spcFirstLastPara="1" vertOverflow="ellipsis" vert="horz" wrap="square" anchor="ctr" anchorCtr="1"/>
              <a:lstStyle/>
              <a:p>
                <a:pPr>
                  <a:defRPr sz="1200" b="0" i="0" u="none" strike="noStrike" kern="1200" cap="all" baseline="0">
                    <a:solidFill>
                      <a:schemeClr val="tx1">
                        <a:lumMod val="50000"/>
                        <a:lumOff val="50000"/>
                      </a:schemeClr>
                    </a:solidFill>
                    <a:latin typeface="+mn-lt"/>
                    <a:ea typeface="+mn-ea"/>
                    <a:cs typeface="+mn-cs"/>
                  </a:defRPr>
                </a:pPr>
                <a:r>
                  <a:rPr lang="en-US" sz="1200"/>
                  <a:t>YEAR</a:t>
                </a:r>
              </a:p>
            </c:rich>
          </c:tx>
          <c:layout>
            <c:manualLayout>
              <c:xMode val="edge"/>
              <c:yMode val="edge"/>
              <c:x val="0.43635153717000236"/>
              <c:y val="0.92372980446556152"/>
            </c:manualLayout>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429754000"/>
        <c:crosses val="autoZero"/>
        <c:auto val="1"/>
        <c:lblAlgn val="ctr"/>
        <c:lblOffset val="100"/>
        <c:tickLblSkip val="2"/>
        <c:tickMarkSkip val="1"/>
        <c:noMultiLvlLbl val="0"/>
      </c:catAx>
      <c:valAx>
        <c:axId val="4297540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Solar Installs</a:t>
                </a:r>
              </a:p>
            </c:rich>
          </c:tx>
          <c:layout>
            <c:manualLayout>
              <c:xMode val="edge"/>
              <c:yMode val="edge"/>
              <c:x val="2.159841999548754E-2"/>
              <c:y val="0.38534297194612743"/>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422095272"/>
        <c:crosses val="autoZero"/>
        <c:crossBetween val="between"/>
      </c:valAx>
      <c:catAx>
        <c:axId val="429752432"/>
        <c:scaling>
          <c:orientation val="minMax"/>
        </c:scaling>
        <c:delete val="1"/>
        <c:axPos val="b"/>
        <c:numFmt formatCode="General" sourceLinked="1"/>
        <c:majorTickMark val="none"/>
        <c:minorTickMark val="none"/>
        <c:tickLblPos val="none"/>
        <c:crossAx val="429753216"/>
        <c:crosses val="autoZero"/>
        <c:auto val="1"/>
        <c:lblAlgn val="ctr"/>
        <c:lblOffset val="100"/>
        <c:noMultiLvlLbl val="0"/>
      </c:catAx>
      <c:valAx>
        <c:axId val="429753216"/>
        <c:scaling>
          <c:orientation val="minMax"/>
        </c:scaling>
        <c:delete val="0"/>
        <c:axPos val="r"/>
        <c:title>
          <c:tx>
            <c:rich>
              <a:bodyPr rot="-5400000" spcFirstLastPara="1" vertOverflow="ellipsis" vert="horz" wrap="square" anchor="ctr" anchorCtr="1"/>
              <a:lstStyle/>
              <a:p>
                <a:pPr>
                  <a:defRPr sz="1100" b="0" i="0" u="none" strike="noStrike" kern="1200" cap="all" baseline="0">
                    <a:solidFill>
                      <a:schemeClr val="tx1">
                        <a:lumMod val="50000"/>
                        <a:lumOff val="50000"/>
                      </a:schemeClr>
                    </a:solidFill>
                    <a:latin typeface="+mn-lt"/>
                    <a:ea typeface="+mn-ea"/>
                    <a:cs typeface="+mn-cs"/>
                  </a:defRPr>
                </a:pPr>
                <a:r>
                  <a:rPr lang="en-US" sz="1100"/>
                  <a:t>Cumulative</a:t>
                </a:r>
                <a:r>
                  <a:rPr lang="en-US" sz="1100" baseline="0"/>
                  <a:t> Solar Installs</a:t>
                </a:r>
                <a:endParaRPr lang="en-US" sz="1100"/>
              </a:p>
            </c:rich>
          </c:tx>
          <c:layout>
            <c:manualLayout>
              <c:xMode val="edge"/>
              <c:yMode val="edge"/>
              <c:x val="0.94315602971785051"/>
              <c:y val="0.34205756696959588"/>
            </c:manualLayout>
          </c:layout>
          <c:overlay val="0"/>
          <c:spPr>
            <a:noFill/>
            <a:ln>
              <a:noFill/>
            </a:ln>
            <a:effectLst/>
          </c:spPr>
        </c:title>
        <c:numFmt formatCode="#,##0" sourceLinked="0"/>
        <c:majorTickMark val="none"/>
        <c:minorTickMark val="none"/>
        <c:tickLblPos val="nextTo"/>
        <c:spPr>
          <a:noFill/>
          <a:ln>
            <a:noFill/>
          </a:ln>
          <a:effectLst/>
        </c:spPr>
        <c:txPr>
          <a:bodyPr rot="0" spcFirstLastPara="1" vertOverflow="ellipsis" vert="horz" wrap="square" anchor="ctr" anchorCtr="1"/>
          <a:lstStyle/>
          <a:p>
            <a:pPr>
              <a:defRPr sz="1000" b="0" i="0" u="none" strike="noStrike" kern="1200" baseline="0">
                <a:solidFill>
                  <a:schemeClr val="tx1">
                    <a:lumMod val="50000"/>
                    <a:lumOff val="50000"/>
                  </a:schemeClr>
                </a:solidFill>
                <a:latin typeface="+mn-lt"/>
                <a:ea typeface="+mn-ea"/>
                <a:cs typeface="+mn-cs"/>
              </a:defRPr>
            </a:pPr>
            <a:endParaRPr lang="en-US"/>
          </a:p>
        </c:txPr>
        <c:crossAx val="429752432"/>
        <c:crosses val="max"/>
        <c:crossBetween val="between"/>
      </c:valAx>
      <c:spPr>
        <a:noFill/>
        <a:ln>
          <a:noFill/>
        </a:ln>
        <a:effectLst/>
      </c:spPr>
    </c:plotArea>
    <c:legend>
      <c:legendPos val="t"/>
      <c:layout>
        <c:manualLayout>
          <c:xMode val="edge"/>
          <c:yMode val="edge"/>
          <c:x val="0.63233436976580459"/>
          <c:y val="5.7929202616729673E-2"/>
          <c:w val="0.25415636934945396"/>
          <c:h val="3.73869698087232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alignWithMargins="0"/>
    <c:pageMargins b="1" l="0.75000000000000278" r="0.7500000000000027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'Natural Gas Meter Module Refres'!$E$29</c:f>
              <c:strCache>
                <c:ptCount val="1"/>
                <c:pt idx="0">
                  <c:v>Before</c:v>
                </c:pt>
              </c:strCache>
            </c:strRef>
          </c:tx>
          <c:spPr>
            <a:ln w="28575" cap="rnd">
              <a:solidFill>
                <a:schemeClr val="accent1"/>
              </a:solidFill>
              <a:round/>
            </a:ln>
            <a:effectLst/>
          </c:spPr>
          <c:marker>
            <c:symbol val="none"/>
          </c:marker>
          <c:val>
            <c:numRef>
              <c:f>'Natural Gas Meter Module Refres'!$E$30:$E$48</c:f>
              <c:numCache>
                <c:formatCode>_(* #,##0_);_(* \(#,##0\);_(* "-"??_);_(@_)</c:formatCode>
                <c:ptCount val="19"/>
                <c:pt idx="0">
                  <c:v>1031</c:v>
                </c:pt>
                <c:pt idx="1">
                  <c:v>1372</c:v>
                </c:pt>
                <c:pt idx="2">
                  <c:v>3001</c:v>
                </c:pt>
                <c:pt idx="3">
                  <c:v>3068</c:v>
                </c:pt>
                <c:pt idx="4">
                  <c:v>3660</c:v>
                </c:pt>
                <c:pt idx="5">
                  <c:v>4687</c:v>
                </c:pt>
                <c:pt idx="6">
                  <c:v>15819</c:v>
                </c:pt>
                <c:pt idx="7">
                  <c:v>22737</c:v>
                </c:pt>
                <c:pt idx="8">
                  <c:v>32371</c:v>
                </c:pt>
                <c:pt idx="9">
                  <c:v>34874</c:v>
                </c:pt>
                <c:pt idx="10">
                  <c:v>44395</c:v>
                </c:pt>
                <c:pt idx="11">
                  <c:v>46120</c:v>
                </c:pt>
                <c:pt idx="12">
                  <c:v>49518</c:v>
                </c:pt>
                <c:pt idx="13">
                  <c:v>52426</c:v>
                </c:pt>
                <c:pt idx="14">
                  <c:v>56607</c:v>
                </c:pt>
                <c:pt idx="15">
                  <c:v>59366</c:v>
                </c:pt>
                <c:pt idx="16">
                  <c:v>63116</c:v>
                </c:pt>
                <c:pt idx="17">
                  <c:v>66337</c:v>
                </c:pt>
                <c:pt idx="18">
                  <c:v>66637</c:v>
                </c:pt>
              </c:numCache>
            </c:numRef>
          </c:val>
          <c:smooth val="0"/>
          <c:extLst>
            <c:ext xmlns:c16="http://schemas.microsoft.com/office/drawing/2014/chart" uri="{C3380CC4-5D6E-409C-BE32-E72D297353CC}">
              <c16:uniqueId val="{00000000-D063-44A5-B8A8-04A05163B2B6}"/>
            </c:ext>
          </c:extLst>
        </c:ser>
        <c:ser>
          <c:idx val="1"/>
          <c:order val="1"/>
          <c:tx>
            <c:strRef>
              <c:f>'Natural Gas Meter Module Refres'!$F$29</c:f>
              <c:strCache>
                <c:ptCount val="1"/>
                <c:pt idx="0">
                  <c:v>After</c:v>
                </c:pt>
              </c:strCache>
            </c:strRef>
          </c:tx>
          <c:spPr>
            <a:ln w="28575" cap="rnd">
              <a:solidFill>
                <a:schemeClr val="accent2"/>
              </a:solidFill>
              <a:round/>
            </a:ln>
            <a:effectLst/>
          </c:spPr>
          <c:marker>
            <c:symbol val="none"/>
          </c:marker>
          <c:val>
            <c:numRef>
              <c:f>'Natural Gas Meter Module Refres'!$F$30:$F$48</c:f>
              <c:numCache>
                <c:formatCode>_(* #,##0_);_(* \(#,##0\);_(* "-"??_);_(@_)</c:formatCode>
                <c:ptCount val="19"/>
                <c:pt idx="0">
                  <c:v>3000</c:v>
                </c:pt>
                <c:pt idx="1">
                  <c:v>6000</c:v>
                </c:pt>
                <c:pt idx="2">
                  <c:v>9000</c:v>
                </c:pt>
                <c:pt idx="3">
                  <c:v>12000</c:v>
                </c:pt>
                <c:pt idx="4">
                  <c:v>15000</c:v>
                </c:pt>
                <c:pt idx="5">
                  <c:v>20000</c:v>
                </c:pt>
                <c:pt idx="6">
                  <c:v>25000</c:v>
                </c:pt>
                <c:pt idx="7">
                  <c:v>30000</c:v>
                </c:pt>
                <c:pt idx="8">
                  <c:v>35000</c:v>
                </c:pt>
                <c:pt idx="9">
                  <c:v>40000</c:v>
                </c:pt>
                <c:pt idx="10">
                  <c:v>45000</c:v>
                </c:pt>
                <c:pt idx="11">
                  <c:v>48000</c:v>
                </c:pt>
                <c:pt idx="12">
                  <c:v>51000</c:v>
                </c:pt>
                <c:pt idx="13">
                  <c:v>54000</c:v>
                </c:pt>
                <c:pt idx="14">
                  <c:v>57000</c:v>
                </c:pt>
                <c:pt idx="15">
                  <c:v>60000</c:v>
                </c:pt>
                <c:pt idx="16">
                  <c:v>63000</c:v>
                </c:pt>
                <c:pt idx="17">
                  <c:v>66000</c:v>
                </c:pt>
                <c:pt idx="18">
                  <c:v>66637</c:v>
                </c:pt>
              </c:numCache>
            </c:numRef>
          </c:val>
          <c:smooth val="0"/>
          <c:extLst>
            <c:ext xmlns:c16="http://schemas.microsoft.com/office/drawing/2014/chart" uri="{C3380CC4-5D6E-409C-BE32-E72D297353CC}">
              <c16:uniqueId val="{00000001-D063-44A5-B8A8-04A05163B2B6}"/>
            </c:ext>
          </c:extLst>
        </c:ser>
        <c:dLbls>
          <c:showLegendKey val="0"/>
          <c:showVal val="0"/>
          <c:showCatName val="0"/>
          <c:showSerName val="0"/>
          <c:showPercent val="0"/>
          <c:showBubbleSize val="0"/>
        </c:dLbls>
        <c:smooth val="0"/>
        <c:axId val="429750864"/>
        <c:axId val="429753608"/>
      </c:lineChart>
      <c:catAx>
        <c:axId val="429750864"/>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53608"/>
        <c:crosses val="autoZero"/>
        <c:auto val="1"/>
        <c:lblAlgn val="ctr"/>
        <c:lblOffset val="100"/>
        <c:noMultiLvlLbl val="0"/>
      </c:catAx>
      <c:valAx>
        <c:axId val="429753608"/>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975086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image" Target="../media/image2.gif"/><Relationship Id="rId2" Type="http://schemas.openxmlformats.org/officeDocument/2006/relationships/image" Target="../media/image1.gif"/><Relationship Id="rId1" Type="http://schemas.openxmlformats.org/officeDocument/2006/relationships/hyperlink" Target="javascript:TextPopup(this)" TargetMode="External"/><Relationship Id="rId5" Type="http://schemas.openxmlformats.org/officeDocument/2006/relationships/image" Target="../media/image4.gif"/><Relationship Id="rId4" Type="http://schemas.openxmlformats.org/officeDocument/2006/relationships/image" Target="../media/image3.gif"/></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7.jpeg"/><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0</xdr:col>
      <xdr:colOff>0</xdr:colOff>
      <xdr:row>21</xdr:row>
      <xdr:rowOff>171450</xdr:rowOff>
    </xdr:from>
    <xdr:to>
      <xdr:col>11</xdr:col>
      <xdr:colOff>372533</xdr:colOff>
      <xdr:row>51</xdr:row>
      <xdr:rowOff>160867</xdr:rowOff>
    </xdr:to>
    <xdr:graphicFrame macro="">
      <xdr:nvGraphicFramePr>
        <xdr:cNvPr id="3" name="Chart 2">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74295</xdr:colOff>
      <xdr:row>27</xdr:row>
      <xdr:rowOff>139065</xdr:rowOff>
    </xdr:from>
    <xdr:to>
      <xdr:col>12</xdr:col>
      <xdr:colOff>539115</xdr:colOff>
      <xdr:row>42</xdr:row>
      <xdr:rowOff>139065</xdr:rowOff>
    </xdr:to>
    <xdr:graphicFrame macro="">
      <xdr:nvGraphicFramePr>
        <xdr:cNvPr id="2" name="Chart 1">
          <a:extLst>
            <a:ext uri="{FF2B5EF4-FFF2-40B4-BE49-F238E27FC236}">
              <a16:creationId xmlns:a16="http://schemas.microsoft.com/office/drawing/2014/main" id="{00000000-0008-0000-1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51</xdr:row>
      <xdr:rowOff>0</xdr:rowOff>
    </xdr:from>
    <xdr:to>
      <xdr:col>0</xdr:col>
      <xdr:colOff>76200</xdr:colOff>
      <xdr:row>51</xdr:row>
      <xdr:rowOff>66675</xdr:rowOff>
    </xdr:to>
    <xdr:pic>
      <xdr:nvPicPr>
        <xdr:cNvPr id="2" name="Picture 1"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2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026795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51</xdr:row>
      <xdr:rowOff>0</xdr:rowOff>
    </xdr:from>
    <xdr:to>
      <xdr:col>0</xdr:col>
      <xdr:colOff>152400</xdr:colOff>
      <xdr:row>51</xdr:row>
      <xdr:rowOff>123825</xdr:rowOff>
    </xdr:to>
    <xdr:pic>
      <xdr:nvPicPr>
        <xdr:cNvPr id="3" name="Picture 2"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3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5725" y="1026795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61</xdr:row>
      <xdr:rowOff>0</xdr:rowOff>
    </xdr:from>
    <xdr:to>
      <xdr:col>1</xdr:col>
      <xdr:colOff>76200</xdr:colOff>
      <xdr:row>61</xdr:row>
      <xdr:rowOff>66675</xdr:rowOff>
    </xdr:to>
    <xdr:pic>
      <xdr:nvPicPr>
        <xdr:cNvPr id="4" name="Picture 3"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2849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61</xdr:row>
      <xdr:rowOff>0</xdr:rowOff>
    </xdr:from>
    <xdr:to>
      <xdr:col>1</xdr:col>
      <xdr:colOff>152400</xdr:colOff>
      <xdr:row>61</xdr:row>
      <xdr:rowOff>123825</xdr:rowOff>
    </xdr:to>
    <xdr:pic>
      <xdr:nvPicPr>
        <xdr:cNvPr id="5" name="Picture 4"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5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2849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0</xdr:rowOff>
    </xdr:from>
    <xdr:to>
      <xdr:col>1</xdr:col>
      <xdr:colOff>190500</xdr:colOff>
      <xdr:row>63</xdr:row>
      <xdr:rowOff>133350</xdr:rowOff>
    </xdr:to>
    <xdr:pic>
      <xdr:nvPicPr>
        <xdr:cNvPr id="6" name="Picture 5" descr="http://avanet/departments/contactcenter/help/Images/context_menu.gif">
          <a:extLst>
            <a:ext uri="{FF2B5EF4-FFF2-40B4-BE49-F238E27FC236}">
              <a16:creationId xmlns:a16="http://schemas.microsoft.com/office/drawing/2014/main" id="{00000000-0008-0000-2600-000006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363980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65</xdr:row>
      <xdr:rowOff>0</xdr:rowOff>
    </xdr:from>
    <xdr:to>
      <xdr:col>1</xdr:col>
      <xdr:colOff>142875</xdr:colOff>
      <xdr:row>65</xdr:row>
      <xdr:rowOff>142875</xdr:rowOff>
    </xdr:to>
    <xdr:pic>
      <xdr:nvPicPr>
        <xdr:cNvPr id="7" name="Picture 6" descr="http://avanet/departments/contactcenter/help/Images/add_context.gif">
          <a:extLst>
            <a:ext uri="{FF2B5EF4-FFF2-40B4-BE49-F238E27FC236}">
              <a16:creationId xmlns:a16="http://schemas.microsoft.com/office/drawing/2014/main" id="{00000000-0008-0000-2600-000007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142398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73</xdr:row>
      <xdr:rowOff>0</xdr:rowOff>
    </xdr:from>
    <xdr:to>
      <xdr:col>1</xdr:col>
      <xdr:colOff>76200</xdr:colOff>
      <xdr:row>73</xdr:row>
      <xdr:rowOff>66675</xdr:rowOff>
    </xdr:to>
    <xdr:pic>
      <xdr:nvPicPr>
        <xdr:cNvPr id="8" name="Picture 7"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190500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73</xdr:row>
      <xdr:rowOff>0</xdr:rowOff>
    </xdr:from>
    <xdr:to>
      <xdr:col>1</xdr:col>
      <xdr:colOff>152400</xdr:colOff>
      <xdr:row>73</xdr:row>
      <xdr:rowOff>123825</xdr:rowOff>
    </xdr:to>
    <xdr:pic>
      <xdr:nvPicPr>
        <xdr:cNvPr id="9" name="Picture 8"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9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190500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75</xdr:row>
      <xdr:rowOff>0</xdr:rowOff>
    </xdr:from>
    <xdr:to>
      <xdr:col>1</xdr:col>
      <xdr:colOff>190500</xdr:colOff>
      <xdr:row>75</xdr:row>
      <xdr:rowOff>133350</xdr:rowOff>
    </xdr:to>
    <xdr:pic>
      <xdr:nvPicPr>
        <xdr:cNvPr id="10" name="Picture 9" descr="http://avanet/departments/contactcenter/help/Images/context_menu.gif">
          <a:extLst>
            <a:ext uri="{FF2B5EF4-FFF2-40B4-BE49-F238E27FC236}">
              <a16:creationId xmlns:a16="http://schemas.microsoft.com/office/drawing/2014/main" id="{00000000-0008-0000-2600-00000A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19840575"/>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77</xdr:row>
      <xdr:rowOff>0</xdr:rowOff>
    </xdr:from>
    <xdr:to>
      <xdr:col>1</xdr:col>
      <xdr:colOff>142875</xdr:colOff>
      <xdr:row>77</xdr:row>
      <xdr:rowOff>142875</xdr:rowOff>
    </xdr:to>
    <xdr:pic>
      <xdr:nvPicPr>
        <xdr:cNvPr id="11" name="Picture 10" descr="http://avanet/departments/contactcenter/help/Images/add_context.gif">
          <a:extLst>
            <a:ext uri="{FF2B5EF4-FFF2-40B4-BE49-F238E27FC236}">
              <a16:creationId xmlns:a16="http://schemas.microsoft.com/office/drawing/2014/main" id="{00000000-0008-0000-2600-00000B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0640675"/>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80</xdr:row>
      <xdr:rowOff>0</xdr:rowOff>
    </xdr:from>
    <xdr:to>
      <xdr:col>1</xdr:col>
      <xdr:colOff>76200</xdr:colOff>
      <xdr:row>80</xdr:row>
      <xdr:rowOff>66675</xdr:rowOff>
    </xdr:to>
    <xdr:pic>
      <xdr:nvPicPr>
        <xdr:cNvPr id="12" name="Picture 11"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22974300"/>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80</xdr:row>
      <xdr:rowOff>0</xdr:rowOff>
    </xdr:from>
    <xdr:to>
      <xdr:col>1</xdr:col>
      <xdr:colOff>152400</xdr:colOff>
      <xdr:row>80</xdr:row>
      <xdr:rowOff>123825</xdr:rowOff>
    </xdr:to>
    <xdr:pic>
      <xdr:nvPicPr>
        <xdr:cNvPr id="13" name="Picture 12"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0D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22974300"/>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87</xdr:row>
      <xdr:rowOff>0</xdr:rowOff>
    </xdr:from>
    <xdr:to>
      <xdr:col>1</xdr:col>
      <xdr:colOff>190500</xdr:colOff>
      <xdr:row>87</xdr:row>
      <xdr:rowOff>133350</xdr:rowOff>
    </xdr:to>
    <xdr:pic>
      <xdr:nvPicPr>
        <xdr:cNvPr id="14" name="Picture 13" descr="http://avanet/departments/contactcenter/help/Images/context_menu.gif">
          <a:extLst>
            <a:ext uri="{FF2B5EF4-FFF2-40B4-BE49-F238E27FC236}">
              <a16:creationId xmlns:a16="http://schemas.microsoft.com/office/drawing/2014/main" id="{00000000-0008-0000-26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3371850" y="27565350"/>
          <a:ext cx="190500" cy="133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88</xdr:row>
      <xdr:rowOff>0</xdr:rowOff>
    </xdr:from>
    <xdr:to>
      <xdr:col>1</xdr:col>
      <xdr:colOff>142875</xdr:colOff>
      <xdr:row>88</xdr:row>
      <xdr:rowOff>142875</xdr:rowOff>
    </xdr:to>
    <xdr:pic>
      <xdr:nvPicPr>
        <xdr:cNvPr id="15" name="Picture 14" descr="http://avanet/departments/contactcenter/help/Images/add_context.gif">
          <a:extLst>
            <a:ext uri="{FF2B5EF4-FFF2-40B4-BE49-F238E27FC236}">
              <a16:creationId xmlns:a16="http://schemas.microsoft.com/office/drawing/2014/main" id="{00000000-0008-0000-2600-00000F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71850" y="27965400"/>
          <a:ext cx="142875"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97</xdr:row>
      <xdr:rowOff>0</xdr:rowOff>
    </xdr:from>
    <xdr:to>
      <xdr:col>1</xdr:col>
      <xdr:colOff>76200</xdr:colOff>
      <xdr:row>97</xdr:row>
      <xdr:rowOff>66675</xdr:rowOff>
    </xdr:to>
    <xdr:pic>
      <xdr:nvPicPr>
        <xdr:cNvPr id="16" name="Picture 15" descr="http://avanet/departments/contactcenter/help/Images/Green_Hide.gif">
          <a:hlinkClick xmlns:r="http://schemas.openxmlformats.org/officeDocument/2006/relationships" r:id="rId1"/>
          <a:extLst>
            <a:ext uri="{FF2B5EF4-FFF2-40B4-BE49-F238E27FC236}">
              <a16:creationId xmlns:a16="http://schemas.microsoft.com/office/drawing/2014/main" id="{00000000-0008-0000-26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371850" y="35328225"/>
          <a:ext cx="76200" cy="666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97</xdr:row>
      <xdr:rowOff>0</xdr:rowOff>
    </xdr:from>
    <xdr:to>
      <xdr:col>1</xdr:col>
      <xdr:colOff>152400</xdr:colOff>
      <xdr:row>97</xdr:row>
      <xdr:rowOff>123825</xdr:rowOff>
    </xdr:to>
    <xdr:pic>
      <xdr:nvPicPr>
        <xdr:cNvPr id="17" name="Picture 16" descr="http://avanet/departments/contactcenter/help/Images/Green_Browse_Right.gif">
          <a:hlinkClick xmlns:r="http://schemas.openxmlformats.org/officeDocument/2006/relationships" r:id="rId1"/>
          <a:extLst>
            <a:ext uri="{FF2B5EF4-FFF2-40B4-BE49-F238E27FC236}">
              <a16:creationId xmlns:a16="http://schemas.microsoft.com/office/drawing/2014/main" id="{00000000-0008-0000-2600-000011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57575" y="35328225"/>
          <a:ext cx="6667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53</xdr:row>
      <xdr:rowOff>0</xdr:rowOff>
    </xdr:from>
    <xdr:to>
      <xdr:col>4</xdr:col>
      <xdr:colOff>191960</xdr:colOff>
      <xdr:row>64</xdr:row>
      <xdr:rowOff>10527</xdr:rowOff>
    </xdr:to>
    <xdr:pic>
      <xdr:nvPicPr>
        <xdr:cNvPr id="2" name="Picture 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350" y="10839450"/>
          <a:ext cx="4001960" cy="2220327"/>
        </a:xfrm>
        <a:prstGeom prst="rect">
          <a:avLst/>
        </a:prstGeom>
        <a:noFill/>
        <a:ln w="1">
          <a:noFill/>
          <a:miter lim="800000"/>
          <a:headEnd/>
          <a:tailEnd type="none" w="med" len="med"/>
        </a:ln>
        <a:effec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47</xdr:row>
      <xdr:rowOff>190500</xdr:rowOff>
    </xdr:from>
    <xdr:to>
      <xdr:col>1</xdr:col>
      <xdr:colOff>4591050</xdr:colOff>
      <xdr:row>59</xdr:row>
      <xdr:rowOff>76200</xdr:rowOff>
    </xdr:to>
    <xdr:pic>
      <xdr:nvPicPr>
        <xdr:cNvPr id="4" name="Picture 3">
          <a:extLst>
            <a:ext uri="{FF2B5EF4-FFF2-40B4-BE49-F238E27FC236}">
              <a16:creationId xmlns:a16="http://schemas.microsoft.com/office/drawing/2014/main" id="{00000000-0008-0000-1C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0848975"/>
          <a:ext cx="4867275" cy="2286000"/>
        </a:xfrm>
        <a:prstGeom prst="rect">
          <a:avLst/>
        </a:prstGeom>
        <a:noFill/>
        <a:ln w="9525">
          <a:noFill/>
          <a:miter lim="800000"/>
          <a:headEnd/>
          <a:tailEnd/>
        </a:ln>
        <a:effectLst/>
      </xdr:spPr>
    </xdr:pic>
    <xdr:clientData/>
  </xdr:twoCellAnchor>
  <xdr:twoCellAnchor editAs="oneCell">
    <xdr:from>
      <xdr:col>0</xdr:col>
      <xdr:colOff>0</xdr:colOff>
      <xdr:row>35</xdr:row>
      <xdr:rowOff>114300</xdr:rowOff>
    </xdr:from>
    <xdr:to>
      <xdr:col>2</xdr:col>
      <xdr:colOff>0</xdr:colOff>
      <xdr:row>46</xdr:row>
      <xdr:rowOff>153440</xdr:rowOff>
    </xdr:to>
    <xdr:pic>
      <xdr:nvPicPr>
        <xdr:cNvPr id="5" name="Picture 4">
          <a:extLst>
            <a:ext uri="{FF2B5EF4-FFF2-40B4-BE49-F238E27FC236}">
              <a16:creationId xmlns:a16="http://schemas.microsoft.com/office/drawing/2014/main" id="{00000000-0008-0000-1C00-00000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8305800"/>
          <a:ext cx="4886325" cy="2306090"/>
        </a:xfrm>
        <a:prstGeom prst="rect">
          <a:avLst/>
        </a:prstGeom>
        <a:noFill/>
        <a:ln w="9525">
          <a:noFill/>
          <a:miter lim="800000"/>
          <a:headEnd/>
          <a:tailEn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58</xdr:row>
      <xdr:rowOff>142875</xdr:rowOff>
    </xdr:from>
    <xdr:to>
      <xdr:col>4</xdr:col>
      <xdr:colOff>133350</xdr:colOff>
      <xdr:row>83</xdr:row>
      <xdr:rowOff>171450</xdr:rowOff>
    </xdr:to>
    <xdr:pic>
      <xdr:nvPicPr>
        <xdr:cNvPr id="3" name="Picture 2">
          <a:extLst>
            <a:ext uri="{FF2B5EF4-FFF2-40B4-BE49-F238E27FC236}">
              <a16:creationId xmlns:a16="http://schemas.microsoft.com/office/drawing/2014/main" id="{00000000-0008-0000-1D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515850"/>
          <a:ext cx="6467475" cy="5029200"/>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2D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dvanced%20Metering\AMI%20Washington\Project%20Initiation\Meter%20Hardware%20Budget%20(version%2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2016.corp.com/Advanced%20Metering/AMI%20Washington/Project%20Initiation/Meter%20Hardware%20Budget%20(version%2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vistacorp.sharepoint.com/Advanced%20Metering/AMI%20Washington/Project%20Initiation/Meter%20Hardware%20Budget%20(version%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ypeToForm"/>
      <sheetName val="Decode"/>
      <sheetName val="Final Count &amp; Pricing"/>
      <sheetName val="Sheet1"/>
      <sheetName val="PivotByFeeder"/>
      <sheetName val="ByFeeder"/>
      <sheetName val="BySub"/>
      <sheetName val="EquipCost"/>
      <sheetName val="Sheet2"/>
      <sheetName val="Options"/>
      <sheetName val="Departmental"/>
    </sheetNames>
    <sheetDataSet>
      <sheetData sheetId="0"/>
      <sheetData sheetId="1">
        <row r="1">
          <cell r="B1" t="str">
            <v>Row Labels</v>
          </cell>
          <cell r="C1" t="str">
            <v>Count of MFG Type</v>
          </cell>
          <cell r="D1" t="str">
            <v>Form</v>
          </cell>
          <cell r="E1" t="str">
            <v>Comment</v>
          </cell>
        </row>
        <row r="2">
          <cell r="B2" t="str">
            <v>A1D10A</v>
          </cell>
          <cell r="C2">
            <v>1</v>
          </cell>
          <cell r="D2" t="str">
            <v>9S</v>
          </cell>
          <cell r="E2">
            <v>0</v>
          </cell>
        </row>
        <row r="3">
          <cell r="B3" t="str">
            <v>A1DA</v>
          </cell>
          <cell r="C3">
            <v>1</v>
          </cell>
          <cell r="D3" t="str">
            <v>9S</v>
          </cell>
          <cell r="E3">
            <v>0</v>
          </cell>
        </row>
        <row r="4">
          <cell r="B4" t="str">
            <v>C1S</v>
          </cell>
          <cell r="C4">
            <v>1</v>
          </cell>
          <cell r="D4" t="str">
            <v>2S</v>
          </cell>
          <cell r="E4">
            <v>0</v>
          </cell>
        </row>
        <row r="5">
          <cell r="B5" t="str">
            <v>C1SDR3</v>
          </cell>
          <cell r="C5">
            <v>21</v>
          </cell>
          <cell r="D5" t="str">
            <v>2S</v>
          </cell>
          <cell r="E5" t="str">
            <v>some of the I70 are 3S meters when have CT</v>
          </cell>
        </row>
        <row r="6">
          <cell r="B6" t="str">
            <v>C1SDR33S</v>
          </cell>
          <cell r="C6">
            <v>10</v>
          </cell>
          <cell r="D6" t="str">
            <v>3S</v>
          </cell>
          <cell r="E6">
            <v>0</v>
          </cell>
        </row>
        <row r="7">
          <cell r="B7" t="str">
            <v>C1SR HPP</v>
          </cell>
          <cell r="C7">
            <v>4</v>
          </cell>
          <cell r="D7" t="str">
            <v>2S</v>
          </cell>
          <cell r="E7">
            <v>0</v>
          </cell>
        </row>
        <row r="8">
          <cell r="B8" t="str">
            <v>C1SR12S Autorange</v>
          </cell>
          <cell r="C8">
            <v>1</v>
          </cell>
          <cell r="D8" t="str">
            <v>12S 3Phase</v>
          </cell>
          <cell r="E8">
            <v>0</v>
          </cell>
        </row>
        <row r="9">
          <cell r="B9" t="str">
            <v>CP1SDR316S</v>
          </cell>
          <cell r="C9">
            <v>10</v>
          </cell>
          <cell r="D9" t="str">
            <v>16S</v>
          </cell>
          <cell r="E9">
            <v>0</v>
          </cell>
        </row>
        <row r="10">
          <cell r="B10" t="str">
            <v>CP1SDR345S</v>
          </cell>
          <cell r="C10">
            <v>49</v>
          </cell>
          <cell r="D10" t="str">
            <v>45S</v>
          </cell>
          <cell r="E10">
            <v>0</v>
          </cell>
        </row>
        <row r="11">
          <cell r="B11" t="str">
            <v>CP1SDR39S</v>
          </cell>
          <cell r="C11">
            <v>53</v>
          </cell>
          <cell r="D11" t="str">
            <v>9S</v>
          </cell>
          <cell r="E11">
            <v>0</v>
          </cell>
        </row>
        <row r="12">
          <cell r="B12" t="str">
            <v>CP1SDR39SR</v>
          </cell>
          <cell r="C12">
            <v>2</v>
          </cell>
          <cell r="D12" t="str">
            <v>9S</v>
          </cell>
          <cell r="E12">
            <v>0</v>
          </cell>
        </row>
        <row r="13">
          <cell r="B13" t="str">
            <v>CP1SR16S</v>
          </cell>
          <cell r="C13">
            <v>31</v>
          </cell>
          <cell r="D13" t="str">
            <v>16S</v>
          </cell>
          <cell r="E13">
            <v>0</v>
          </cell>
        </row>
        <row r="14">
          <cell r="B14" t="str">
            <v>EVX4</v>
          </cell>
          <cell r="C14">
            <v>1</v>
          </cell>
          <cell r="D14" t="str">
            <v>2S</v>
          </cell>
          <cell r="E14">
            <v>0</v>
          </cell>
        </row>
        <row r="15">
          <cell r="B15" t="str">
            <v>I50S</v>
          </cell>
          <cell r="C15">
            <v>1</v>
          </cell>
          <cell r="D15" t="str">
            <v>2S</v>
          </cell>
          <cell r="E15">
            <v>0</v>
          </cell>
        </row>
        <row r="16">
          <cell r="B16" t="str">
            <v>I70S</v>
          </cell>
          <cell r="C16">
            <v>1</v>
          </cell>
          <cell r="D16" t="str">
            <v>2S</v>
          </cell>
          <cell r="E16">
            <v>0</v>
          </cell>
        </row>
        <row r="17">
          <cell r="B17" t="str">
            <v>IM50S</v>
          </cell>
          <cell r="C17">
            <v>4</v>
          </cell>
          <cell r="D17" t="str">
            <v>2S</v>
          </cell>
          <cell r="E17">
            <v>0</v>
          </cell>
        </row>
        <row r="18">
          <cell r="B18" t="str">
            <v>IM70S</v>
          </cell>
          <cell r="C18">
            <v>15</v>
          </cell>
          <cell r="D18" t="str">
            <v>2S</v>
          </cell>
          <cell r="E18">
            <v>0</v>
          </cell>
        </row>
        <row r="19">
          <cell r="B19" t="str">
            <v>KV10A</v>
          </cell>
          <cell r="C19">
            <v>2</v>
          </cell>
          <cell r="D19" t="str">
            <v>9S</v>
          </cell>
          <cell r="E19">
            <v>0</v>
          </cell>
        </row>
        <row r="20">
          <cell r="B20" t="str">
            <v>KV16S</v>
          </cell>
          <cell r="C20">
            <v>1</v>
          </cell>
          <cell r="D20" t="str">
            <v>16S</v>
          </cell>
          <cell r="E20">
            <v>0</v>
          </cell>
        </row>
        <row r="21">
          <cell r="B21" t="str">
            <v>KV2C10A</v>
          </cell>
          <cell r="C21">
            <v>10</v>
          </cell>
          <cell r="D21" t="str">
            <v>9S</v>
          </cell>
          <cell r="E21">
            <v>0</v>
          </cell>
        </row>
        <row r="22">
          <cell r="B22" t="str">
            <v>KV2C10AR</v>
          </cell>
          <cell r="C22">
            <v>1</v>
          </cell>
          <cell r="D22" t="str">
            <v>9S</v>
          </cell>
          <cell r="E22">
            <v>0</v>
          </cell>
        </row>
        <row r="23">
          <cell r="B23" t="str">
            <v>KV2C16S</v>
          </cell>
          <cell r="C23">
            <v>1</v>
          </cell>
          <cell r="D23" t="str">
            <v>16S</v>
          </cell>
          <cell r="E23">
            <v>0</v>
          </cell>
        </row>
        <row r="24">
          <cell r="B24" t="str">
            <v>KV2C3S</v>
          </cell>
          <cell r="C24">
            <v>3</v>
          </cell>
          <cell r="D24" t="str">
            <v>3S</v>
          </cell>
          <cell r="E24">
            <v>0</v>
          </cell>
        </row>
        <row r="25">
          <cell r="B25" t="str">
            <v>KV2C45S</v>
          </cell>
          <cell r="C25">
            <v>3</v>
          </cell>
          <cell r="D25" t="str">
            <v>45S</v>
          </cell>
          <cell r="E25">
            <v>0</v>
          </cell>
        </row>
        <row r="26">
          <cell r="B26" t="str">
            <v>KV2S</v>
          </cell>
          <cell r="C26">
            <v>2</v>
          </cell>
          <cell r="D26" t="str">
            <v>2S</v>
          </cell>
          <cell r="E26">
            <v>0</v>
          </cell>
        </row>
        <row r="27">
          <cell r="B27" t="str">
            <v>KV3S</v>
          </cell>
          <cell r="C27">
            <v>7</v>
          </cell>
          <cell r="D27" t="str">
            <v>3S</v>
          </cell>
          <cell r="E27">
            <v>0</v>
          </cell>
        </row>
        <row r="28">
          <cell r="B28" t="str">
            <v>KV45A</v>
          </cell>
          <cell r="C28">
            <v>2</v>
          </cell>
          <cell r="D28" t="str">
            <v>45S</v>
          </cell>
          <cell r="E28">
            <v>0</v>
          </cell>
        </row>
        <row r="29">
          <cell r="B29" t="str">
            <v>KV45S</v>
          </cell>
          <cell r="C29">
            <v>2</v>
          </cell>
          <cell r="D29" t="str">
            <v>45S</v>
          </cell>
          <cell r="E29">
            <v>0</v>
          </cell>
        </row>
        <row r="30">
          <cell r="B30" t="str">
            <v>Load Study</v>
          </cell>
          <cell r="C30">
            <v>2</v>
          </cell>
          <cell r="D30" t="str">
            <v>16S</v>
          </cell>
          <cell r="E30">
            <v>0</v>
          </cell>
        </row>
        <row r="31">
          <cell r="B31" t="str">
            <v>LSSS1S1L3SGP</v>
          </cell>
          <cell r="C31">
            <v>1</v>
          </cell>
          <cell r="D31" t="str">
            <v>16S</v>
          </cell>
          <cell r="E31">
            <v>0</v>
          </cell>
        </row>
        <row r="32">
          <cell r="B32" t="str">
            <v>LSSS3S1L45SGP</v>
          </cell>
          <cell r="C32">
            <v>1</v>
          </cell>
          <cell r="D32" t="str">
            <v>16S</v>
          </cell>
          <cell r="E32">
            <v>0</v>
          </cell>
        </row>
        <row r="33">
          <cell r="B33" t="str">
            <v>SS3S1D45S</v>
          </cell>
          <cell r="C33">
            <v>1</v>
          </cell>
          <cell r="D33" t="str">
            <v>45S</v>
          </cell>
          <cell r="E33">
            <v>0</v>
          </cell>
        </row>
        <row r="34">
          <cell r="B34" t="str">
            <v>SV4AD</v>
          </cell>
          <cell r="C34">
            <v>10</v>
          </cell>
          <cell r="D34" t="str">
            <v>9S</v>
          </cell>
          <cell r="E34">
            <v>0</v>
          </cell>
        </row>
        <row r="35">
          <cell r="B35" t="str">
            <v>SV4AR</v>
          </cell>
          <cell r="C35">
            <v>1</v>
          </cell>
          <cell r="D35" t="str">
            <v>9S</v>
          </cell>
          <cell r="E35">
            <v>0</v>
          </cell>
        </row>
        <row r="36">
          <cell r="B36" t="str">
            <v>V62S</v>
          </cell>
          <cell r="C36">
            <v>1</v>
          </cell>
          <cell r="D36" t="str">
            <v>12S 3Phase</v>
          </cell>
          <cell r="E36">
            <v>0</v>
          </cell>
        </row>
        <row r="37">
          <cell r="B37" t="str">
            <v>V63A</v>
          </cell>
          <cell r="C37">
            <v>2</v>
          </cell>
          <cell r="D37" t="str">
            <v>45S</v>
          </cell>
          <cell r="E37">
            <v>0</v>
          </cell>
        </row>
        <row r="38">
          <cell r="B38" t="str">
            <v>V63S</v>
          </cell>
          <cell r="C38">
            <v>3</v>
          </cell>
          <cell r="D38" t="str">
            <v>45S</v>
          </cell>
          <cell r="E38">
            <v>0</v>
          </cell>
        </row>
        <row r="39">
          <cell r="B39" t="str">
            <v>V64A</v>
          </cell>
          <cell r="C39">
            <v>1</v>
          </cell>
          <cell r="D39" t="str">
            <v>9S</v>
          </cell>
          <cell r="E39">
            <v>0</v>
          </cell>
        </row>
        <row r="40">
          <cell r="B40" t="str">
            <v>V65S</v>
          </cell>
          <cell r="C40">
            <v>4</v>
          </cell>
          <cell r="D40" t="str">
            <v>16S</v>
          </cell>
          <cell r="E40">
            <v>0</v>
          </cell>
        </row>
        <row r="41">
          <cell r="B41" t="str">
            <v>V66S</v>
          </cell>
          <cell r="C41">
            <v>27</v>
          </cell>
          <cell r="D41" t="str">
            <v>16S</v>
          </cell>
          <cell r="E41">
            <v>0</v>
          </cell>
        </row>
        <row r="42">
          <cell r="B42" t="str">
            <v>VM63A</v>
          </cell>
          <cell r="C42">
            <v>18</v>
          </cell>
          <cell r="D42" t="str">
            <v>45S</v>
          </cell>
          <cell r="E42">
            <v>0</v>
          </cell>
        </row>
        <row r="43">
          <cell r="B43" t="str">
            <v>VM63S</v>
          </cell>
          <cell r="C43">
            <v>18</v>
          </cell>
          <cell r="D43" t="str">
            <v>45S</v>
          </cell>
          <cell r="E43">
            <v>0</v>
          </cell>
        </row>
        <row r="44">
          <cell r="B44" t="str">
            <v>VM64A</v>
          </cell>
          <cell r="C44">
            <v>27</v>
          </cell>
          <cell r="D44" t="str">
            <v>9S</v>
          </cell>
          <cell r="E44">
            <v>0</v>
          </cell>
        </row>
        <row r="45">
          <cell r="B45" t="str">
            <v>VM64AI</v>
          </cell>
          <cell r="C45">
            <v>1</v>
          </cell>
          <cell r="D45" t="str">
            <v>9S</v>
          </cell>
          <cell r="E45">
            <v>0</v>
          </cell>
        </row>
        <row r="46">
          <cell r="B46" t="str">
            <v>VM65S</v>
          </cell>
          <cell r="C46">
            <v>2</v>
          </cell>
          <cell r="D46" t="str">
            <v>16S</v>
          </cell>
          <cell r="E46">
            <v>0</v>
          </cell>
        </row>
        <row r="47">
          <cell r="B47" t="str">
            <v>VM66S</v>
          </cell>
          <cell r="C47">
            <v>6</v>
          </cell>
          <cell r="D47" t="str">
            <v>16S</v>
          </cell>
          <cell r="E47">
            <v>0</v>
          </cell>
        </row>
      </sheetData>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person displayName="Burgess, Dan" id="{8082690E-2742-4BBE-946D-AFDF0371C353}" userId="S::Dan.Burgess@avistacorp.com::d20528cc-60d0-48b1-8805-05811d081267"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 dT="2020-06-19T21:13:10.25" personId="{8082690E-2742-4BBE-946D-AFDF0371C353}" id="{42E88F79-7C8D-4E0C-BF7D-63AC81709472}">
    <text>Changed on 6/19/2020 - to refelct new information about arate case development - that the tariff will be changed to allow this.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1" Type="http://schemas.openxmlformats.org/officeDocument/2006/relationships/hyperlink" Target="file://c01d32/c01d32/ENGDEL/Customer%20Services/Regulus%20TransCentra%20invoices/Bill%20pricing" TargetMode="External"/></Relationships>
</file>

<file path=xl/worksheets/_rels/sheet13.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4.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hyperlink" Target="https://sp2016.corp.com/SitePages/Home.aspx" TargetMode="External"/><Relationship Id="rId4" Type="http://schemas.microsoft.com/office/2017/10/relationships/threadedComment" Target="../threadedComments/threadedComment1.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hyperlink" Target="http://www.statista.com/statistics/244983/projected-inflation-rate-in-the-united-states/"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hyperlink" Target="http://www.statista.com/statistics/244983/projected-inflation-rate-in-the-united-states/"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hyperlink" Target="http://finance-commerce.com/2014/09/sustainable-reducing-energy-use-through-behavioral-science/" TargetMode="External"/></Relationships>
</file>

<file path=xl/worksheets/_rels/sheet2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hyperlink" Target="http://finance-commerce.com/2014/09/sustainable-reducing-energy-use-through-behavioral-science/" TargetMode="External"/></Relationships>
</file>

<file path=xl/worksheets/_rels/sheet24.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5.xml.rels><?xml version="1.0" encoding="UTF-8" standalone="yes"?>
<Relationships xmlns="http://schemas.openxmlformats.org/package/2006/relationships"><Relationship Id="rId3" Type="http://schemas.openxmlformats.org/officeDocument/2006/relationships/hyperlink" Target="http://www.avistautilities.com/services/energypricing/wa/gas/Documents/WA_101.pdf" TargetMode="External"/><Relationship Id="rId7" Type="http://schemas.openxmlformats.org/officeDocument/2006/relationships/drawing" Target="../drawings/drawing3.xml"/><Relationship Id="rId2" Type="http://schemas.openxmlformats.org/officeDocument/2006/relationships/hyperlink" Target="http://www.avistautilities.com/services/energypricing/wa/gas/Documents/WA_111.pdf" TargetMode="External"/><Relationship Id="rId1" Type="http://schemas.openxmlformats.org/officeDocument/2006/relationships/hyperlink" Target="http://www.avistautilities.com/services/energypricing/wa/elect/Documents/WA_011.pdf" TargetMode="External"/><Relationship Id="rId6" Type="http://schemas.openxmlformats.org/officeDocument/2006/relationships/printerSettings" Target="../printerSettings/printerSettings10.bin"/><Relationship Id="rId5" Type="http://schemas.openxmlformats.org/officeDocument/2006/relationships/hyperlink" Target="javascript:void(0);" TargetMode="External"/><Relationship Id="rId4" Type="http://schemas.openxmlformats.org/officeDocument/2006/relationships/hyperlink" Target="javascript:void(0);" TargetMode="External"/></Relationships>
</file>

<file path=xl/worksheets/_rels/sheet26.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4.xml"/></Relationships>
</file>

<file path=xl/worksheets/_rels/sheet31.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drawing" Target="../drawings/drawing5.xml"/></Relationships>
</file>

<file path=xl/worksheets/_rels/sheet32.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6.xml"/></Relationships>
</file>

<file path=xl/worksheets/_rels/sheet33.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2.bin"/></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hyperlink" Target="javascript:void(0);" TargetMode="Externa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hyperlink" Target="https://sp2016.corp.com/Roaming/Microsoft/01%20Meter%20Reading/Avoided%20Costs%20Of%20Meter%20Replacement/2015%20ERT%20Replacement%20Strategy%20Update%20-%20Oregon%2010192015.pdf"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8"/>
  <sheetViews>
    <sheetView tabSelected="1" topLeftCell="D1" zoomScaleNormal="100" workbookViewId="0">
      <selection activeCell="C1" sqref="A1:C1048576"/>
    </sheetView>
  </sheetViews>
  <sheetFormatPr defaultColWidth="9.140625" defaultRowHeight="15"/>
  <cols>
    <col min="1" max="2" width="9.140625" hidden="1" customWidth="1"/>
    <col min="3" max="3" width="0" hidden="1" customWidth="1"/>
    <col min="5" max="5" width="46.140625" bestFit="1" customWidth="1"/>
    <col min="6" max="6" width="12.5703125" style="16" bestFit="1" customWidth="1"/>
    <col min="7" max="7" width="12" bestFit="1" customWidth="1"/>
    <col min="8" max="8" width="12.28515625" bestFit="1" customWidth="1"/>
  </cols>
  <sheetData>
    <row r="1" spans="5:13">
      <c r="F1" s="595" t="s">
        <v>906</v>
      </c>
    </row>
    <row r="2" spans="5:13">
      <c r="F2" s="595" t="s">
        <v>907</v>
      </c>
      <c r="G2" s="100" t="s">
        <v>910</v>
      </c>
      <c r="H2" s="100" t="s">
        <v>911</v>
      </c>
    </row>
    <row r="4" spans="5:13">
      <c r="E4" t="s">
        <v>914</v>
      </c>
      <c r="F4" s="16">
        <f>'Revenue Requirement Reductions'!O55</f>
        <v>6516474.2251543403</v>
      </c>
    </row>
    <row r="5" spans="5:13">
      <c r="E5" t="s">
        <v>915</v>
      </c>
      <c r="F5" s="16">
        <f>'Revenue Requirement Reductions'!P55</f>
        <v>9126478.2411252502</v>
      </c>
    </row>
    <row r="6" spans="5:13">
      <c r="G6" s="592"/>
      <c r="H6" s="592"/>
      <c r="I6" s="592"/>
      <c r="J6" s="592"/>
      <c r="K6" s="592"/>
    </row>
    <row r="7" spans="5:13" ht="15" customHeight="1">
      <c r="E7" t="s">
        <v>908</v>
      </c>
      <c r="F7" s="16">
        <f>(F4*6/12)+(F5*6/12)</f>
        <v>7821476.2331397953</v>
      </c>
      <c r="G7" s="593">
        <f>F7*0.75</f>
        <v>5866107.1748548467</v>
      </c>
      <c r="H7" s="593">
        <f>F7*0.25</f>
        <v>1955369.0582849488</v>
      </c>
      <c r="I7" s="592"/>
      <c r="J7" s="592"/>
      <c r="K7" s="592"/>
    </row>
    <row r="8" spans="5:13" ht="15" customHeight="1">
      <c r="G8" s="592"/>
      <c r="H8" s="592"/>
      <c r="I8" s="592"/>
      <c r="J8" s="592"/>
      <c r="K8" s="592"/>
    </row>
    <row r="9" spans="5:13">
      <c r="E9" s="475" t="s">
        <v>916</v>
      </c>
      <c r="F9" s="596">
        <f>'Revenue Requirement Reductions'!R55</f>
        <v>10583688.338130785</v>
      </c>
      <c r="G9" s="597">
        <f>F9*0.75</f>
        <v>7937766.2535980884</v>
      </c>
      <c r="H9" s="597">
        <f>F9*0.25</f>
        <v>2645922.0845326963</v>
      </c>
      <c r="I9" s="592"/>
      <c r="J9" s="592"/>
      <c r="K9" s="592"/>
    </row>
    <row r="10" spans="5:13" ht="15.75" thickBot="1">
      <c r="G10" s="592"/>
      <c r="H10" s="592"/>
      <c r="I10" s="592"/>
      <c r="J10" s="592"/>
      <c r="K10" s="592"/>
    </row>
    <row r="11" spans="5:13" ht="15.75" thickBot="1">
      <c r="E11" t="s">
        <v>912</v>
      </c>
      <c r="F11" s="590">
        <f>F7-F9</f>
        <v>-2762212.1049909899</v>
      </c>
      <c r="G11" s="594">
        <f>G7-G9</f>
        <v>-2071659.0787432417</v>
      </c>
      <c r="H11" s="594">
        <f t="shared" ref="H11" si="0">H7-H9</f>
        <v>-690553.02624774748</v>
      </c>
      <c r="I11" s="598" t="s">
        <v>918</v>
      </c>
      <c r="J11" s="475"/>
      <c r="K11" s="475"/>
      <c r="L11" s="475"/>
      <c r="M11" s="475"/>
    </row>
    <row r="14" spans="5:13">
      <c r="E14" s="475" t="s">
        <v>917</v>
      </c>
      <c r="F14" s="596">
        <f>'Revenue Requirement Reductions'!S55</f>
        <v>11002476.765118225</v>
      </c>
      <c r="G14" s="597">
        <f>F14*0.75</f>
        <v>8251857.5738386679</v>
      </c>
      <c r="H14" s="597">
        <f>F14*0.25</f>
        <v>2750619.1912795561</v>
      </c>
    </row>
    <row r="15" spans="5:13" ht="15.75" thickBot="1">
      <c r="E15" s="591"/>
      <c r="F15" s="12"/>
    </row>
    <row r="16" spans="5:13" ht="15.75" thickBot="1">
      <c r="E16" t="s">
        <v>913</v>
      </c>
      <c r="F16" s="590">
        <f>F9-F14</f>
        <v>-418788.42698743939</v>
      </c>
      <c r="G16" s="594">
        <f t="shared" ref="G16:H16" si="1">G9-G14</f>
        <v>-314091.32024057955</v>
      </c>
      <c r="H16" s="594">
        <f t="shared" si="1"/>
        <v>-104697.10674685985</v>
      </c>
      <c r="I16" s="598" t="s">
        <v>919</v>
      </c>
      <c r="J16" s="475"/>
      <c r="K16" s="475"/>
      <c r="L16" s="475"/>
    </row>
    <row r="17" spans="5:9">
      <c r="E17" s="591"/>
      <c r="F17" s="591"/>
    </row>
    <row r="18" spans="5:9">
      <c r="E18" s="599"/>
      <c r="F18" s="599"/>
      <c r="G18" s="599"/>
      <c r="H18" s="599"/>
      <c r="I18" s="599"/>
    </row>
  </sheetData>
  <mergeCells count="1">
    <mergeCell ref="E18:I18"/>
  </mergeCells>
  <pageMargins left="0.7" right="0.7" top="0.75" bottom="0.75" header="0.3" footer="0.3"/>
  <pageSetup orientation="landscape" r:id="rId1"/>
  <headerFooter>
    <oddHeader>&amp;LJANUARY 31, 2025 COMPLIANCE FILING
DOCKET NOS. UE-240006 / UG-240007&amp;CATTACHMENT 4 - AMI OFFSETS 2025-2026</oddHeader>
    <oddFooter>&amp;LAVISTA
&amp;F
&amp;A&amp;RPage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09FF78"/>
  </sheetPr>
  <dimension ref="A1:M16"/>
  <sheetViews>
    <sheetView workbookViewId="0"/>
  </sheetViews>
  <sheetFormatPr defaultRowHeight="15"/>
  <cols>
    <col min="1" max="1" width="3.85546875" customWidth="1"/>
    <col min="2" max="2" width="37.7109375" bestFit="1" customWidth="1"/>
    <col min="3" max="3" width="12.5703125" bestFit="1" customWidth="1"/>
    <col min="6" max="6" width="11.5703125" bestFit="1" customWidth="1"/>
  </cols>
  <sheetData>
    <row r="1" spans="1:13">
      <c r="A1" s="9" t="s">
        <v>55</v>
      </c>
    </row>
    <row r="3" spans="1:13">
      <c r="B3" s="605" t="s">
        <v>221</v>
      </c>
      <c r="C3" s="606"/>
      <c r="D3" s="606"/>
      <c r="E3" s="606"/>
      <c r="F3" s="606"/>
      <c r="G3" s="606"/>
      <c r="H3" s="606"/>
      <c r="I3" s="606"/>
      <c r="J3" s="606"/>
      <c r="K3" s="606"/>
      <c r="L3" s="606"/>
      <c r="M3" s="606"/>
    </row>
    <row r="4" spans="1:13">
      <c r="B4" s="606"/>
      <c r="C4" s="606"/>
      <c r="D4" s="606"/>
      <c r="E4" s="606"/>
      <c r="F4" s="606"/>
      <c r="G4" s="606"/>
      <c r="H4" s="606"/>
      <c r="I4" s="606"/>
      <c r="J4" s="606"/>
      <c r="K4" s="606"/>
      <c r="L4" s="606"/>
      <c r="M4" s="606"/>
    </row>
    <row r="5" spans="1:13">
      <c r="B5" s="606"/>
      <c r="C5" s="606"/>
      <c r="D5" s="606"/>
      <c r="E5" s="606"/>
      <c r="F5" s="606"/>
      <c r="G5" s="606"/>
      <c r="H5" s="606"/>
      <c r="I5" s="606"/>
      <c r="J5" s="606"/>
      <c r="K5" s="606"/>
      <c r="L5" s="606"/>
      <c r="M5" s="606"/>
    </row>
    <row r="6" spans="1:13">
      <c r="B6" s="606"/>
      <c r="C6" s="606"/>
      <c r="D6" s="606"/>
      <c r="E6" s="606"/>
      <c r="F6" s="606"/>
      <c r="G6" s="606"/>
      <c r="H6" s="606"/>
      <c r="I6" s="606"/>
      <c r="J6" s="606"/>
      <c r="K6" s="606"/>
      <c r="L6" s="606"/>
      <c r="M6" s="606"/>
    </row>
    <row r="7" spans="1:13">
      <c r="B7" s="606"/>
      <c r="C7" s="606"/>
      <c r="D7" s="606"/>
      <c r="E7" s="606"/>
      <c r="F7" s="606"/>
      <c r="G7" s="606"/>
      <c r="H7" s="606"/>
      <c r="I7" s="606"/>
      <c r="J7" s="606"/>
      <c r="K7" s="606"/>
      <c r="L7" s="606"/>
      <c r="M7" s="606"/>
    </row>
    <row r="8" spans="1:13">
      <c r="B8" s="606"/>
      <c r="C8" s="606"/>
      <c r="D8" s="606"/>
      <c r="E8" s="606"/>
      <c r="F8" s="606"/>
      <c r="G8" s="606"/>
      <c r="H8" s="606"/>
      <c r="I8" s="606"/>
      <c r="J8" s="606"/>
      <c r="K8" s="606"/>
      <c r="L8" s="606"/>
      <c r="M8" s="606"/>
    </row>
    <row r="9" spans="1:13">
      <c r="B9" s="606"/>
      <c r="C9" s="606"/>
      <c r="D9" s="606"/>
      <c r="E9" s="606"/>
      <c r="F9" s="606"/>
      <c r="G9" s="606"/>
      <c r="H9" s="606"/>
      <c r="I9" s="606"/>
      <c r="J9" s="606"/>
      <c r="K9" s="606"/>
      <c r="L9" s="606"/>
      <c r="M9" s="606"/>
    </row>
    <row r="10" spans="1:13">
      <c r="B10" s="606"/>
      <c r="C10" s="606"/>
      <c r="D10" s="606"/>
      <c r="E10" s="606"/>
      <c r="F10" s="606"/>
      <c r="G10" s="606"/>
      <c r="H10" s="606"/>
      <c r="I10" s="606"/>
      <c r="J10" s="606"/>
      <c r="K10" s="606"/>
      <c r="L10" s="606"/>
      <c r="M10" s="606"/>
    </row>
    <row r="11" spans="1:13">
      <c r="B11" s="606"/>
      <c r="C11" s="606"/>
      <c r="D11" s="606"/>
      <c r="E11" s="606"/>
      <c r="F11" s="606"/>
      <c r="G11" s="606"/>
      <c r="H11" s="606"/>
      <c r="I11" s="606"/>
      <c r="J11" s="606"/>
      <c r="K11" s="606"/>
      <c r="L11" s="606"/>
      <c r="M11" s="606"/>
    </row>
    <row r="12" spans="1:13">
      <c r="B12" s="606"/>
      <c r="C12" s="606"/>
      <c r="D12" s="606"/>
      <c r="E12" s="606"/>
      <c r="F12" s="606"/>
      <c r="G12" s="606"/>
      <c r="H12" s="606"/>
      <c r="I12" s="606"/>
      <c r="J12" s="606"/>
      <c r="K12" s="606"/>
      <c r="L12" s="606"/>
      <c r="M12" s="606"/>
    </row>
    <row r="13" spans="1:13">
      <c r="B13" s="606"/>
      <c r="C13" s="606"/>
      <c r="D13" s="606"/>
      <c r="E13" s="606"/>
      <c r="F13" s="606"/>
      <c r="G13" s="606"/>
      <c r="H13" s="606"/>
      <c r="I13" s="606"/>
      <c r="J13" s="606"/>
      <c r="K13" s="606"/>
      <c r="L13" s="606"/>
      <c r="M13" s="606"/>
    </row>
    <row r="14" spans="1:13">
      <c r="B14" s="606"/>
      <c r="C14" s="606"/>
      <c r="D14" s="606"/>
      <c r="E14" s="606"/>
      <c r="F14" s="606"/>
      <c r="G14" s="606"/>
      <c r="H14" s="606"/>
      <c r="I14" s="606"/>
      <c r="J14" s="606"/>
      <c r="K14" s="606"/>
      <c r="L14" s="606"/>
      <c r="M14" s="606"/>
    </row>
    <row r="16" spans="1:13">
      <c r="B16" t="s">
        <v>222</v>
      </c>
      <c r="C16" s="13">
        <v>148000</v>
      </c>
    </row>
  </sheetData>
  <mergeCells count="1">
    <mergeCell ref="B3:M14"/>
  </mergeCells>
  <hyperlinks>
    <hyperlink ref="A1" location="Summary_RealizationSchedule!A1" display="Back to Summary" xr:uid="{00000000-0004-0000-0900-000000000000}"/>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09FF78"/>
  </sheetPr>
  <dimension ref="A1:N25"/>
  <sheetViews>
    <sheetView topLeftCell="A4" workbookViewId="0">
      <selection activeCell="B15" sqref="B15:F15"/>
    </sheetView>
  </sheetViews>
  <sheetFormatPr defaultRowHeight="15"/>
  <cols>
    <col min="1" max="1" width="14.28515625" bestFit="1" customWidth="1"/>
    <col min="2" max="6" width="14.5703125" customWidth="1"/>
    <col min="7" max="7" width="30.28515625" bestFit="1" customWidth="1"/>
    <col min="8" max="8" width="14.42578125" style="19" bestFit="1" customWidth="1"/>
    <col min="9" max="9" width="13.140625" style="19" bestFit="1" customWidth="1"/>
    <col min="10" max="10" width="13.7109375" style="19" bestFit="1" customWidth="1"/>
    <col min="11" max="11" width="14.140625" style="19" bestFit="1" customWidth="1"/>
    <col min="12" max="13" width="15.140625" style="19" bestFit="1" customWidth="1"/>
    <col min="14" max="14" width="11.5703125" style="19" bestFit="1" customWidth="1"/>
  </cols>
  <sheetData>
    <row r="1" spans="1:14">
      <c r="A1" s="9" t="s">
        <v>55</v>
      </c>
    </row>
    <row r="3" spans="1:14">
      <c r="A3" t="s">
        <v>223</v>
      </c>
    </row>
    <row r="4" spans="1:14" ht="15.75" thickBot="1">
      <c r="G4" t="s">
        <v>224</v>
      </c>
    </row>
    <row r="5" spans="1:14">
      <c r="A5" s="13">
        <v>1820000</v>
      </c>
      <c r="G5" s="398" t="s">
        <v>225</v>
      </c>
      <c r="H5" s="403">
        <v>1820000</v>
      </c>
      <c r="I5" s="404">
        <v>2016</v>
      </c>
      <c r="J5" s="405">
        <v>2017</v>
      </c>
      <c r="K5" s="405">
        <v>2018</v>
      </c>
      <c r="L5" s="405">
        <v>2019</v>
      </c>
      <c r="M5" s="405">
        <v>2020</v>
      </c>
      <c r="N5" s="406">
        <v>2021</v>
      </c>
    </row>
    <row r="6" spans="1:14" ht="15.75" thickBot="1">
      <c r="G6" s="399" t="s">
        <v>226</v>
      </c>
      <c r="H6" s="407">
        <v>2508513.4473912925</v>
      </c>
      <c r="I6" s="408">
        <v>312818</v>
      </c>
      <c r="J6" s="409">
        <v>500000</v>
      </c>
      <c r="K6" s="409">
        <v>350000</v>
      </c>
      <c r="L6" s="409">
        <v>1000000</v>
      </c>
      <c r="M6" s="409">
        <v>1000000</v>
      </c>
      <c r="N6" s="410"/>
    </row>
    <row r="7" spans="1:14" ht="15.75" thickBot="1">
      <c r="G7" s="397" t="s">
        <v>227</v>
      </c>
      <c r="H7" s="411"/>
      <c r="I7" s="412"/>
      <c r="J7" s="412"/>
      <c r="K7" s="412"/>
      <c r="L7" s="412"/>
      <c r="M7" s="412"/>
      <c r="N7" s="413"/>
    </row>
    <row r="8" spans="1:14">
      <c r="G8" s="400" t="s">
        <v>228</v>
      </c>
      <c r="H8" s="414"/>
      <c r="I8" s="415">
        <v>665018</v>
      </c>
      <c r="J8" s="416" t="s">
        <v>229</v>
      </c>
      <c r="K8" s="416">
        <v>1920010</v>
      </c>
      <c r="L8" s="416">
        <v>2176946</v>
      </c>
      <c r="M8" s="416">
        <v>1164660</v>
      </c>
      <c r="N8" s="417">
        <v>1416468</v>
      </c>
    </row>
    <row r="9" spans="1:14">
      <c r="G9" s="401" t="s">
        <v>183</v>
      </c>
      <c r="H9" s="418"/>
      <c r="I9" s="419">
        <v>1107495</v>
      </c>
      <c r="J9" s="420" t="s">
        <v>230</v>
      </c>
      <c r="K9" s="420">
        <v>408707</v>
      </c>
      <c r="L9" s="421"/>
      <c r="M9" s="421"/>
      <c r="N9" s="422"/>
    </row>
    <row r="10" spans="1:14" ht="15.75" thickBot="1">
      <c r="G10" s="402" t="s">
        <v>231</v>
      </c>
      <c r="H10" s="423">
        <v>9550248.6357544027</v>
      </c>
      <c r="I10" s="424">
        <v>2085331</v>
      </c>
      <c r="J10" s="425">
        <v>500000</v>
      </c>
      <c r="K10" s="425">
        <v>2678717</v>
      </c>
      <c r="L10" s="425">
        <v>3176946</v>
      </c>
      <c r="M10" s="425">
        <v>2164660</v>
      </c>
      <c r="N10" s="426">
        <v>1416468</v>
      </c>
    </row>
    <row r="13" spans="1:14" ht="15.75" thickBot="1">
      <c r="H13" s="427" t="s">
        <v>232</v>
      </c>
      <c r="I13" s="428" t="s">
        <v>233</v>
      </c>
      <c r="J13" s="428" t="s">
        <v>234</v>
      </c>
      <c r="K13" s="428" t="s">
        <v>235</v>
      </c>
      <c r="L13" s="428" t="s">
        <v>236</v>
      </c>
      <c r="M13" s="428" t="s">
        <v>237</v>
      </c>
      <c r="N13" s="429"/>
    </row>
    <row r="15" spans="1:14">
      <c r="B15" s="396"/>
    </row>
    <row r="17" spans="1:9">
      <c r="A17" t="s">
        <v>225</v>
      </c>
      <c r="B17">
        <v>1820000</v>
      </c>
      <c r="C17" s="19">
        <v>2016</v>
      </c>
      <c r="D17" s="19">
        <v>2017</v>
      </c>
      <c r="E17" s="19">
        <v>2018</v>
      </c>
      <c r="F17" s="19">
        <v>2019</v>
      </c>
      <c r="G17" s="19">
        <v>2020</v>
      </c>
      <c r="H17" s="19">
        <v>2021</v>
      </c>
    </row>
    <row r="18" spans="1:9">
      <c r="A18" s="475" t="s">
        <v>181</v>
      </c>
      <c r="B18" s="475"/>
      <c r="C18" s="476"/>
      <c r="D18" s="476"/>
      <c r="E18" s="476">
        <v>1200000</v>
      </c>
      <c r="F18" s="476">
        <v>1600000</v>
      </c>
      <c r="G18" s="476">
        <v>1682000</v>
      </c>
      <c r="H18" s="476">
        <v>1200000</v>
      </c>
    </row>
    <row r="19" spans="1:9">
      <c r="A19" s="475" t="s">
        <v>182</v>
      </c>
      <c r="B19" s="475"/>
      <c r="C19" s="476">
        <v>2950000</v>
      </c>
      <c r="D19" s="476">
        <v>2950000</v>
      </c>
      <c r="E19" s="476"/>
      <c r="F19" s="476"/>
      <c r="G19" s="476"/>
      <c r="H19" s="476"/>
    </row>
    <row r="20" spans="1:9">
      <c r="A20" s="475" t="s">
        <v>183</v>
      </c>
      <c r="B20" s="475"/>
      <c r="C20" s="476">
        <v>1107495</v>
      </c>
      <c r="D20" s="476">
        <v>1740272</v>
      </c>
      <c r="E20" s="476">
        <v>408707</v>
      </c>
      <c r="F20" s="476"/>
      <c r="G20" s="476"/>
      <c r="H20" s="476"/>
    </row>
    <row r="21" spans="1:9">
      <c r="A21" s="475" t="s">
        <v>184</v>
      </c>
      <c r="B21" s="475"/>
      <c r="C21" s="476"/>
      <c r="D21" s="476">
        <v>2800000</v>
      </c>
      <c r="E21" s="476">
        <v>2800000</v>
      </c>
      <c r="F21" s="476"/>
      <c r="G21" s="476"/>
      <c r="H21" s="476"/>
    </row>
    <row r="22" spans="1:9">
      <c r="A22" s="475" t="s">
        <v>185</v>
      </c>
      <c r="B22" s="475"/>
      <c r="C22" s="476"/>
      <c r="D22" s="476"/>
      <c r="E22" s="476">
        <v>250000</v>
      </c>
      <c r="F22" s="476">
        <v>6400000</v>
      </c>
      <c r="G22" s="476">
        <v>7100000</v>
      </c>
      <c r="H22" s="476"/>
    </row>
    <row r="23" spans="1:9">
      <c r="A23" s="339" t="s">
        <v>186</v>
      </c>
      <c r="B23" s="339"/>
      <c r="C23" s="354">
        <v>375000</v>
      </c>
      <c r="D23" s="354">
        <v>375000</v>
      </c>
      <c r="E23" s="354"/>
      <c r="F23" s="354">
        <v>3492500</v>
      </c>
      <c r="G23" s="354">
        <v>3492500</v>
      </c>
      <c r="H23" s="479"/>
      <c r="I23" s="195" t="s">
        <v>238</v>
      </c>
    </row>
    <row r="24" spans="1:9">
      <c r="A24" s="475" t="s">
        <v>187</v>
      </c>
      <c r="B24" s="477">
        <v>34188474</v>
      </c>
      <c r="C24" s="476">
        <v>4057495</v>
      </c>
      <c r="D24" s="476">
        <v>7490272</v>
      </c>
      <c r="E24" s="476">
        <v>4658707</v>
      </c>
      <c r="F24" s="476">
        <v>8000000</v>
      </c>
      <c r="G24" s="476">
        <v>8782000</v>
      </c>
      <c r="H24" s="476">
        <v>1200000</v>
      </c>
    </row>
    <row r="25" spans="1:9">
      <c r="A25" s="475" t="s">
        <v>188</v>
      </c>
      <c r="B25" s="477">
        <v>27780771.791268297</v>
      </c>
      <c r="C25" s="475"/>
      <c r="D25" s="475"/>
      <c r="E25" s="478">
        <v>16206474</v>
      </c>
      <c r="F25" s="475"/>
      <c r="G25" s="475"/>
      <c r="H25" s="475"/>
    </row>
  </sheetData>
  <hyperlinks>
    <hyperlink ref="A1" location="Summary_RealizationSchedule!A1" display="Back to Summary" xr:uid="{00000000-0004-0000-0A00-000000000000}"/>
  </hyperlink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09FF78"/>
  </sheetPr>
  <dimension ref="A1:AD41"/>
  <sheetViews>
    <sheetView topLeftCell="A7" zoomScale="80" zoomScaleNormal="80" workbookViewId="0"/>
  </sheetViews>
  <sheetFormatPr defaultColWidth="9.140625" defaultRowHeight="15"/>
  <cols>
    <col min="1" max="1" width="4.85546875" customWidth="1"/>
    <col min="2" max="2" width="3" customWidth="1"/>
    <col min="3" max="3" width="3.140625" customWidth="1"/>
    <col min="4" max="4" width="62.42578125" customWidth="1"/>
    <col min="5" max="5" width="14.28515625" bestFit="1" customWidth="1"/>
    <col min="6" max="6" width="11.85546875" bestFit="1" customWidth="1"/>
    <col min="7" max="7" width="14.42578125" bestFit="1" customWidth="1"/>
    <col min="8" max="8" width="12.42578125" customWidth="1"/>
    <col min="9" max="26" width="13.28515625" bestFit="1" customWidth="1"/>
    <col min="27" max="30" width="9.28515625" bestFit="1" customWidth="1"/>
  </cols>
  <sheetData>
    <row r="1" spans="1:30">
      <c r="A1" s="9" t="s">
        <v>55</v>
      </c>
    </row>
    <row r="2" spans="1:30">
      <c r="A2" s="9"/>
    </row>
    <row r="3" spans="1:30">
      <c r="D3" s="195" t="s">
        <v>239</v>
      </c>
      <c r="E3" s="20">
        <v>0.03</v>
      </c>
      <c r="F3" s="19"/>
      <c r="G3" s="19"/>
      <c r="H3" s="19"/>
      <c r="I3" s="19"/>
      <c r="J3" s="19"/>
      <c r="K3" s="19"/>
      <c r="L3" s="19"/>
      <c r="M3" s="19"/>
      <c r="N3" s="19"/>
      <c r="O3" s="19"/>
      <c r="P3" s="19"/>
      <c r="Q3" s="19"/>
      <c r="R3" s="19"/>
      <c r="S3" s="19"/>
      <c r="T3" s="19"/>
      <c r="U3" s="19"/>
      <c r="V3" s="19"/>
      <c r="W3" s="19"/>
    </row>
    <row r="4" spans="1:30">
      <c r="D4" t="s">
        <v>63</v>
      </c>
      <c r="E4" s="20">
        <v>0.01</v>
      </c>
      <c r="F4" s="19"/>
      <c r="G4" s="19"/>
      <c r="H4" s="19"/>
      <c r="I4" s="19"/>
      <c r="J4" s="19"/>
      <c r="K4" s="19"/>
      <c r="L4" s="19"/>
      <c r="M4" s="19"/>
      <c r="N4" s="19"/>
      <c r="O4" s="19"/>
      <c r="P4" s="19"/>
      <c r="Q4" s="19"/>
      <c r="R4" s="19"/>
      <c r="S4" s="19"/>
      <c r="T4" s="19"/>
      <c r="U4" s="19"/>
      <c r="V4" s="19"/>
      <c r="W4" s="19"/>
    </row>
    <row r="5" spans="1:30">
      <c r="B5" s="186"/>
      <c r="F5" s="19">
        <v>0</v>
      </c>
      <c r="G5" s="19">
        <v>0</v>
      </c>
      <c r="H5" s="19">
        <v>0</v>
      </c>
      <c r="I5" s="19">
        <v>0.3</v>
      </c>
      <c r="J5" s="19">
        <v>0.75</v>
      </c>
      <c r="K5" s="19">
        <v>0.75</v>
      </c>
      <c r="L5" s="19">
        <v>0.75</v>
      </c>
      <c r="M5" s="19">
        <v>1</v>
      </c>
      <c r="N5" s="19">
        <v>1</v>
      </c>
      <c r="O5" s="19">
        <v>1</v>
      </c>
      <c r="P5" s="19">
        <v>1</v>
      </c>
      <c r="Q5" s="19">
        <v>1</v>
      </c>
      <c r="R5" s="19">
        <v>1</v>
      </c>
      <c r="S5" s="19">
        <v>1</v>
      </c>
      <c r="T5" s="19">
        <v>1</v>
      </c>
      <c r="U5" s="19">
        <v>1</v>
      </c>
      <c r="V5" s="19">
        <v>1</v>
      </c>
      <c r="W5" s="19">
        <v>1</v>
      </c>
      <c r="X5" s="19">
        <v>1</v>
      </c>
      <c r="Y5" s="19">
        <v>1</v>
      </c>
      <c r="Z5" s="19">
        <v>1</v>
      </c>
      <c r="AA5" s="19">
        <v>0.25</v>
      </c>
      <c r="AB5" s="19">
        <v>0</v>
      </c>
      <c r="AC5" s="19">
        <v>0</v>
      </c>
      <c r="AD5" s="19">
        <v>0</v>
      </c>
    </row>
    <row r="6" spans="1:30">
      <c r="C6" t="s">
        <v>177</v>
      </c>
      <c r="F6" s="19">
        <v>2016</v>
      </c>
      <c r="G6" s="19">
        <v>2017</v>
      </c>
      <c r="H6" s="19">
        <v>2018</v>
      </c>
      <c r="I6" s="19">
        <v>2019</v>
      </c>
      <c r="J6" s="19">
        <v>2020</v>
      </c>
      <c r="K6" s="19">
        <v>2021</v>
      </c>
      <c r="L6" s="19">
        <v>2022</v>
      </c>
      <c r="M6" s="19">
        <v>2023</v>
      </c>
      <c r="N6" s="19">
        <v>2024</v>
      </c>
      <c r="O6" s="19">
        <v>2025</v>
      </c>
      <c r="P6" s="19">
        <v>2026</v>
      </c>
      <c r="Q6" s="19">
        <v>2027</v>
      </c>
      <c r="R6" s="19">
        <v>2028</v>
      </c>
      <c r="S6" s="19">
        <v>2029</v>
      </c>
      <c r="T6" s="19">
        <v>2030</v>
      </c>
      <c r="U6" s="19">
        <v>2031</v>
      </c>
      <c r="V6" s="19">
        <v>2032</v>
      </c>
      <c r="W6" s="19">
        <v>2033</v>
      </c>
      <c r="X6" s="19">
        <v>2034</v>
      </c>
      <c r="Y6" s="19">
        <v>2035</v>
      </c>
      <c r="Z6" s="19">
        <v>2036</v>
      </c>
      <c r="AA6" s="19">
        <v>2037</v>
      </c>
      <c r="AB6" s="19">
        <v>2038</v>
      </c>
      <c r="AC6" s="19">
        <v>2039</v>
      </c>
      <c r="AD6" s="19">
        <v>2040</v>
      </c>
    </row>
    <row r="7" spans="1:30">
      <c r="D7" t="s">
        <v>240</v>
      </c>
      <c r="E7" s="22">
        <v>656573.60457251337</v>
      </c>
      <c r="F7" s="22">
        <v>0</v>
      </c>
      <c r="G7" s="22">
        <v>0</v>
      </c>
      <c r="H7" s="22">
        <v>0</v>
      </c>
      <c r="I7" s="22">
        <v>18519.827307970565</v>
      </c>
      <c r="J7" s="22">
        <v>48151.55100072347</v>
      </c>
      <c r="K7" s="22">
        <v>50077.613040752411</v>
      </c>
      <c r="L7" s="22">
        <v>52080.71756238251</v>
      </c>
      <c r="M7" s="22">
        <v>72218.595019837085</v>
      </c>
      <c r="N7" s="22">
        <v>75107.338820630583</v>
      </c>
      <c r="O7" s="22">
        <v>78111.632373455795</v>
      </c>
      <c r="P7" s="22">
        <v>81236.097668394024</v>
      </c>
      <c r="Q7" s="22">
        <v>84485.541575129799</v>
      </c>
      <c r="R7" s="22">
        <v>87864.963238134995</v>
      </c>
      <c r="S7" s="22">
        <v>91379.561767660402</v>
      </c>
      <c r="T7" s="22">
        <v>95034.744238366809</v>
      </c>
      <c r="U7" s="22">
        <v>98836.134007901506</v>
      </c>
      <c r="V7" s="22">
        <v>102789.57936821757</v>
      </c>
      <c r="W7" s="22">
        <v>106901.16254294627</v>
      </c>
      <c r="X7" s="22">
        <v>111177.20904466412</v>
      </c>
      <c r="Y7" s="22">
        <v>115624.2974064507</v>
      </c>
      <c r="Z7" s="22">
        <v>120249.26930270875</v>
      </c>
      <c r="AA7" s="22">
        <v>31264.810018704273</v>
      </c>
      <c r="AB7" s="22">
        <v>0</v>
      </c>
      <c r="AC7" s="22">
        <v>0</v>
      </c>
      <c r="AD7" s="22">
        <v>0</v>
      </c>
    </row>
    <row r="8" spans="1:30">
      <c r="D8" t="s">
        <v>241</v>
      </c>
      <c r="E8" s="22">
        <v>4524771.2982033957</v>
      </c>
      <c r="F8" s="22">
        <v>0</v>
      </c>
      <c r="G8" s="22">
        <v>0</v>
      </c>
      <c r="H8" s="22">
        <v>0</v>
      </c>
      <c r="I8" s="22">
        <v>127629.22917888002</v>
      </c>
      <c r="J8" s="22">
        <v>331835.99586508813</v>
      </c>
      <c r="K8" s="22">
        <v>345109.43569969165</v>
      </c>
      <c r="L8" s="22">
        <v>358913.81312767928</v>
      </c>
      <c r="M8" s="22">
        <v>497693.82087038195</v>
      </c>
      <c r="N8" s="22">
        <v>517601.57370519731</v>
      </c>
      <c r="O8" s="22">
        <v>538305.63665340515</v>
      </c>
      <c r="P8" s="22">
        <v>559837.86211954139</v>
      </c>
      <c r="Q8" s="22">
        <v>582231.37660432316</v>
      </c>
      <c r="R8" s="22">
        <v>605520.63166849606</v>
      </c>
      <c r="S8" s="22">
        <v>629741.45693523588</v>
      </c>
      <c r="T8" s="22">
        <v>654931.11521264538</v>
      </c>
      <c r="U8" s="22">
        <v>681128.35982115124</v>
      </c>
      <c r="V8" s="22">
        <v>708373.49421399739</v>
      </c>
      <c r="W8" s="22">
        <v>736708.43398255727</v>
      </c>
      <c r="X8" s="22">
        <v>766176.7713418596</v>
      </c>
      <c r="Y8" s="22">
        <v>796823.84219553403</v>
      </c>
      <c r="Z8" s="22">
        <v>828696.79588335555</v>
      </c>
      <c r="AA8" s="22">
        <v>215461.16692967241</v>
      </c>
      <c r="AB8" s="22">
        <v>0</v>
      </c>
      <c r="AC8" s="22">
        <v>0</v>
      </c>
      <c r="AD8" s="22">
        <v>0</v>
      </c>
    </row>
    <row r="9" spans="1:30">
      <c r="D9" t="s">
        <v>242</v>
      </c>
      <c r="E9" s="22">
        <v>5171572.4618337238</v>
      </c>
      <c r="F9" s="22">
        <v>0</v>
      </c>
      <c r="G9" s="22">
        <v>0</v>
      </c>
      <c r="H9" s="22">
        <v>0</v>
      </c>
      <c r="I9" s="22">
        <v>145873.40739379203</v>
      </c>
      <c r="J9" s="22">
        <v>379270.85922385933</v>
      </c>
      <c r="K9" s="22">
        <v>394441.69359281368</v>
      </c>
      <c r="L9" s="22">
        <v>410219.36133652623</v>
      </c>
      <c r="M9" s="22">
        <v>568837.51438664971</v>
      </c>
      <c r="N9" s="22">
        <v>591591.01496211579</v>
      </c>
      <c r="O9" s="22">
        <v>615254.65556060045</v>
      </c>
      <c r="P9" s="22">
        <v>639864.84178302437</v>
      </c>
      <c r="Q9" s="22">
        <v>665459.43545434554</v>
      </c>
      <c r="R9" s="22">
        <v>692077.81287251937</v>
      </c>
      <c r="S9" s="22">
        <v>719760.92538742011</v>
      </c>
      <c r="T9" s="22">
        <v>748551.36240291689</v>
      </c>
      <c r="U9" s="22">
        <v>778493.41689903371</v>
      </c>
      <c r="V9" s="22">
        <v>809633.15357499511</v>
      </c>
      <c r="W9" s="22">
        <v>842018.47971799492</v>
      </c>
      <c r="X9" s="22">
        <v>875699.2189067147</v>
      </c>
      <c r="Y9" s="22">
        <v>910727.18766298331</v>
      </c>
      <c r="Z9" s="22">
        <v>947156.27516950294</v>
      </c>
      <c r="AA9" s="22">
        <v>246260.63154407075</v>
      </c>
      <c r="AB9" s="22">
        <v>0</v>
      </c>
      <c r="AC9" s="22">
        <v>0</v>
      </c>
      <c r="AD9" s="22">
        <v>0</v>
      </c>
    </row>
    <row r="10" spans="1:30">
      <c r="D10" t="s">
        <v>30</v>
      </c>
      <c r="E10" s="22">
        <v>10352917.364609633</v>
      </c>
      <c r="F10" s="22">
        <v>0</v>
      </c>
      <c r="G10" s="22">
        <v>0</v>
      </c>
      <c r="H10" s="22">
        <v>0</v>
      </c>
      <c r="I10" s="22">
        <v>292022.46388064261</v>
      </c>
      <c r="J10" s="22">
        <v>759258.40608967096</v>
      </c>
      <c r="K10" s="22">
        <v>789628.7423332578</v>
      </c>
      <c r="L10" s="22">
        <v>821213.89202658809</v>
      </c>
      <c r="M10" s="22">
        <v>1138749.9302768689</v>
      </c>
      <c r="N10" s="22">
        <v>1184299.9274879438</v>
      </c>
      <c r="O10" s="22">
        <v>1231671.9245874614</v>
      </c>
      <c r="P10" s="22">
        <v>1280938.8015709599</v>
      </c>
      <c r="Q10" s="22">
        <v>1332176.3536337987</v>
      </c>
      <c r="R10" s="22">
        <v>1385463.4077791504</v>
      </c>
      <c r="S10" s="22">
        <v>1440881.9440903165</v>
      </c>
      <c r="T10" s="22">
        <v>1498517.2218539291</v>
      </c>
      <c r="U10" s="22">
        <v>1558457.9107280865</v>
      </c>
      <c r="V10" s="22">
        <v>1620796.22715721</v>
      </c>
      <c r="W10" s="22">
        <v>1685628.0762434984</v>
      </c>
      <c r="X10" s="22">
        <v>1753053.1992932386</v>
      </c>
      <c r="Y10" s="22">
        <v>1823175.3272649681</v>
      </c>
      <c r="Z10" s="22">
        <v>1896102.3403555672</v>
      </c>
      <c r="AA10" s="22">
        <v>492986.60849244741</v>
      </c>
      <c r="AB10" s="22">
        <v>0</v>
      </c>
      <c r="AC10" s="22">
        <v>0</v>
      </c>
      <c r="AD10" s="22">
        <v>0</v>
      </c>
    </row>
    <row r="12" spans="1:30" ht="18.75">
      <c r="A12" s="128"/>
      <c r="B12" s="129" t="s">
        <v>243</v>
      </c>
      <c r="C12" s="128"/>
      <c r="D12" s="128"/>
      <c r="E12" s="607">
        <v>2014</v>
      </c>
      <c r="F12" s="607"/>
      <c r="G12" s="163"/>
    </row>
    <row r="13" spans="1:30">
      <c r="A13">
        <v>1</v>
      </c>
      <c r="C13" s="37" t="s">
        <v>244</v>
      </c>
    </row>
    <row r="14" spans="1:30">
      <c r="A14">
        <v>2</v>
      </c>
      <c r="D14" t="s">
        <v>245</v>
      </c>
      <c r="E14" s="187">
        <v>0.498</v>
      </c>
      <c r="H14" s="164" t="s">
        <v>246</v>
      </c>
    </row>
    <row r="15" spans="1:30">
      <c r="A15">
        <v>3</v>
      </c>
      <c r="D15" t="s">
        <v>247</v>
      </c>
      <c r="E15" s="188">
        <v>12576</v>
      </c>
      <c r="F15" s="151"/>
      <c r="H15" t="s">
        <v>248</v>
      </c>
    </row>
    <row r="16" spans="1:30">
      <c r="A16">
        <v>4</v>
      </c>
      <c r="D16" t="s">
        <v>249</v>
      </c>
      <c r="F16" s="189">
        <v>6262.848</v>
      </c>
      <c r="G16" s="189"/>
      <c r="H16" t="s">
        <v>250</v>
      </c>
    </row>
    <row r="17" spans="1:8" ht="15.75">
      <c r="A17">
        <v>5</v>
      </c>
      <c r="D17" t="s">
        <v>251</v>
      </c>
      <c r="E17" s="188">
        <v>16951</v>
      </c>
      <c r="F17" s="151"/>
      <c r="H17" s="190" t="s">
        <v>252</v>
      </c>
    </row>
    <row r="18" spans="1:8">
      <c r="A18">
        <v>6</v>
      </c>
      <c r="D18" t="s">
        <v>253</v>
      </c>
      <c r="F18" s="189">
        <v>8441.598</v>
      </c>
      <c r="G18" s="189"/>
      <c r="H18" t="s">
        <v>254</v>
      </c>
    </row>
    <row r="19" spans="1:8" ht="15.75" thickBot="1">
      <c r="A19">
        <v>7</v>
      </c>
      <c r="D19" s="152" t="s">
        <v>255</v>
      </c>
      <c r="E19" s="191"/>
      <c r="F19" s="192"/>
      <c r="G19" s="193">
        <v>-2178.75</v>
      </c>
      <c r="H19" t="s">
        <v>256</v>
      </c>
    </row>
    <row r="20" spans="1:8" ht="15.75" thickTop="1">
      <c r="A20">
        <v>8</v>
      </c>
      <c r="C20" s="37" t="s">
        <v>257</v>
      </c>
    </row>
    <row r="21" spans="1:8">
      <c r="A21">
        <v>9</v>
      </c>
      <c r="D21" t="s">
        <v>258</v>
      </c>
      <c r="E21" s="19">
        <v>3.5</v>
      </c>
      <c r="H21" s="131" t="s">
        <v>259</v>
      </c>
    </row>
    <row r="22" spans="1:8">
      <c r="A22">
        <v>10</v>
      </c>
      <c r="D22" t="s">
        <v>260</v>
      </c>
      <c r="E22" s="19">
        <v>1</v>
      </c>
      <c r="H22" s="131" t="s">
        <v>259</v>
      </c>
    </row>
    <row r="23" spans="1:8" ht="15.75" thickBot="1">
      <c r="A23">
        <v>11</v>
      </c>
      <c r="D23" s="152" t="s">
        <v>261</v>
      </c>
      <c r="E23" s="152"/>
      <c r="F23" s="147"/>
      <c r="G23" s="165">
        <v>-2.5</v>
      </c>
      <c r="H23" t="s">
        <v>262</v>
      </c>
    </row>
    <row r="24" spans="1:8" ht="15.75" thickTop="1">
      <c r="A24">
        <v>12</v>
      </c>
      <c r="C24" s="37" t="s">
        <v>263</v>
      </c>
      <c r="H24" s="145"/>
    </row>
    <row r="25" spans="1:8">
      <c r="A25">
        <v>13</v>
      </c>
      <c r="D25" t="s">
        <v>264</v>
      </c>
      <c r="E25" s="188">
        <v>4868</v>
      </c>
      <c r="H25" t="s">
        <v>265</v>
      </c>
    </row>
    <row r="26" spans="1:8">
      <c r="A26">
        <v>14</v>
      </c>
      <c r="D26" t="s">
        <v>266</v>
      </c>
      <c r="E26" s="188">
        <v>1512</v>
      </c>
      <c r="H26" t="s">
        <v>265</v>
      </c>
    </row>
    <row r="27" spans="1:8">
      <c r="A27">
        <v>15</v>
      </c>
      <c r="D27" t="s">
        <v>251</v>
      </c>
      <c r="E27" s="188">
        <v>16951</v>
      </c>
      <c r="F27" s="151"/>
      <c r="H27" t="s">
        <v>265</v>
      </c>
    </row>
    <row r="28" spans="1:8">
      <c r="A28">
        <v>16</v>
      </c>
      <c r="D28" t="s">
        <v>267</v>
      </c>
      <c r="F28" s="188">
        <v>40282</v>
      </c>
      <c r="H28" t="s">
        <v>268</v>
      </c>
    </row>
    <row r="29" spans="1:8">
      <c r="A29">
        <v>17</v>
      </c>
      <c r="D29" t="s">
        <v>269</v>
      </c>
      <c r="F29" s="98">
        <v>1.31</v>
      </c>
      <c r="H29" t="s">
        <v>270</v>
      </c>
    </row>
    <row r="30" spans="1:8" ht="15.75" thickBot="1">
      <c r="A30">
        <v>18</v>
      </c>
      <c r="D30" s="138" t="s">
        <v>271</v>
      </c>
      <c r="E30" s="147"/>
      <c r="F30" s="147"/>
      <c r="G30" s="159">
        <v>52769.420000000006</v>
      </c>
    </row>
    <row r="31" spans="1:8" ht="15.75" thickTop="1">
      <c r="A31">
        <v>19</v>
      </c>
      <c r="C31" t="s">
        <v>272</v>
      </c>
    </row>
    <row r="32" spans="1:8">
      <c r="A32">
        <v>20</v>
      </c>
      <c r="D32" t="s">
        <v>273</v>
      </c>
      <c r="E32" s="188">
        <v>6380</v>
      </c>
    </row>
    <row r="33" spans="1:10">
      <c r="A33">
        <v>21</v>
      </c>
      <c r="D33" t="s">
        <v>274</v>
      </c>
      <c r="E33">
        <v>57</v>
      </c>
      <c r="H33" t="s">
        <v>275</v>
      </c>
    </row>
    <row r="34" spans="1:10">
      <c r="A34">
        <v>22</v>
      </c>
      <c r="D34" t="s">
        <v>276</v>
      </c>
      <c r="F34" s="194">
        <v>363660</v>
      </c>
    </row>
    <row r="35" spans="1:10">
      <c r="A35">
        <v>26</v>
      </c>
      <c r="D35" t="s">
        <v>277</v>
      </c>
      <c r="E35" s="188">
        <v>3646</v>
      </c>
    </row>
    <row r="36" spans="1:10">
      <c r="A36">
        <v>27</v>
      </c>
      <c r="D36" t="s">
        <v>278</v>
      </c>
      <c r="E36">
        <v>57</v>
      </c>
    </row>
    <row r="37" spans="1:10">
      <c r="A37">
        <v>28</v>
      </c>
      <c r="D37" t="s">
        <v>276</v>
      </c>
      <c r="F37" s="194">
        <v>415644</v>
      </c>
      <c r="J37" s="17"/>
    </row>
    <row r="38" spans="1:10" ht="15.75" thickBot="1">
      <c r="A38">
        <v>29</v>
      </c>
      <c r="D38" s="138" t="s">
        <v>279</v>
      </c>
      <c r="E38" s="147"/>
      <c r="F38" s="147"/>
      <c r="G38" s="159">
        <v>779304</v>
      </c>
    </row>
    <row r="39" spans="1:10" ht="15.75" thickTop="1">
      <c r="A39">
        <v>30</v>
      </c>
    </row>
    <row r="40" spans="1:10">
      <c r="A40">
        <v>31</v>
      </c>
      <c r="D40" s="143" t="s">
        <v>280</v>
      </c>
      <c r="E40" s="143"/>
      <c r="F40" s="143"/>
      <c r="G40" s="144">
        <v>829894.67</v>
      </c>
    </row>
    <row r="41" spans="1:10">
      <c r="A41">
        <v>32</v>
      </c>
      <c r="D41" s="143" t="s">
        <v>281</v>
      </c>
      <c r="E41" s="143"/>
      <c r="F41" s="143"/>
      <c r="G41" s="144" t="s">
        <v>282</v>
      </c>
    </row>
  </sheetData>
  <mergeCells count="1">
    <mergeCell ref="E12:F12"/>
  </mergeCells>
  <hyperlinks>
    <hyperlink ref="H14" r:id="rId1" xr:uid="{00000000-0004-0000-0B00-000000000000}"/>
    <hyperlink ref="A1" location="Summary_RealizationSchedule!A1" display="Back to Summary" xr:uid="{00000000-0004-0000-0B00-000001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rgb="FF09FF78"/>
  </sheetPr>
  <dimension ref="A1:AI84"/>
  <sheetViews>
    <sheetView workbookViewId="0">
      <selection activeCell="N7" sqref="N7"/>
    </sheetView>
  </sheetViews>
  <sheetFormatPr defaultColWidth="9.140625" defaultRowHeight="15"/>
  <cols>
    <col min="1" max="1" width="4.28515625" customWidth="1"/>
    <col min="2" max="2" width="30.140625" style="195" customWidth="1"/>
    <col min="3" max="5" width="15.140625" customWidth="1"/>
    <col min="6" max="6" width="9" bestFit="1" customWidth="1"/>
    <col min="7" max="7" width="31" customWidth="1"/>
    <col min="8" max="8" width="15.42578125" style="19" customWidth="1"/>
    <col min="9" max="9" width="24.28515625" style="19" customWidth="1"/>
    <col min="10" max="10" width="13.28515625" style="19" bestFit="1" customWidth="1"/>
    <col min="11" max="25" width="11.5703125" style="19" bestFit="1" customWidth="1"/>
    <col min="26" max="27" width="12.5703125" style="19" bestFit="1" customWidth="1"/>
    <col min="28" max="28" width="11.5703125" style="19" bestFit="1" customWidth="1"/>
    <col min="29" max="30" width="11.28515625" style="19" customWidth="1"/>
    <col min="31" max="31" width="11.5703125" style="19" bestFit="1" customWidth="1"/>
    <col min="32" max="34" width="10.5703125" style="19" bestFit="1" customWidth="1"/>
  </cols>
  <sheetData>
    <row r="1" spans="1:35">
      <c r="A1" s="9" t="s">
        <v>55</v>
      </c>
    </row>
    <row r="2" spans="1:35" ht="21">
      <c r="A2" s="10" t="s">
        <v>56</v>
      </c>
      <c r="B2" s="240"/>
      <c r="F2" s="19"/>
      <c r="G2" s="11" t="s">
        <v>57</v>
      </c>
      <c r="H2"/>
      <c r="AI2" s="19"/>
    </row>
    <row r="3" spans="1:35">
      <c r="B3" s="240"/>
      <c r="F3" s="19"/>
      <c r="G3" s="12"/>
      <c r="H3" t="s">
        <v>58</v>
      </c>
      <c r="K3" s="19">
        <v>0</v>
      </c>
      <c r="L3" s="19">
        <v>0</v>
      </c>
      <c r="M3" s="19">
        <v>0</v>
      </c>
      <c r="N3" s="19">
        <v>0.3</v>
      </c>
      <c r="O3" s="19">
        <v>0.75</v>
      </c>
      <c r="P3" s="19">
        <v>0.75</v>
      </c>
      <c r="Q3" s="19">
        <v>0.75</v>
      </c>
      <c r="R3" s="19">
        <v>1</v>
      </c>
      <c r="S3" s="19">
        <v>1</v>
      </c>
      <c r="T3" s="19">
        <v>1</v>
      </c>
      <c r="U3" s="19">
        <v>1</v>
      </c>
      <c r="V3" s="19">
        <v>1</v>
      </c>
      <c r="W3" s="19">
        <v>1</v>
      </c>
      <c r="X3" s="19">
        <v>1</v>
      </c>
      <c r="Y3" s="19">
        <v>1</v>
      </c>
      <c r="Z3" s="19">
        <v>1</v>
      </c>
      <c r="AA3" s="19">
        <v>1</v>
      </c>
      <c r="AB3" s="19">
        <v>1</v>
      </c>
      <c r="AC3" s="19">
        <v>1</v>
      </c>
      <c r="AD3" s="19">
        <v>1</v>
      </c>
      <c r="AE3" s="19">
        <v>1</v>
      </c>
      <c r="AF3" s="19">
        <v>0.25</v>
      </c>
      <c r="AG3" s="19">
        <v>0</v>
      </c>
      <c r="AH3" s="19">
        <v>0</v>
      </c>
      <c r="AI3" s="19">
        <v>0</v>
      </c>
    </row>
    <row r="4" spans="1:35" ht="30">
      <c r="A4" t="s">
        <v>59</v>
      </c>
      <c r="B4" s="240"/>
      <c r="D4" s="200" t="s">
        <v>60</v>
      </c>
      <c r="E4" s="201" t="s">
        <v>61</v>
      </c>
      <c r="F4" s="19"/>
      <c r="G4" s="12"/>
      <c r="H4" s="19" t="s">
        <v>4</v>
      </c>
      <c r="I4" s="202" t="s">
        <v>62</v>
      </c>
      <c r="J4" s="202" t="s">
        <v>63</v>
      </c>
      <c r="K4" s="19">
        <v>2016</v>
      </c>
      <c r="L4" s="19">
        <v>2017</v>
      </c>
      <c r="M4" s="19">
        <v>2018</v>
      </c>
      <c r="N4" s="19">
        <v>2019</v>
      </c>
      <c r="O4" s="19">
        <v>2020</v>
      </c>
      <c r="P4" s="19">
        <v>2021</v>
      </c>
      <c r="Q4" s="19">
        <v>2022</v>
      </c>
      <c r="R4" s="19">
        <v>2023</v>
      </c>
      <c r="S4" s="19">
        <v>2024</v>
      </c>
      <c r="T4" s="19">
        <v>2025</v>
      </c>
      <c r="U4" s="19">
        <v>2026</v>
      </c>
      <c r="V4" s="19">
        <v>2027</v>
      </c>
      <c r="W4" s="19">
        <v>2028</v>
      </c>
      <c r="X4" s="19">
        <v>2029</v>
      </c>
      <c r="Y4" s="19">
        <v>2030</v>
      </c>
      <c r="Z4" s="19">
        <v>2031</v>
      </c>
      <c r="AA4" s="19">
        <v>2032</v>
      </c>
      <c r="AB4" s="19">
        <v>2033</v>
      </c>
      <c r="AC4" s="19">
        <v>2034</v>
      </c>
      <c r="AD4" s="19">
        <v>2035</v>
      </c>
      <c r="AE4" s="19">
        <v>2036</v>
      </c>
      <c r="AF4" s="19">
        <v>2037</v>
      </c>
      <c r="AG4" s="19">
        <v>2038</v>
      </c>
      <c r="AH4" s="19">
        <v>2039</v>
      </c>
      <c r="AI4" s="19">
        <v>2040</v>
      </c>
    </row>
    <row r="5" spans="1:35">
      <c r="B5" s="240" t="s">
        <v>64</v>
      </c>
      <c r="C5" s="13">
        <v>3060308</v>
      </c>
      <c r="D5" s="203"/>
      <c r="E5" s="204"/>
      <c r="F5" s="19"/>
      <c r="G5" s="12" t="s">
        <v>283</v>
      </c>
      <c r="H5" s="12"/>
      <c r="I5" s="20"/>
      <c r="J5" s="24"/>
      <c r="K5" s="19" t="s">
        <v>66</v>
      </c>
      <c r="L5" s="19" t="s">
        <v>66</v>
      </c>
      <c r="M5" s="19" t="s">
        <v>66</v>
      </c>
      <c r="N5" s="19" t="s">
        <v>66</v>
      </c>
      <c r="O5" s="19" t="s">
        <v>66</v>
      </c>
      <c r="P5" s="19" t="s">
        <v>66</v>
      </c>
      <c r="Q5" s="19" t="s">
        <v>66</v>
      </c>
      <c r="R5" s="19" t="s">
        <v>66</v>
      </c>
      <c r="S5" s="19" t="s">
        <v>66</v>
      </c>
      <c r="T5" s="19" t="s">
        <v>66</v>
      </c>
      <c r="U5" s="19" t="s">
        <v>66</v>
      </c>
      <c r="V5" s="19" t="s">
        <v>66</v>
      </c>
      <c r="W5" s="19" t="s">
        <v>66</v>
      </c>
      <c r="X5" s="19" t="s">
        <v>66</v>
      </c>
      <c r="Y5" s="19" t="s">
        <v>66</v>
      </c>
      <c r="Z5" s="19" t="s">
        <v>66</v>
      </c>
      <c r="AA5" s="19" t="s">
        <v>66</v>
      </c>
      <c r="AB5" s="19" t="s">
        <v>66</v>
      </c>
      <c r="AC5" s="19" t="s">
        <v>66</v>
      </c>
      <c r="AD5" s="19" t="s">
        <v>66</v>
      </c>
      <c r="AE5" s="19" t="s">
        <v>66</v>
      </c>
      <c r="AF5" s="19" t="s">
        <v>66</v>
      </c>
      <c r="AG5" s="19" t="s">
        <v>66</v>
      </c>
      <c r="AH5" s="19" t="s">
        <v>66</v>
      </c>
      <c r="AI5" s="19" t="s">
        <v>66</v>
      </c>
    </row>
    <row r="6" spans="1:35">
      <c r="B6" s="240" t="s">
        <v>67</v>
      </c>
      <c r="C6" s="13">
        <v>2396085</v>
      </c>
      <c r="D6" s="206">
        <v>2396085</v>
      </c>
      <c r="E6" s="207"/>
      <c r="F6" s="19"/>
      <c r="G6" s="12" t="s">
        <v>283</v>
      </c>
      <c r="H6" s="23"/>
      <c r="I6" s="20"/>
      <c r="J6" s="24"/>
      <c r="K6" s="208" t="s">
        <v>66</v>
      </c>
      <c r="L6" s="208" t="s">
        <v>66</v>
      </c>
      <c r="M6" s="208" t="s">
        <v>66</v>
      </c>
      <c r="N6" s="208" t="s">
        <v>66</v>
      </c>
      <c r="O6" s="208" t="s">
        <v>66</v>
      </c>
      <c r="P6" s="208" t="s">
        <v>66</v>
      </c>
      <c r="Q6" s="208" t="s">
        <v>66</v>
      </c>
      <c r="R6" s="208" t="s">
        <v>66</v>
      </c>
      <c r="S6" s="208" t="s">
        <v>66</v>
      </c>
      <c r="T6" s="208" t="s">
        <v>66</v>
      </c>
      <c r="U6" s="208" t="s">
        <v>66</v>
      </c>
      <c r="V6" s="208" t="s">
        <v>66</v>
      </c>
      <c r="W6" s="208" t="s">
        <v>66</v>
      </c>
      <c r="X6" s="208" t="s">
        <v>66</v>
      </c>
      <c r="Y6" s="208" t="s">
        <v>66</v>
      </c>
      <c r="Z6" s="208" t="s">
        <v>66</v>
      </c>
      <c r="AA6" s="208" t="s">
        <v>66</v>
      </c>
      <c r="AB6" s="208" t="s">
        <v>66</v>
      </c>
      <c r="AC6" s="208" t="s">
        <v>66</v>
      </c>
      <c r="AD6" s="208" t="s">
        <v>66</v>
      </c>
      <c r="AE6" s="208" t="s">
        <v>66</v>
      </c>
      <c r="AF6" s="208" t="s">
        <v>66</v>
      </c>
      <c r="AG6" s="208" t="s">
        <v>66</v>
      </c>
      <c r="AH6" s="208" t="s">
        <v>66</v>
      </c>
      <c r="AI6" s="208" t="s">
        <v>66</v>
      </c>
    </row>
    <row r="7" spans="1:35">
      <c r="B7" s="240" t="s">
        <v>68</v>
      </c>
      <c r="C7" s="13">
        <v>418704</v>
      </c>
      <c r="D7" s="203"/>
      <c r="E7" s="207">
        <v>418704</v>
      </c>
      <c r="F7" s="19"/>
      <c r="G7" s="12" t="s">
        <v>283</v>
      </c>
      <c r="H7" s="23">
        <v>5209645.9375321856</v>
      </c>
      <c r="I7" s="20">
        <v>0.03</v>
      </c>
      <c r="J7" s="24">
        <v>0.01</v>
      </c>
      <c r="K7" s="208">
        <v>0</v>
      </c>
      <c r="L7" s="208">
        <v>0</v>
      </c>
      <c r="M7" s="208">
        <v>0</v>
      </c>
      <c r="N7" s="208">
        <v>146947.33755187201</v>
      </c>
      <c r="O7" s="208">
        <v>382063.07763486728</v>
      </c>
      <c r="P7" s="208">
        <v>397345.60074026196</v>
      </c>
      <c r="Q7" s="208">
        <v>413239.42476987245</v>
      </c>
      <c r="R7" s="208">
        <v>573025.3356808899</v>
      </c>
      <c r="S7" s="208">
        <v>595946.34910812555</v>
      </c>
      <c r="T7" s="208">
        <v>619784.20307245059</v>
      </c>
      <c r="U7" s="208">
        <v>644575.57119534852</v>
      </c>
      <c r="V7" s="208">
        <v>670358.59404316265</v>
      </c>
      <c r="W7" s="208">
        <v>697172.93780488917</v>
      </c>
      <c r="X7" s="208">
        <v>725059.8553170847</v>
      </c>
      <c r="Y7" s="208">
        <v>754062.24952976801</v>
      </c>
      <c r="Z7" s="208">
        <v>784224.7395109589</v>
      </c>
      <c r="AA7" s="208">
        <v>815593.72909139725</v>
      </c>
      <c r="AB7" s="208">
        <v>848217.47825505328</v>
      </c>
      <c r="AC7" s="208">
        <v>882146.17738525535</v>
      </c>
      <c r="AD7" s="208">
        <v>917432.02448066557</v>
      </c>
      <c r="AE7" s="208">
        <v>954129.30545989249</v>
      </c>
      <c r="AF7" s="208">
        <v>248073.61941957203</v>
      </c>
      <c r="AG7" s="208">
        <v>0</v>
      </c>
      <c r="AH7" s="208">
        <v>0</v>
      </c>
      <c r="AI7" s="208">
        <v>0</v>
      </c>
    </row>
    <row r="8" spans="1:35" ht="45">
      <c r="B8" s="240" t="s">
        <v>69</v>
      </c>
      <c r="C8" s="13"/>
      <c r="D8" s="209">
        <v>0.85124853052928662</v>
      </c>
      <c r="E8" s="210">
        <v>0.14875146947071338</v>
      </c>
      <c r="F8" s="19"/>
      <c r="G8" s="12" t="s">
        <v>70</v>
      </c>
      <c r="H8" s="23" t="s">
        <v>66</v>
      </c>
      <c r="I8" s="20"/>
      <c r="J8" s="24"/>
      <c r="K8" s="208" t="s">
        <v>66</v>
      </c>
      <c r="L8" s="208" t="s">
        <v>66</v>
      </c>
      <c r="M8" s="208" t="s">
        <v>66</v>
      </c>
      <c r="N8" s="208" t="s">
        <v>66</v>
      </c>
      <c r="O8" s="208" t="s">
        <v>66</v>
      </c>
      <c r="P8" s="208" t="s">
        <v>66</v>
      </c>
      <c r="Q8" s="208" t="s">
        <v>66</v>
      </c>
      <c r="R8" s="208" t="s">
        <v>66</v>
      </c>
      <c r="S8" s="208" t="s">
        <v>66</v>
      </c>
      <c r="T8" s="208" t="s">
        <v>66</v>
      </c>
      <c r="U8" s="208" t="s">
        <v>66</v>
      </c>
      <c r="V8" s="208" t="s">
        <v>66</v>
      </c>
      <c r="W8" s="208" t="s">
        <v>66</v>
      </c>
      <c r="X8" s="208" t="s">
        <v>66</v>
      </c>
      <c r="Y8" s="208" t="s">
        <v>66</v>
      </c>
      <c r="Z8" s="208" t="s">
        <v>66</v>
      </c>
      <c r="AA8" s="208" t="s">
        <v>66</v>
      </c>
      <c r="AB8" s="208" t="s">
        <v>66</v>
      </c>
      <c r="AC8" s="208" t="s">
        <v>66</v>
      </c>
      <c r="AD8" s="208" t="s">
        <v>66</v>
      </c>
      <c r="AE8" s="208" t="s">
        <v>66</v>
      </c>
      <c r="AF8" s="208" t="s">
        <v>66</v>
      </c>
      <c r="AG8" s="208" t="s">
        <v>66</v>
      </c>
      <c r="AH8" s="208" t="s">
        <v>66</v>
      </c>
      <c r="AI8" s="208" t="s">
        <v>66</v>
      </c>
    </row>
    <row r="9" spans="1:35">
      <c r="B9" s="240" t="s">
        <v>71</v>
      </c>
      <c r="C9" s="13">
        <v>177241.72</v>
      </c>
      <c r="D9" s="206">
        <v>150876.75369848328</v>
      </c>
      <c r="E9" s="207">
        <v>26364.966301516728</v>
      </c>
      <c r="F9" s="19"/>
      <c r="G9" s="12" t="s">
        <v>283</v>
      </c>
      <c r="H9" s="23">
        <v>316241.99919927766</v>
      </c>
      <c r="I9" s="20">
        <v>0.03</v>
      </c>
      <c r="J9" s="24">
        <v>7.0000000000000001E-3</v>
      </c>
      <c r="K9" s="208">
        <v>0</v>
      </c>
      <c r="L9" s="208">
        <v>0</v>
      </c>
      <c r="M9" s="208">
        <v>0</v>
      </c>
      <c r="N9" s="208">
        <v>9146.6803254257229</v>
      </c>
      <c r="O9" s="208">
        <v>23712.768743666187</v>
      </c>
      <c r="P9" s="208">
        <v>24590.141187181835</v>
      </c>
      <c r="Q9" s="208">
        <v>25499.97641110756</v>
      </c>
      <c r="R9" s="208">
        <v>35257.967384424715</v>
      </c>
      <c r="S9" s="208">
        <v>36562.51217764843</v>
      </c>
      <c r="T9" s="208">
        <v>37915.325128221411</v>
      </c>
      <c r="U9" s="208">
        <v>39318.192157965605</v>
      </c>
      <c r="V9" s="208">
        <v>40772.96526781033</v>
      </c>
      <c r="W9" s="208">
        <v>42281.564982719312</v>
      </c>
      <c r="X9" s="208">
        <v>43845.982887079917</v>
      </c>
      <c r="Y9" s="208">
        <v>45468.284253901875</v>
      </c>
      <c r="Z9" s="208">
        <v>47150.61077129624</v>
      </c>
      <c r="AA9" s="208">
        <v>48895.183369834194</v>
      </c>
      <c r="AB9" s="208">
        <v>50704.305154518057</v>
      </c>
      <c r="AC9" s="208">
        <v>52580.364445235224</v>
      </c>
      <c r="AD9" s="208">
        <v>54525.837929708912</v>
      </c>
      <c r="AE9" s="208">
        <v>56543.293933108151</v>
      </c>
      <c r="AF9" s="208">
        <v>14658.848952158287</v>
      </c>
      <c r="AG9" s="208">
        <v>0</v>
      </c>
      <c r="AH9" s="208">
        <v>0</v>
      </c>
      <c r="AI9" s="208">
        <v>0</v>
      </c>
    </row>
    <row r="10" spans="1:35" ht="30">
      <c r="B10" s="240" t="s">
        <v>72</v>
      </c>
      <c r="C10" s="13">
        <v>89000</v>
      </c>
      <c r="D10" s="212">
        <v>10000</v>
      </c>
      <c r="E10" s="213">
        <v>79000</v>
      </c>
      <c r="F10" s="19"/>
      <c r="G10" s="12" t="s">
        <v>284</v>
      </c>
      <c r="H10" s="23">
        <v>947587.70601219009</v>
      </c>
      <c r="I10" s="20">
        <v>0.03</v>
      </c>
      <c r="J10" s="24">
        <v>7.0000000000000001E-3</v>
      </c>
      <c r="K10" s="214">
        <v>0</v>
      </c>
      <c r="L10" s="214">
        <v>0</v>
      </c>
      <c r="M10" s="214">
        <v>0</v>
      </c>
      <c r="N10" s="214">
        <v>27407.11812201569</v>
      </c>
      <c r="O10" s="214">
        <v>71052.953731325673</v>
      </c>
      <c r="P10" s="214">
        <v>73681.913019384723</v>
      </c>
      <c r="Q10" s="214">
        <v>76408.143801101964</v>
      </c>
      <c r="R10" s="214">
        <v>105646.99349565695</v>
      </c>
      <c r="S10" s="214">
        <v>109555.93225499625</v>
      </c>
      <c r="T10" s="214">
        <v>113609.5017484311</v>
      </c>
      <c r="U10" s="214">
        <v>117813.05331312305</v>
      </c>
      <c r="V10" s="214">
        <v>122172.13628570858</v>
      </c>
      <c r="W10" s="214">
        <v>126692.5053282798</v>
      </c>
      <c r="X10" s="214">
        <v>131380.12802542612</v>
      </c>
      <c r="Y10" s="214">
        <v>136241.1927623669</v>
      </c>
      <c r="Z10" s="214">
        <v>141282.11689457446</v>
      </c>
      <c r="AA10" s="214">
        <v>146509.5552196737</v>
      </c>
      <c r="AB10" s="214">
        <v>151930.40876280161</v>
      </c>
      <c r="AC10" s="214">
        <v>157551.83388702528</v>
      </c>
      <c r="AD10" s="214">
        <v>163381.25174084518</v>
      </c>
      <c r="AE10" s="214">
        <v>169426.35805525645</v>
      </c>
      <c r="AF10" s="214">
        <v>43923.783325825236</v>
      </c>
      <c r="AG10" s="214">
        <v>0</v>
      </c>
      <c r="AH10" s="214">
        <v>0</v>
      </c>
      <c r="AI10" s="214">
        <v>0</v>
      </c>
    </row>
    <row r="11" spans="1:35" ht="15.75" thickBot="1">
      <c r="B11" s="240" t="s">
        <v>74</v>
      </c>
      <c r="C11" s="223">
        <v>0</v>
      </c>
      <c r="D11" s="215">
        <v>0</v>
      </c>
      <c r="E11" s="216">
        <v>0</v>
      </c>
      <c r="F11" s="217"/>
      <c r="G11" s="218" t="s">
        <v>283</v>
      </c>
      <c r="H11" s="219">
        <v>0</v>
      </c>
      <c r="I11" s="220">
        <v>0.03</v>
      </c>
      <c r="J11" s="221">
        <v>7.0000000000000001E-3</v>
      </c>
      <c r="K11" s="222">
        <v>0</v>
      </c>
      <c r="L11" s="222">
        <v>0</v>
      </c>
      <c r="M11" s="222">
        <v>0</v>
      </c>
      <c r="N11" s="222">
        <v>0</v>
      </c>
      <c r="O11" s="222">
        <v>0</v>
      </c>
      <c r="P11" s="222">
        <v>0</v>
      </c>
      <c r="Q11" s="222">
        <v>0</v>
      </c>
      <c r="R11" s="222">
        <v>0</v>
      </c>
      <c r="S11" s="222">
        <v>0</v>
      </c>
      <c r="T11" s="222">
        <v>0</v>
      </c>
      <c r="U11" s="222">
        <v>0</v>
      </c>
      <c r="V11" s="222">
        <v>0</v>
      </c>
      <c r="W11" s="222">
        <v>0</v>
      </c>
      <c r="X11" s="222">
        <v>0</v>
      </c>
      <c r="Y11" s="222">
        <v>0</v>
      </c>
      <c r="Z11" s="222">
        <v>0</v>
      </c>
      <c r="AA11" s="222">
        <v>0</v>
      </c>
      <c r="AB11" s="222">
        <v>0</v>
      </c>
      <c r="AC11" s="222">
        <v>0</v>
      </c>
      <c r="AD11" s="222">
        <v>0</v>
      </c>
      <c r="AE11" s="222">
        <v>0</v>
      </c>
      <c r="AF11" s="222">
        <v>0</v>
      </c>
      <c r="AG11" s="222">
        <v>0</v>
      </c>
      <c r="AH11" s="222">
        <v>0</v>
      </c>
      <c r="AI11" s="222">
        <v>0</v>
      </c>
    </row>
    <row r="12" spans="1:35" ht="15.75" thickTop="1">
      <c r="B12" s="240" t="s">
        <v>75</v>
      </c>
      <c r="C12" s="13">
        <v>3081030.72</v>
      </c>
      <c r="D12" s="206">
        <v>2556961.7536984831</v>
      </c>
      <c r="E12" s="207">
        <v>524068.96630151675</v>
      </c>
      <c r="F12" s="19" t="s">
        <v>76</v>
      </c>
      <c r="G12" s="12"/>
      <c r="H12" s="23">
        <v>6473475.6427436536</v>
      </c>
      <c r="I12" s="23"/>
      <c r="J12" s="23"/>
      <c r="K12" s="23">
        <v>0</v>
      </c>
      <c r="L12" s="23">
        <v>0</v>
      </c>
      <c r="M12" s="23">
        <v>0</v>
      </c>
      <c r="N12" s="23">
        <v>183501.13599931344</v>
      </c>
      <c r="O12" s="23">
        <v>476828.80010985915</v>
      </c>
      <c r="P12" s="23">
        <v>495617.65494682849</v>
      </c>
      <c r="Q12" s="23">
        <v>515147.54498208198</v>
      </c>
      <c r="R12" s="23">
        <v>713930.29656097165</v>
      </c>
      <c r="S12" s="23">
        <v>742064.7935407703</v>
      </c>
      <c r="T12" s="23">
        <v>771309.02994910313</v>
      </c>
      <c r="U12" s="23">
        <v>801706.8166664372</v>
      </c>
      <c r="V12" s="23">
        <v>833303.69559668144</v>
      </c>
      <c r="W12" s="23">
        <v>866147.00811588822</v>
      </c>
      <c r="X12" s="23">
        <v>900285.96622959082</v>
      </c>
      <c r="Y12" s="23">
        <v>935771.72654603678</v>
      </c>
      <c r="Z12" s="23">
        <v>972657.46717682958</v>
      </c>
      <c r="AA12" s="23">
        <v>1010998.4676809051</v>
      </c>
      <c r="AB12" s="23">
        <v>1050852.1921723729</v>
      </c>
      <c r="AC12" s="23">
        <v>1092278.3757175158</v>
      </c>
      <c r="AD12" s="23">
        <v>1135339.1141512196</v>
      </c>
      <c r="AE12" s="23">
        <v>1180098.9574482571</v>
      </c>
      <c r="AF12" s="23">
        <v>306656.25169755553</v>
      </c>
      <c r="AG12" s="23">
        <v>0</v>
      </c>
      <c r="AH12" s="23">
        <v>0</v>
      </c>
      <c r="AI12" s="23">
        <v>0</v>
      </c>
    </row>
    <row r="13" spans="1:35">
      <c r="B13" s="240"/>
      <c r="D13" s="203"/>
      <c r="E13" s="204"/>
      <c r="F13" s="19"/>
      <c r="G13" s="12"/>
      <c r="H13" s="23" t="s">
        <v>66</v>
      </c>
      <c r="I13" s="20"/>
      <c r="J13" s="24"/>
      <c r="K13" s="208" t="s">
        <v>66</v>
      </c>
      <c r="L13" s="208" t="s">
        <v>66</v>
      </c>
      <c r="M13" s="208" t="s">
        <v>66</v>
      </c>
      <c r="N13" s="208" t="s">
        <v>66</v>
      </c>
      <c r="O13" s="208" t="s">
        <v>66</v>
      </c>
      <c r="P13" s="208" t="s">
        <v>66</v>
      </c>
      <c r="Q13" s="208" t="s">
        <v>66</v>
      </c>
      <c r="R13" s="208" t="s">
        <v>66</v>
      </c>
      <c r="S13" s="208" t="s">
        <v>66</v>
      </c>
      <c r="T13" s="208" t="s">
        <v>66</v>
      </c>
      <c r="U13" s="208" t="s">
        <v>66</v>
      </c>
      <c r="V13" s="208" t="s">
        <v>66</v>
      </c>
      <c r="W13" s="208" t="s">
        <v>66</v>
      </c>
      <c r="X13" s="208" t="s">
        <v>66</v>
      </c>
      <c r="Y13" s="208" t="s">
        <v>66</v>
      </c>
      <c r="Z13" s="208" t="s">
        <v>66</v>
      </c>
      <c r="AA13" s="208" t="s">
        <v>66</v>
      </c>
      <c r="AB13" s="208" t="s">
        <v>66</v>
      </c>
      <c r="AC13" s="208" t="s">
        <v>66</v>
      </c>
      <c r="AD13" s="208" t="s">
        <v>66</v>
      </c>
      <c r="AE13" s="208" t="s">
        <v>66</v>
      </c>
      <c r="AF13" s="208" t="s">
        <v>66</v>
      </c>
      <c r="AG13" s="208" t="s">
        <v>66</v>
      </c>
      <c r="AH13" s="208" t="s">
        <v>66</v>
      </c>
      <c r="AI13" s="208" t="s">
        <v>66</v>
      </c>
    </row>
    <row r="14" spans="1:35">
      <c r="A14" t="s">
        <v>77</v>
      </c>
      <c r="B14" s="240"/>
      <c r="D14" s="203"/>
      <c r="E14" s="204"/>
      <c r="F14" s="19"/>
      <c r="G14" s="12"/>
      <c r="H14" s="23" t="s">
        <v>66</v>
      </c>
      <c r="I14" s="20"/>
      <c r="J14" s="24"/>
      <c r="K14" s="208" t="s">
        <v>66</v>
      </c>
      <c r="L14" s="208" t="s">
        <v>66</v>
      </c>
      <c r="M14" s="208" t="s">
        <v>66</v>
      </c>
      <c r="N14" s="208" t="s">
        <v>66</v>
      </c>
      <c r="O14" s="208" t="s">
        <v>66</v>
      </c>
      <c r="P14" s="208" t="s">
        <v>66</v>
      </c>
      <c r="Q14" s="208" t="s">
        <v>66</v>
      </c>
      <c r="R14" s="208" t="s">
        <v>66</v>
      </c>
      <c r="S14" s="208" t="s">
        <v>66</v>
      </c>
      <c r="T14" s="208" t="s">
        <v>66</v>
      </c>
      <c r="U14" s="208" t="s">
        <v>66</v>
      </c>
      <c r="V14" s="208" t="s">
        <v>66</v>
      </c>
      <c r="W14" s="208" t="s">
        <v>66</v>
      </c>
      <c r="X14" s="208" t="s">
        <v>66</v>
      </c>
      <c r="Y14" s="208" t="s">
        <v>66</v>
      </c>
      <c r="Z14" s="208" t="s">
        <v>66</v>
      </c>
      <c r="AA14" s="208" t="s">
        <v>66</v>
      </c>
      <c r="AB14" s="208" t="s">
        <v>66</v>
      </c>
      <c r="AC14" s="208" t="s">
        <v>66</v>
      </c>
      <c r="AD14" s="208" t="s">
        <v>66</v>
      </c>
      <c r="AE14" s="208" t="s">
        <v>66</v>
      </c>
      <c r="AF14" s="208" t="s">
        <v>66</v>
      </c>
      <c r="AG14" s="208" t="s">
        <v>66</v>
      </c>
      <c r="AH14" s="208" t="s">
        <v>66</v>
      </c>
      <c r="AI14" s="208" t="s">
        <v>66</v>
      </c>
    </row>
    <row r="15" spans="1:35" ht="30">
      <c r="B15" s="240" t="s">
        <v>78</v>
      </c>
      <c r="C15" s="13">
        <v>52000</v>
      </c>
      <c r="D15" s="206">
        <v>52000</v>
      </c>
      <c r="E15" s="207">
        <v>0</v>
      </c>
      <c r="F15" s="19"/>
      <c r="G15" s="12" t="s">
        <v>285</v>
      </c>
      <c r="H15" s="23">
        <v>0</v>
      </c>
      <c r="I15" s="20">
        <v>0.03</v>
      </c>
      <c r="J15" s="24">
        <v>0</v>
      </c>
      <c r="K15" s="208">
        <v>0</v>
      </c>
      <c r="L15" s="208">
        <v>0</v>
      </c>
      <c r="M15" s="208">
        <v>0</v>
      </c>
      <c r="N15" s="208">
        <v>0</v>
      </c>
      <c r="O15" s="208">
        <v>0</v>
      </c>
      <c r="P15" s="208">
        <v>0</v>
      </c>
      <c r="Q15" s="208">
        <v>0</v>
      </c>
      <c r="R15" s="208">
        <v>0</v>
      </c>
      <c r="S15" s="208">
        <v>0</v>
      </c>
      <c r="T15" s="208">
        <v>0</v>
      </c>
      <c r="U15" s="208">
        <v>0</v>
      </c>
      <c r="V15" s="208">
        <v>0</v>
      </c>
      <c r="W15" s="208">
        <v>0</v>
      </c>
      <c r="X15" s="208">
        <v>0</v>
      </c>
      <c r="Y15" s="208">
        <v>0</v>
      </c>
      <c r="Z15" s="208">
        <v>0</v>
      </c>
      <c r="AA15" s="208">
        <v>0</v>
      </c>
      <c r="AB15" s="208">
        <v>0</v>
      </c>
      <c r="AC15" s="208">
        <v>0</v>
      </c>
      <c r="AD15" s="208">
        <v>0</v>
      </c>
      <c r="AE15" s="208">
        <v>0</v>
      </c>
      <c r="AF15" s="208">
        <v>0</v>
      </c>
      <c r="AG15" s="208">
        <v>0</v>
      </c>
      <c r="AH15" s="208">
        <v>0</v>
      </c>
      <c r="AI15" s="208">
        <v>0</v>
      </c>
    </row>
    <row r="16" spans="1:35" ht="60">
      <c r="B16" s="240" t="s">
        <v>80</v>
      </c>
      <c r="C16" s="13">
        <v>135122</v>
      </c>
      <c r="D16" s="206">
        <v>135122</v>
      </c>
      <c r="E16" s="207">
        <v>0</v>
      </c>
      <c r="F16" s="19"/>
      <c r="G16" s="12" t="s">
        <v>286</v>
      </c>
      <c r="H16" s="23">
        <v>0</v>
      </c>
      <c r="I16" s="20">
        <v>0.03</v>
      </c>
      <c r="J16" s="24">
        <v>0</v>
      </c>
      <c r="K16" s="208">
        <v>0</v>
      </c>
      <c r="L16" s="208">
        <v>0</v>
      </c>
      <c r="M16" s="208">
        <v>0</v>
      </c>
      <c r="N16" s="208">
        <v>0</v>
      </c>
      <c r="O16" s="208">
        <v>0</v>
      </c>
      <c r="P16" s="208">
        <v>0</v>
      </c>
      <c r="Q16" s="208">
        <v>0</v>
      </c>
      <c r="R16" s="208">
        <v>0</v>
      </c>
      <c r="S16" s="208">
        <v>0</v>
      </c>
      <c r="T16" s="208">
        <v>0</v>
      </c>
      <c r="U16" s="208">
        <v>0</v>
      </c>
      <c r="V16" s="208">
        <v>0</v>
      </c>
      <c r="W16" s="208">
        <v>0</v>
      </c>
      <c r="X16" s="208">
        <v>0</v>
      </c>
      <c r="Y16" s="208">
        <v>0</v>
      </c>
      <c r="Z16" s="208">
        <v>0</v>
      </c>
      <c r="AA16" s="208">
        <v>0</v>
      </c>
      <c r="AB16" s="208">
        <v>0</v>
      </c>
      <c r="AC16" s="208">
        <v>0</v>
      </c>
      <c r="AD16" s="208">
        <v>0</v>
      </c>
      <c r="AE16" s="208">
        <v>0</v>
      </c>
      <c r="AF16" s="208">
        <v>0</v>
      </c>
      <c r="AG16" s="208">
        <v>0</v>
      </c>
      <c r="AH16" s="208">
        <v>0</v>
      </c>
      <c r="AI16" s="208">
        <v>0</v>
      </c>
    </row>
    <row r="17" spans="1:35" ht="15.75" thickBot="1">
      <c r="B17" s="240" t="s">
        <v>82</v>
      </c>
      <c r="C17" s="223">
        <v>92000</v>
      </c>
      <c r="D17" s="215">
        <v>92000</v>
      </c>
      <c r="E17" s="216">
        <v>0</v>
      </c>
      <c r="F17" s="217"/>
      <c r="G17" s="218" t="s">
        <v>83</v>
      </c>
      <c r="H17" s="219">
        <v>0</v>
      </c>
      <c r="I17" s="220">
        <v>0.03</v>
      </c>
      <c r="J17" s="221">
        <v>7.0000000000000001E-3</v>
      </c>
      <c r="K17" s="222">
        <v>0</v>
      </c>
      <c r="L17" s="222">
        <v>0</v>
      </c>
      <c r="M17" s="222">
        <v>0</v>
      </c>
      <c r="N17" s="222">
        <v>0</v>
      </c>
      <c r="O17" s="222">
        <v>0</v>
      </c>
      <c r="P17" s="222">
        <v>0</v>
      </c>
      <c r="Q17" s="222">
        <v>0</v>
      </c>
      <c r="R17" s="222">
        <v>0</v>
      </c>
      <c r="S17" s="222">
        <v>0</v>
      </c>
      <c r="T17" s="222">
        <v>0</v>
      </c>
      <c r="U17" s="222">
        <v>0</v>
      </c>
      <c r="V17" s="222">
        <v>0</v>
      </c>
      <c r="W17" s="222">
        <v>0</v>
      </c>
      <c r="X17" s="222">
        <v>0</v>
      </c>
      <c r="Y17" s="222">
        <v>0</v>
      </c>
      <c r="Z17" s="222">
        <v>0</v>
      </c>
      <c r="AA17" s="222">
        <v>0</v>
      </c>
      <c r="AB17" s="222">
        <v>0</v>
      </c>
      <c r="AC17" s="222">
        <v>0</v>
      </c>
      <c r="AD17" s="222">
        <v>0</v>
      </c>
      <c r="AE17" s="222">
        <v>0</v>
      </c>
      <c r="AF17" s="222">
        <v>0</v>
      </c>
      <c r="AG17" s="222">
        <v>0</v>
      </c>
      <c r="AH17" s="222">
        <v>0</v>
      </c>
      <c r="AI17" s="222">
        <v>0</v>
      </c>
    </row>
    <row r="18" spans="1:35" ht="15.75" thickTop="1">
      <c r="B18" s="240" t="s">
        <v>84</v>
      </c>
      <c r="C18" s="13">
        <v>279122</v>
      </c>
      <c r="D18" s="206">
        <v>279122</v>
      </c>
      <c r="E18" s="207">
        <v>0</v>
      </c>
      <c r="F18" s="19" t="s">
        <v>76</v>
      </c>
      <c r="G18" s="12"/>
      <c r="H18" s="23">
        <v>0</v>
      </c>
      <c r="I18" s="23"/>
      <c r="J18" s="23"/>
      <c r="K18" s="23">
        <v>0</v>
      </c>
      <c r="L18" s="23">
        <v>0</v>
      </c>
      <c r="M18" s="23">
        <v>0</v>
      </c>
      <c r="N18" s="23">
        <v>0</v>
      </c>
      <c r="O18" s="23">
        <v>0</v>
      </c>
      <c r="P18" s="23">
        <v>0</v>
      </c>
      <c r="Q18" s="23">
        <v>0</v>
      </c>
      <c r="R18" s="23">
        <v>0</v>
      </c>
      <c r="S18" s="23">
        <v>0</v>
      </c>
      <c r="T18" s="23">
        <v>0</v>
      </c>
      <c r="U18" s="23">
        <v>0</v>
      </c>
      <c r="V18" s="23">
        <v>0</v>
      </c>
      <c r="W18" s="23">
        <v>0</v>
      </c>
      <c r="X18" s="23">
        <v>0</v>
      </c>
      <c r="Y18" s="23">
        <v>0</v>
      </c>
      <c r="Z18" s="23">
        <v>0</v>
      </c>
      <c r="AA18" s="23">
        <v>0</v>
      </c>
      <c r="AB18" s="23">
        <v>0</v>
      </c>
      <c r="AC18" s="23">
        <v>0</v>
      </c>
      <c r="AD18" s="23">
        <v>0</v>
      </c>
      <c r="AE18" s="23">
        <v>0</v>
      </c>
      <c r="AF18" s="23">
        <v>0</v>
      </c>
      <c r="AG18" s="23">
        <v>0</v>
      </c>
      <c r="AH18" s="23">
        <v>0</v>
      </c>
      <c r="AI18" s="23">
        <v>0</v>
      </c>
    </row>
    <row r="19" spans="1:35">
      <c r="B19" s="240"/>
      <c r="D19" s="203"/>
      <c r="E19" s="204"/>
      <c r="F19" s="19"/>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c r="A20" t="s">
        <v>85</v>
      </c>
      <c r="B20" s="240"/>
      <c r="D20" s="203"/>
      <c r="E20" s="204"/>
      <c r="F20" s="19"/>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c r="B21" s="240" t="s">
        <v>86</v>
      </c>
      <c r="C21" s="14">
        <v>20000</v>
      </c>
      <c r="D21" s="206">
        <v>20000</v>
      </c>
      <c r="E21" s="207"/>
      <c r="F21" s="19"/>
      <c r="G21" s="12" t="s">
        <v>287</v>
      </c>
      <c r="H21" s="23">
        <v>0</v>
      </c>
      <c r="I21" s="20">
        <v>0.03</v>
      </c>
      <c r="J21" s="24">
        <v>0.01</v>
      </c>
      <c r="K21" s="208">
        <v>0</v>
      </c>
      <c r="L21" s="208">
        <v>0</v>
      </c>
      <c r="M21" s="208">
        <v>0</v>
      </c>
      <c r="N21" s="208">
        <v>0</v>
      </c>
      <c r="O21" s="208">
        <v>0</v>
      </c>
      <c r="P21" s="208">
        <v>0</v>
      </c>
      <c r="Q21" s="208">
        <v>0</v>
      </c>
      <c r="R21" s="208">
        <v>0</v>
      </c>
      <c r="S21" s="208">
        <v>0</v>
      </c>
      <c r="T21" s="208">
        <v>0</v>
      </c>
      <c r="U21" s="208">
        <v>0</v>
      </c>
      <c r="V21" s="208">
        <v>0</v>
      </c>
      <c r="W21" s="208">
        <v>0</v>
      </c>
      <c r="X21" s="208">
        <v>0</v>
      </c>
      <c r="Y21" s="208">
        <v>0</v>
      </c>
      <c r="Z21" s="208">
        <v>0</v>
      </c>
      <c r="AA21" s="208">
        <v>0</v>
      </c>
      <c r="AB21" s="208">
        <v>0</v>
      </c>
      <c r="AC21" s="208">
        <v>0</v>
      </c>
      <c r="AD21" s="208">
        <v>0</v>
      </c>
      <c r="AE21" s="208">
        <v>0</v>
      </c>
      <c r="AF21" s="208">
        <v>0</v>
      </c>
      <c r="AG21" s="208">
        <v>0</v>
      </c>
      <c r="AH21" s="208">
        <v>0</v>
      </c>
      <c r="AI21" s="208">
        <v>0</v>
      </c>
    </row>
    <row r="22" spans="1:35" ht="30">
      <c r="B22" s="240" t="s">
        <v>88</v>
      </c>
      <c r="C22" s="16">
        <v>553306</v>
      </c>
      <c r="D22" s="224">
        <v>433306</v>
      </c>
      <c r="E22" s="207">
        <v>120000</v>
      </c>
      <c r="F22" s="19"/>
      <c r="G22" s="12" t="s">
        <v>89</v>
      </c>
      <c r="H22" s="23">
        <v>1493077.4783710265</v>
      </c>
      <c r="I22" s="20">
        <v>0.03</v>
      </c>
      <c r="J22" s="24">
        <v>0.01</v>
      </c>
      <c r="K22" s="208">
        <v>0</v>
      </c>
      <c r="L22" s="208">
        <v>0</v>
      </c>
      <c r="M22" s="208">
        <v>0</v>
      </c>
      <c r="N22" s="208">
        <v>42114.908159999999</v>
      </c>
      <c r="O22" s="208">
        <v>109498.76121600003</v>
      </c>
      <c r="P22" s="208">
        <v>113878.71166464002</v>
      </c>
      <c r="Q22" s="208">
        <v>118433.86013122564</v>
      </c>
      <c r="R22" s="208">
        <v>164228.2860486329</v>
      </c>
      <c r="S22" s="208">
        <v>170797.41749057823</v>
      </c>
      <c r="T22" s="208">
        <v>177629.31419020134</v>
      </c>
      <c r="U22" s="208">
        <v>184734.48675780938</v>
      </c>
      <c r="V22" s="208">
        <v>192123.8662281218</v>
      </c>
      <c r="W22" s="208">
        <v>199808.82087724668</v>
      </c>
      <c r="X22" s="208">
        <v>207801.17371233655</v>
      </c>
      <c r="Y22" s="208">
        <v>216113.22066083</v>
      </c>
      <c r="Z22" s="208">
        <v>224757.74948726324</v>
      </c>
      <c r="AA22" s="208">
        <v>233748.0594667538</v>
      </c>
      <c r="AB22" s="208">
        <v>243097.98184542396</v>
      </c>
      <c r="AC22" s="208">
        <v>252821.90111924091</v>
      </c>
      <c r="AD22" s="208">
        <v>262934.77716401056</v>
      </c>
      <c r="AE22" s="208">
        <v>273452.16825057106</v>
      </c>
      <c r="AF22" s="208">
        <v>71097.563745148465</v>
      </c>
      <c r="AG22" s="208">
        <v>0</v>
      </c>
      <c r="AH22" s="208">
        <v>0</v>
      </c>
      <c r="AI22" s="208">
        <v>0</v>
      </c>
    </row>
    <row r="23" spans="1:35" ht="15.75" thickBot="1">
      <c r="B23" s="240" t="s">
        <v>90</v>
      </c>
      <c r="C23" s="225">
        <v>1.05</v>
      </c>
      <c r="D23" s="215"/>
      <c r="E23" s="216"/>
      <c r="F23" s="217"/>
      <c r="G23" s="218" t="s">
        <v>91</v>
      </c>
      <c r="H23" s="219" t="s">
        <v>66</v>
      </c>
      <c r="I23" s="220"/>
      <c r="J23" s="221"/>
      <c r="K23" s="222" t="s">
        <v>66</v>
      </c>
      <c r="L23" s="222" t="s">
        <v>66</v>
      </c>
      <c r="M23" s="222" t="s">
        <v>66</v>
      </c>
      <c r="N23" s="222" t="s">
        <v>66</v>
      </c>
      <c r="O23" s="222" t="s">
        <v>66</v>
      </c>
      <c r="P23" s="222" t="s">
        <v>66</v>
      </c>
      <c r="Q23" s="222" t="s">
        <v>66</v>
      </c>
      <c r="R23" s="222" t="s">
        <v>66</v>
      </c>
      <c r="S23" s="222" t="s">
        <v>66</v>
      </c>
      <c r="T23" s="222" t="s">
        <v>66</v>
      </c>
      <c r="U23" s="222" t="s">
        <v>66</v>
      </c>
      <c r="V23" s="222" t="s">
        <v>66</v>
      </c>
      <c r="W23" s="222" t="s">
        <v>66</v>
      </c>
      <c r="X23" s="222" t="s">
        <v>66</v>
      </c>
      <c r="Y23" s="222" t="s">
        <v>66</v>
      </c>
      <c r="Z23" s="222" t="s">
        <v>66</v>
      </c>
      <c r="AA23" s="222" t="s">
        <v>66</v>
      </c>
      <c r="AB23" s="222" t="s">
        <v>66</v>
      </c>
      <c r="AC23" s="222" t="s">
        <v>66</v>
      </c>
      <c r="AD23" s="222" t="s">
        <v>66</v>
      </c>
      <c r="AE23" s="222" t="s">
        <v>66</v>
      </c>
      <c r="AF23" s="222" t="s">
        <v>66</v>
      </c>
      <c r="AG23" s="222" t="s">
        <v>66</v>
      </c>
      <c r="AH23" s="222" t="s">
        <v>66</v>
      </c>
      <c r="AI23" s="222" t="s">
        <v>66</v>
      </c>
    </row>
    <row r="24" spans="1:35" ht="30.75" thickTop="1">
      <c r="B24" s="240" t="s">
        <v>92</v>
      </c>
      <c r="D24" s="212">
        <v>454971.30000000005</v>
      </c>
      <c r="E24" s="207">
        <v>126000</v>
      </c>
      <c r="F24" s="19"/>
      <c r="G24" s="12" t="s">
        <v>93</v>
      </c>
      <c r="H24" s="23">
        <v>1493077.4783710265</v>
      </c>
      <c r="I24" s="23"/>
      <c r="J24" s="23"/>
      <c r="K24" s="23">
        <v>0</v>
      </c>
      <c r="L24" s="23">
        <v>0</v>
      </c>
      <c r="M24" s="23">
        <v>0</v>
      </c>
      <c r="N24" s="23">
        <v>42114.908159999999</v>
      </c>
      <c r="O24" s="23">
        <v>109498.76121600003</v>
      </c>
      <c r="P24" s="23">
        <v>113878.71166464002</v>
      </c>
      <c r="Q24" s="23">
        <v>118433.86013122564</v>
      </c>
      <c r="R24" s="23">
        <v>164228.2860486329</v>
      </c>
      <c r="S24" s="23">
        <v>170797.41749057823</v>
      </c>
      <c r="T24" s="23">
        <v>177629.31419020134</v>
      </c>
      <c r="U24" s="23">
        <v>184734.48675780938</v>
      </c>
      <c r="V24" s="23">
        <v>192123.8662281218</v>
      </c>
      <c r="W24" s="23">
        <v>199808.82087724668</v>
      </c>
      <c r="X24" s="23">
        <v>207801.17371233655</v>
      </c>
      <c r="Y24" s="23">
        <v>216113.22066083</v>
      </c>
      <c r="Z24" s="23">
        <v>224757.74948726324</v>
      </c>
      <c r="AA24" s="23">
        <v>233748.0594667538</v>
      </c>
      <c r="AB24" s="23">
        <v>243097.98184542396</v>
      </c>
      <c r="AC24" s="23">
        <v>252821.90111924091</v>
      </c>
      <c r="AD24" s="23">
        <v>262934.77716401056</v>
      </c>
      <c r="AE24" s="23">
        <v>273452.16825057106</v>
      </c>
      <c r="AF24" s="23">
        <v>71097.563745148465</v>
      </c>
      <c r="AG24" s="23">
        <v>0</v>
      </c>
      <c r="AH24" s="23">
        <v>0</v>
      </c>
      <c r="AI24" s="23">
        <v>0</v>
      </c>
    </row>
    <row r="25" spans="1:35">
      <c r="B25" s="240"/>
      <c r="C25" s="14"/>
      <c r="D25" s="206"/>
      <c r="E25" s="207"/>
      <c r="F25" s="19"/>
      <c r="G25" s="12"/>
      <c r="H25" s="23" t="s">
        <v>66</v>
      </c>
      <c r="I25" s="20"/>
      <c r="J25" s="24"/>
      <c r="K25" s="208" t="s">
        <v>66</v>
      </c>
      <c r="L25" s="208" t="s">
        <v>66</v>
      </c>
      <c r="M25" s="208" t="s">
        <v>66</v>
      </c>
      <c r="N25" s="208" t="s">
        <v>66</v>
      </c>
      <c r="O25" s="208" t="s">
        <v>66</v>
      </c>
      <c r="P25" s="208" t="s">
        <v>66</v>
      </c>
      <c r="Q25" s="208" t="s">
        <v>66</v>
      </c>
      <c r="R25" s="208" t="s">
        <v>66</v>
      </c>
      <c r="S25" s="208" t="s">
        <v>66</v>
      </c>
      <c r="T25" s="208" t="s">
        <v>66</v>
      </c>
      <c r="U25" s="208" t="s">
        <v>66</v>
      </c>
      <c r="V25" s="208" t="s">
        <v>66</v>
      </c>
      <c r="W25" s="208" t="s">
        <v>66</v>
      </c>
      <c r="X25" s="208" t="s">
        <v>66</v>
      </c>
      <c r="Y25" s="208" t="s">
        <v>66</v>
      </c>
      <c r="Z25" s="208" t="s">
        <v>66</v>
      </c>
      <c r="AA25" s="208" t="s">
        <v>66</v>
      </c>
      <c r="AB25" s="208" t="s">
        <v>66</v>
      </c>
      <c r="AC25" s="208" t="s">
        <v>66</v>
      </c>
      <c r="AD25" s="208" t="s">
        <v>66</v>
      </c>
      <c r="AE25" s="208" t="s">
        <v>66</v>
      </c>
      <c r="AF25" s="208" t="s">
        <v>66</v>
      </c>
      <c r="AG25" s="208" t="s">
        <v>66</v>
      </c>
      <c r="AH25" s="208" t="s">
        <v>66</v>
      </c>
      <c r="AI25" s="208" t="s">
        <v>66</v>
      </c>
    </row>
    <row r="26" spans="1:35">
      <c r="A26" t="s">
        <v>94</v>
      </c>
      <c r="B26" s="240"/>
      <c r="C26" s="14"/>
      <c r="D26" s="206"/>
      <c r="E26" s="207"/>
      <c r="F26" s="19"/>
      <c r="G26" s="12"/>
      <c r="H26" s="23" t="s">
        <v>66</v>
      </c>
      <c r="I26" s="20"/>
      <c r="J26" s="24"/>
      <c r="K26" s="208" t="s">
        <v>66</v>
      </c>
      <c r="L26" s="208" t="s">
        <v>66</v>
      </c>
      <c r="M26" s="208" t="s">
        <v>66</v>
      </c>
      <c r="N26" s="208" t="s">
        <v>66</v>
      </c>
      <c r="O26" s="208" t="s">
        <v>66</v>
      </c>
      <c r="P26" s="208" t="s">
        <v>66</v>
      </c>
      <c r="Q26" s="208" t="s">
        <v>66</v>
      </c>
      <c r="R26" s="208" t="s">
        <v>66</v>
      </c>
      <c r="S26" s="208" t="s">
        <v>66</v>
      </c>
      <c r="T26" s="208" t="s">
        <v>66</v>
      </c>
      <c r="U26" s="208" t="s">
        <v>66</v>
      </c>
      <c r="V26" s="208" t="s">
        <v>66</v>
      </c>
      <c r="W26" s="208" t="s">
        <v>66</v>
      </c>
      <c r="X26" s="208" t="s">
        <v>66</v>
      </c>
      <c r="Y26" s="208" t="s">
        <v>66</v>
      </c>
      <c r="Z26" s="208" t="s">
        <v>66</v>
      </c>
      <c r="AA26" s="208" t="s">
        <v>66</v>
      </c>
      <c r="AB26" s="208" t="s">
        <v>66</v>
      </c>
      <c r="AC26" s="208" t="s">
        <v>66</v>
      </c>
      <c r="AD26" s="208" t="s">
        <v>66</v>
      </c>
      <c r="AE26" s="208" t="s">
        <v>66</v>
      </c>
      <c r="AF26" s="208" t="s">
        <v>66</v>
      </c>
      <c r="AG26" s="208" t="s">
        <v>66</v>
      </c>
      <c r="AH26" s="208" t="s">
        <v>66</v>
      </c>
      <c r="AI26" s="208" t="s">
        <v>66</v>
      </c>
    </row>
    <row r="27" spans="1:35" ht="45">
      <c r="B27" s="240" t="s">
        <v>95</v>
      </c>
      <c r="C27" s="14">
        <v>56785</v>
      </c>
      <c r="D27" s="206">
        <v>56785</v>
      </c>
      <c r="E27" s="207"/>
      <c r="F27" s="19"/>
      <c r="G27" s="12" t="s">
        <v>96</v>
      </c>
      <c r="H27" s="23" t="s">
        <v>66</v>
      </c>
      <c r="I27" s="20"/>
      <c r="J27" s="24"/>
      <c r="K27" s="208" t="s">
        <v>66</v>
      </c>
      <c r="L27" s="208" t="s">
        <v>66</v>
      </c>
      <c r="M27" s="208" t="s">
        <v>66</v>
      </c>
      <c r="N27" s="208" t="s">
        <v>66</v>
      </c>
      <c r="O27" s="208" t="s">
        <v>66</v>
      </c>
      <c r="P27" s="208" t="s">
        <v>66</v>
      </c>
      <c r="Q27" s="208" t="s">
        <v>66</v>
      </c>
      <c r="R27" s="208" t="s">
        <v>66</v>
      </c>
      <c r="S27" s="208" t="s">
        <v>66</v>
      </c>
      <c r="T27" s="208" t="s">
        <v>66</v>
      </c>
      <c r="U27" s="208" t="s">
        <v>66</v>
      </c>
      <c r="V27" s="208" t="s">
        <v>66</v>
      </c>
      <c r="W27" s="208" t="s">
        <v>66</v>
      </c>
      <c r="X27" s="208" t="s">
        <v>66</v>
      </c>
      <c r="Y27" s="208" t="s">
        <v>66</v>
      </c>
      <c r="Z27" s="208" t="s">
        <v>66</v>
      </c>
      <c r="AA27" s="208" t="s">
        <v>66</v>
      </c>
      <c r="AB27" s="208" t="s">
        <v>66</v>
      </c>
      <c r="AC27" s="208" t="s">
        <v>66</v>
      </c>
      <c r="AD27" s="208" t="s">
        <v>66</v>
      </c>
      <c r="AE27" s="208" t="s">
        <v>66</v>
      </c>
      <c r="AF27" s="208" t="s">
        <v>66</v>
      </c>
      <c r="AG27" s="208" t="s">
        <v>66</v>
      </c>
      <c r="AH27" s="208" t="s">
        <v>66</v>
      </c>
      <c r="AI27" s="208" t="s">
        <v>66</v>
      </c>
    </row>
    <row r="28" spans="1:35" ht="15.75" thickBot="1">
      <c r="B28" s="240" t="s">
        <v>97</v>
      </c>
      <c r="C28" s="227">
        <v>12000</v>
      </c>
      <c r="D28" s="215"/>
      <c r="E28" s="216">
        <v>12000</v>
      </c>
      <c r="F28" s="217"/>
      <c r="G28" s="218"/>
      <c r="H28" s="219">
        <v>149307.74783710268</v>
      </c>
      <c r="I28" s="220">
        <v>0.03</v>
      </c>
      <c r="J28" s="221">
        <v>0.01</v>
      </c>
      <c r="K28" s="222">
        <v>0</v>
      </c>
      <c r="L28" s="222">
        <v>0</v>
      </c>
      <c r="M28" s="222">
        <v>0</v>
      </c>
      <c r="N28" s="222">
        <v>4211.4908160000005</v>
      </c>
      <c r="O28" s="222">
        <v>10949.876121600002</v>
      </c>
      <c r="P28" s="222">
        <v>11387.871166464003</v>
      </c>
      <c r="Q28" s="222">
        <v>11843.386013122563</v>
      </c>
      <c r="R28" s="222">
        <v>16422.828604863291</v>
      </c>
      <c r="S28" s="222">
        <v>17079.741749057823</v>
      </c>
      <c r="T28" s="222">
        <v>17762.931419020137</v>
      </c>
      <c r="U28" s="222">
        <v>18473.448675780939</v>
      </c>
      <c r="V28" s="222">
        <v>19212.386622812181</v>
      </c>
      <c r="W28" s="222">
        <v>19980.882087724669</v>
      </c>
      <c r="X28" s="222">
        <v>20780.117371233657</v>
      </c>
      <c r="Y28" s="222">
        <v>21611.322066083001</v>
      </c>
      <c r="Z28" s="222">
        <v>22475.774948726325</v>
      </c>
      <c r="AA28" s="222">
        <v>23374.805946675377</v>
      </c>
      <c r="AB28" s="222">
        <v>24309.798184542396</v>
      </c>
      <c r="AC28" s="222">
        <v>25282.19011192409</v>
      </c>
      <c r="AD28" s="222">
        <v>26293.477716401056</v>
      </c>
      <c r="AE28" s="222">
        <v>27345.216825057105</v>
      </c>
      <c r="AF28" s="222">
        <v>7109.7563745148464</v>
      </c>
      <c r="AG28" s="222">
        <v>0</v>
      </c>
      <c r="AH28" s="222">
        <v>0</v>
      </c>
      <c r="AI28" s="222">
        <v>0</v>
      </c>
    </row>
    <row r="29" spans="1:35" ht="15.75" thickTop="1">
      <c r="B29" s="240" t="s">
        <v>98</v>
      </c>
      <c r="C29" s="14">
        <v>68785</v>
      </c>
      <c r="D29" s="206">
        <v>56785</v>
      </c>
      <c r="E29" s="207">
        <v>12000</v>
      </c>
      <c r="F29" s="19"/>
      <c r="G29" s="12"/>
      <c r="H29" s="23">
        <v>149307.74783710268</v>
      </c>
      <c r="I29" s="20">
        <v>0.03</v>
      </c>
      <c r="J29" s="24">
        <v>0.01</v>
      </c>
      <c r="K29" s="208">
        <v>0</v>
      </c>
      <c r="L29" s="208">
        <v>0</v>
      </c>
      <c r="M29" s="208">
        <v>0</v>
      </c>
      <c r="N29" s="208">
        <v>4211.4908160000005</v>
      </c>
      <c r="O29" s="208">
        <v>10949.876121600002</v>
      </c>
      <c r="P29" s="208">
        <v>11387.871166464003</v>
      </c>
      <c r="Q29" s="208">
        <v>11843.386013122563</v>
      </c>
      <c r="R29" s="208">
        <v>16422.828604863291</v>
      </c>
      <c r="S29" s="208">
        <v>17079.741749057823</v>
      </c>
      <c r="T29" s="208">
        <v>17762.931419020137</v>
      </c>
      <c r="U29" s="208">
        <v>18473.448675780939</v>
      </c>
      <c r="V29" s="208">
        <v>19212.386622812181</v>
      </c>
      <c r="W29" s="208">
        <v>19980.882087724669</v>
      </c>
      <c r="X29" s="208">
        <v>20780.117371233657</v>
      </c>
      <c r="Y29" s="208">
        <v>21611.322066083001</v>
      </c>
      <c r="Z29" s="208">
        <v>22475.774948726325</v>
      </c>
      <c r="AA29" s="208">
        <v>23374.805946675377</v>
      </c>
      <c r="AB29" s="208">
        <v>24309.798184542396</v>
      </c>
      <c r="AC29" s="208">
        <v>25282.19011192409</v>
      </c>
      <c r="AD29" s="208">
        <v>26293.477716401056</v>
      </c>
      <c r="AE29" s="208">
        <v>27345.216825057105</v>
      </c>
      <c r="AF29" s="208">
        <v>7109.7563745148464</v>
      </c>
      <c r="AG29" s="208">
        <v>0</v>
      </c>
      <c r="AH29" s="208">
        <v>0</v>
      </c>
      <c r="AI29" s="208">
        <v>0</v>
      </c>
    </row>
    <row r="30" spans="1:35">
      <c r="B30" s="240"/>
      <c r="C30" s="14"/>
      <c r="D30" s="206"/>
      <c r="E30" s="207"/>
      <c r="F30" s="19"/>
      <c r="G30" s="12"/>
      <c r="H30" s="23" t="s">
        <v>66</v>
      </c>
      <c r="I30" s="20"/>
      <c r="J30" s="24"/>
      <c r="K30" s="208" t="s">
        <v>66</v>
      </c>
      <c r="L30" s="208" t="s">
        <v>66</v>
      </c>
      <c r="M30" s="208" t="s">
        <v>66</v>
      </c>
      <c r="N30" s="208" t="s">
        <v>66</v>
      </c>
      <c r="O30" s="208" t="s">
        <v>66</v>
      </c>
      <c r="P30" s="208" t="s">
        <v>66</v>
      </c>
      <c r="Q30" s="208" t="s">
        <v>66</v>
      </c>
      <c r="R30" s="208" t="s">
        <v>66</v>
      </c>
      <c r="S30" s="208" t="s">
        <v>66</v>
      </c>
      <c r="T30" s="208" t="s">
        <v>66</v>
      </c>
      <c r="U30" s="208" t="s">
        <v>66</v>
      </c>
      <c r="V30" s="208" t="s">
        <v>66</v>
      </c>
      <c r="W30" s="208" t="s">
        <v>66</v>
      </c>
      <c r="X30" s="208" t="s">
        <v>66</v>
      </c>
      <c r="Y30" s="208" t="s">
        <v>66</v>
      </c>
      <c r="Z30" s="208" t="s">
        <v>66</v>
      </c>
      <c r="AA30" s="208" t="s">
        <v>66</v>
      </c>
      <c r="AB30" s="208" t="s">
        <v>66</v>
      </c>
      <c r="AC30" s="208" t="s">
        <v>66</v>
      </c>
      <c r="AD30" s="208" t="s">
        <v>66</v>
      </c>
      <c r="AE30" s="208" t="s">
        <v>66</v>
      </c>
      <c r="AF30" s="208" t="s">
        <v>66</v>
      </c>
      <c r="AG30" s="208" t="s">
        <v>66</v>
      </c>
      <c r="AH30" s="208" t="s">
        <v>66</v>
      </c>
      <c r="AI30" s="208" t="s">
        <v>66</v>
      </c>
    </row>
    <row r="31" spans="1:35">
      <c r="A31" t="s">
        <v>99</v>
      </c>
      <c r="B31" s="240"/>
      <c r="D31" s="206"/>
      <c r="E31" s="207"/>
      <c r="F31" s="19"/>
      <c r="G31" s="12"/>
      <c r="H31" s="23" t="s">
        <v>66</v>
      </c>
      <c r="I31" s="20"/>
      <c r="J31" s="24"/>
      <c r="K31" s="208" t="s">
        <v>66</v>
      </c>
      <c r="L31" s="208" t="s">
        <v>66</v>
      </c>
      <c r="M31" s="208" t="s">
        <v>66</v>
      </c>
      <c r="N31" s="208" t="s">
        <v>66</v>
      </c>
      <c r="O31" s="208" t="s">
        <v>66</v>
      </c>
      <c r="P31" s="208" t="s">
        <v>66</v>
      </c>
      <c r="Q31" s="208" t="s">
        <v>66</v>
      </c>
      <c r="R31" s="208" t="s">
        <v>66</v>
      </c>
      <c r="S31" s="208" t="s">
        <v>66</v>
      </c>
      <c r="T31" s="208" t="s">
        <v>66</v>
      </c>
      <c r="U31" s="208" t="s">
        <v>66</v>
      </c>
      <c r="V31" s="208" t="s">
        <v>66</v>
      </c>
      <c r="W31" s="208" t="s">
        <v>66</v>
      </c>
      <c r="X31" s="208" t="s">
        <v>66</v>
      </c>
      <c r="Y31" s="208" t="s">
        <v>66</v>
      </c>
      <c r="Z31" s="208" t="s">
        <v>66</v>
      </c>
      <c r="AA31" s="208" t="s">
        <v>66</v>
      </c>
      <c r="AB31" s="208" t="s">
        <v>66</v>
      </c>
      <c r="AC31" s="208" t="s">
        <v>66</v>
      </c>
      <c r="AD31" s="208" t="s">
        <v>66</v>
      </c>
      <c r="AE31" s="208" t="s">
        <v>66</v>
      </c>
      <c r="AF31" s="208" t="s">
        <v>66</v>
      </c>
      <c r="AG31" s="208" t="s">
        <v>66</v>
      </c>
      <c r="AH31" s="208" t="s">
        <v>66</v>
      </c>
      <c r="AI31" s="208" t="s">
        <v>66</v>
      </c>
    </row>
    <row r="32" spans="1:35" ht="30">
      <c r="B32" s="240" t="s">
        <v>100</v>
      </c>
      <c r="D32" s="206"/>
      <c r="E32" s="207"/>
      <c r="F32" s="19"/>
      <c r="G32" s="12"/>
      <c r="H32" s="23" t="s">
        <v>66</v>
      </c>
      <c r="I32" s="20"/>
      <c r="J32" s="24"/>
      <c r="K32" s="208" t="s">
        <v>66</v>
      </c>
      <c r="L32" s="208" t="s">
        <v>66</v>
      </c>
      <c r="M32" s="208" t="s">
        <v>66</v>
      </c>
      <c r="N32" s="208" t="s">
        <v>66</v>
      </c>
      <c r="O32" s="208" t="s">
        <v>66</v>
      </c>
      <c r="P32" s="208" t="s">
        <v>66</v>
      </c>
      <c r="Q32" s="208" t="s">
        <v>66</v>
      </c>
      <c r="R32" s="208" t="s">
        <v>66</v>
      </c>
      <c r="S32" s="208" t="s">
        <v>66</v>
      </c>
      <c r="T32" s="208" t="s">
        <v>66</v>
      </c>
      <c r="U32" s="208" t="s">
        <v>66</v>
      </c>
      <c r="V32" s="208" t="s">
        <v>66</v>
      </c>
      <c r="W32" s="208" t="s">
        <v>66</v>
      </c>
      <c r="X32" s="208" t="s">
        <v>66</v>
      </c>
      <c r="Y32" s="208" t="s">
        <v>66</v>
      </c>
      <c r="Z32" s="208" t="s">
        <v>66</v>
      </c>
      <c r="AA32" s="208" t="s">
        <v>66</v>
      </c>
      <c r="AB32" s="208" t="s">
        <v>66</v>
      </c>
      <c r="AC32" s="208" t="s">
        <v>66</v>
      </c>
      <c r="AD32" s="208" t="s">
        <v>66</v>
      </c>
      <c r="AE32" s="208" t="s">
        <v>66</v>
      </c>
      <c r="AF32" s="208" t="s">
        <v>66</v>
      </c>
      <c r="AG32" s="208" t="s">
        <v>66</v>
      </c>
      <c r="AH32" s="208" t="s">
        <v>66</v>
      </c>
      <c r="AI32" s="208" t="s">
        <v>66</v>
      </c>
    </row>
    <row r="33" spans="1:35" ht="30">
      <c r="B33" s="240" t="s">
        <v>88</v>
      </c>
      <c r="C33" s="17"/>
      <c r="D33" s="224">
        <v>433306</v>
      </c>
      <c r="E33" s="228">
        <v>120000</v>
      </c>
      <c r="F33" s="19"/>
      <c r="G33" s="12" t="s">
        <v>89</v>
      </c>
      <c r="H33" s="23" t="s">
        <v>66</v>
      </c>
      <c r="I33" s="20"/>
      <c r="J33" s="24"/>
      <c r="K33" s="208" t="s">
        <v>66</v>
      </c>
      <c r="L33" s="208" t="s">
        <v>66</v>
      </c>
      <c r="M33" s="208" t="s">
        <v>66</v>
      </c>
      <c r="N33" s="208" t="s">
        <v>66</v>
      </c>
      <c r="O33" s="208" t="s">
        <v>66</v>
      </c>
      <c r="P33" s="208" t="s">
        <v>66</v>
      </c>
      <c r="Q33" s="208" t="s">
        <v>66</v>
      </c>
      <c r="R33" s="208" t="s">
        <v>66</v>
      </c>
      <c r="S33" s="208" t="s">
        <v>66</v>
      </c>
      <c r="T33" s="208" t="s">
        <v>66</v>
      </c>
      <c r="U33" s="208" t="s">
        <v>66</v>
      </c>
      <c r="V33" s="208" t="s">
        <v>66</v>
      </c>
      <c r="W33" s="208" t="s">
        <v>66</v>
      </c>
      <c r="X33" s="208" t="s">
        <v>66</v>
      </c>
      <c r="Y33" s="208" t="s">
        <v>66</v>
      </c>
      <c r="Z33" s="208" t="s">
        <v>66</v>
      </c>
      <c r="AA33" s="208" t="s">
        <v>66</v>
      </c>
      <c r="AB33" s="208" t="s">
        <v>66</v>
      </c>
      <c r="AC33" s="208" t="s">
        <v>66</v>
      </c>
      <c r="AD33" s="208" t="s">
        <v>66</v>
      </c>
      <c r="AE33" s="208" t="s">
        <v>66</v>
      </c>
      <c r="AF33" s="208" t="s">
        <v>66</v>
      </c>
      <c r="AG33" s="208" t="s">
        <v>66</v>
      </c>
      <c r="AH33" s="208" t="s">
        <v>66</v>
      </c>
      <c r="AI33" s="208" t="s">
        <v>66</v>
      </c>
    </row>
    <row r="34" spans="1:35" ht="60">
      <c r="B34" s="240" t="s">
        <v>101</v>
      </c>
      <c r="C34">
        <v>0.96</v>
      </c>
      <c r="D34" s="206"/>
      <c r="E34" s="207"/>
      <c r="F34" s="19"/>
      <c r="G34" s="12" t="s">
        <v>102</v>
      </c>
      <c r="H34" s="23" t="s">
        <v>66</v>
      </c>
      <c r="I34" s="20"/>
      <c r="J34" s="24"/>
      <c r="K34" s="208" t="s">
        <v>66</v>
      </c>
      <c r="L34" s="208" t="s">
        <v>66</v>
      </c>
      <c r="M34" s="208" t="s">
        <v>66</v>
      </c>
      <c r="N34" s="208" t="s">
        <v>66</v>
      </c>
      <c r="O34" s="208" t="s">
        <v>66</v>
      </c>
      <c r="P34" s="208" t="s">
        <v>66</v>
      </c>
      <c r="Q34" s="208" t="s">
        <v>66</v>
      </c>
      <c r="R34" s="208" t="s">
        <v>66</v>
      </c>
      <c r="S34" s="208" t="s">
        <v>66</v>
      </c>
      <c r="T34" s="208" t="s">
        <v>66</v>
      </c>
      <c r="U34" s="208" t="s">
        <v>66</v>
      </c>
      <c r="V34" s="208" t="s">
        <v>66</v>
      </c>
      <c r="W34" s="208" t="s">
        <v>66</v>
      </c>
      <c r="X34" s="208" t="s">
        <v>66</v>
      </c>
      <c r="Y34" s="208" t="s">
        <v>66</v>
      </c>
      <c r="Z34" s="208" t="s">
        <v>66</v>
      </c>
      <c r="AA34" s="208" t="s">
        <v>66</v>
      </c>
      <c r="AB34" s="208" t="s">
        <v>66</v>
      </c>
      <c r="AC34" s="208" t="s">
        <v>66</v>
      </c>
      <c r="AD34" s="208" t="s">
        <v>66</v>
      </c>
      <c r="AE34" s="208" t="s">
        <v>66</v>
      </c>
      <c r="AF34" s="208" t="s">
        <v>66</v>
      </c>
      <c r="AG34" s="208" t="s">
        <v>66</v>
      </c>
      <c r="AH34" s="208" t="s">
        <v>66</v>
      </c>
      <c r="AI34" s="208" t="s">
        <v>66</v>
      </c>
    </row>
    <row r="35" spans="1:35" ht="45">
      <c r="B35" s="240" t="s">
        <v>103</v>
      </c>
      <c r="C35" s="17"/>
      <c r="D35" s="224">
        <v>207.98688000000001</v>
      </c>
      <c r="E35" s="228">
        <v>57.6</v>
      </c>
      <c r="F35" s="19"/>
      <c r="G35" s="12" t="s">
        <v>104</v>
      </c>
      <c r="H35" s="23" t="s">
        <v>66</v>
      </c>
      <c r="I35" s="20"/>
      <c r="J35" s="24"/>
      <c r="K35" s="208" t="s">
        <v>66</v>
      </c>
      <c r="L35" s="208" t="s">
        <v>66</v>
      </c>
      <c r="M35" s="208" t="s">
        <v>66</v>
      </c>
      <c r="N35" s="208" t="s">
        <v>66</v>
      </c>
      <c r="O35" s="208" t="s">
        <v>66</v>
      </c>
      <c r="P35" s="208" t="s">
        <v>66</v>
      </c>
      <c r="Q35" s="208" t="s">
        <v>66</v>
      </c>
      <c r="R35" s="208" t="s">
        <v>66</v>
      </c>
      <c r="S35" s="208" t="s">
        <v>66</v>
      </c>
      <c r="T35" s="208" t="s">
        <v>66</v>
      </c>
      <c r="U35" s="208" t="s">
        <v>66</v>
      </c>
      <c r="V35" s="208" t="s">
        <v>66</v>
      </c>
      <c r="W35" s="208" t="s">
        <v>66</v>
      </c>
      <c r="X35" s="208" t="s">
        <v>66</v>
      </c>
      <c r="Y35" s="208" t="s">
        <v>66</v>
      </c>
      <c r="Z35" s="208" t="s">
        <v>66</v>
      </c>
      <c r="AA35" s="208" t="s">
        <v>66</v>
      </c>
      <c r="AB35" s="208" t="s">
        <v>66</v>
      </c>
      <c r="AC35" s="208" t="s">
        <v>66</v>
      </c>
      <c r="AD35" s="208" t="s">
        <v>66</v>
      </c>
      <c r="AE35" s="208" t="s">
        <v>66</v>
      </c>
      <c r="AF35" s="208" t="s">
        <v>66</v>
      </c>
      <c r="AG35" s="208" t="s">
        <v>66</v>
      </c>
      <c r="AH35" s="208" t="s">
        <v>66</v>
      </c>
      <c r="AI35" s="208" t="s">
        <v>66</v>
      </c>
    </row>
    <row r="36" spans="1:35" ht="15.75" thickBot="1">
      <c r="B36" s="240" t="s">
        <v>105</v>
      </c>
      <c r="C36" s="229">
        <v>8</v>
      </c>
      <c r="D36" s="215"/>
      <c r="E36" s="216"/>
      <c r="F36" s="217"/>
      <c r="G36" s="218" t="s">
        <v>106</v>
      </c>
      <c r="H36" s="219" t="s">
        <v>66</v>
      </c>
      <c r="I36" s="220"/>
      <c r="J36" s="221"/>
      <c r="K36" s="222" t="s">
        <v>66</v>
      </c>
      <c r="L36" s="222" t="s">
        <v>66</v>
      </c>
      <c r="M36" s="222" t="s">
        <v>66</v>
      </c>
      <c r="N36" s="222" t="s">
        <v>66</v>
      </c>
      <c r="O36" s="222" t="s">
        <v>66</v>
      </c>
      <c r="P36" s="222" t="s">
        <v>66</v>
      </c>
      <c r="Q36" s="222" t="s">
        <v>66</v>
      </c>
      <c r="R36" s="222" t="s">
        <v>66</v>
      </c>
      <c r="S36" s="222" t="s">
        <v>66</v>
      </c>
      <c r="T36" s="222" t="s">
        <v>66</v>
      </c>
      <c r="U36" s="222" t="s">
        <v>66</v>
      </c>
      <c r="V36" s="222" t="s">
        <v>66</v>
      </c>
      <c r="W36" s="222" t="s">
        <v>66</v>
      </c>
      <c r="X36" s="222" t="s">
        <v>66</v>
      </c>
      <c r="Y36" s="222" t="s">
        <v>66</v>
      </c>
      <c r="Z36" s="222" t="s">
        <v>66</v>
      </c>
      <c r="AA36" s="222" t="s">
        <v>66</v>
      </c>
      <c r="AB36" s="222" t="s">
        <v>66</v>
      </c>
      <c r="AC36" s="222" t="s">
        <v>66</v>
      </c>
      <c r="AD36" s="222" t="s">
        <v>66</v>
      </c>
      <c r="AE36" s="222" t="s">
        <v>66</v>
      </c>
      <c r="AF36" s="222" t="s">
        <v>66</v>
      </c>
      <c r="AG36" s="222" t="s">
        <v>66</v>
      </c>
      <c r="AH36" s="222" t="s">
        <v>66</v>
      </c>
      <c r="AI36" s="222" t="s">
        <v>66</v>
      </c>
    </row>
    <row r="37" spans="1:35" ht="15.75" thickTop="1">
      <c r="B37" s="240" t="s">
        <v>107</v>
      </c>
      <c r="D37" s="206">
        <v>1663.8950400000001</v>
      </c>
      <c r="E37" s="207">
        <v>460.8</v>
      </c>
      <c r="F37" s="19"/>
      <c r="G37" s="195" t="s">
        <v>108</v>
      </c>
      <c r="H37" s="23">
        <v>5733.4175169447417</v>
      </c>
      <c r="I37" s="20">
        <v>0.03</v>
      </c>
      <c r="J37" s="24">
        <v>0.01</v>
      </c>
      <c r="K37" s="208">
        <v>0</v>
      </c>
      <c r="L37" s="208">
        <v>0</v>
      </c>
      <c r="M37" s="208">
        <v>0</v>
      </c>
      <c r="N37" s="208">
        <v>161.72124733440003</v>
      </c>
      <c r="O37" s="208">
        <v>420.47524306944013</v>
      </c>
      <c r="P37" s="208">
        <v>437.29425279221772</v>
      </c>
      <c r="Q37" s="208">
        <v>454.78602290390643</v>
      </c>
      <c r="R37" s="208">
        <v>630.63661842675037</v>
      </c>
      <c r="S37" s="208">
        <v>655.86208316382044</v>
      </c>
      <c r="T37" s="208">
        <v>682.09656649037322</v>
      </c>
      <c r="U37" s="208">
        <v>709.38042914998812</v>
      </c>
      <c r="V37" s="208">
        <v>737.75564631598775</v>
      </c>
      <c r="W37" s="208">
        <v>767.26587216862731</v>
      </c>
      <c r="X37" s="208">
        <v>797.95650705537241</v>
      </c>
      <c r="Y37" s="208">
        <v>829.87476733758729</v>
      </c>
      <c r="Z37" s="208">
        <v>863.06975803109083</v>
      </c>
      <c r="AA37" s="208">
        <v>897.59254835233457</v>
      </c>
      <c r="AB37" s="208">
        <v>933.49625028642799</v>
      </c>
      <c r="AC37" s="208">
        <v>970.83610029788508</v>
      </c>
      <c r="AD37" s="208">
        <v>1009.6695443098006</v>
      </c>
      <c r="AE37" s="208">
        <v>1050.0563260821928</v>
      </c>
      <c r="AF37" s="208">
        <v>273.01464478137012</v>
      </c>
      <c r="AG37" s="208">
        <v>0</v>
      </c>
      <c r="AH37" s="208">
        <v>0</v>
      </c>
      <c r="AI37" s="208">
        <v>0</v>
      </c>
    </row>
    <row r="38" spans="1:35">
      <c r="B38" s="240"/>
      <c r="C38" s="14"/>
      <c r="D38" s="206"/>
      <c r="E38" s="207"/>
      <c r="F38" s="19"/>
      <c r="G38" s="12"/>
      <c r="H38" s="23" t="s">
        <v>66</v>
      </c>
      <c r="I38" s="20"/>
      <c r="J38" s="24"/>
      <c r="K38" s="208" t="s">
        <v>66</v>
      </c>
      <c r="L38" s="208" t="s">
        <v>66</v>
      </c>
      <c r="M38" s="208" t="s">
        <v>66</v>
      </c>
      <c r="N38" s="208" t="s">
        <v>66</v>
      </c>
      <c r="O38" s="208" t="s">
        <v>66</v>
      </c>
      <c r="P38" s="208" t="s">
        <v>66</v>
      </c>
      <c r="Q38" s="208" t="s">
        <v>66</v>
      </c>
      <c r="R38" s="208" t="s">
        <v>66</v>
      </c>
      <c r="S38" s="208" t="s">
        <v>66</v>
      </c>
      <c r="T38" s="208" t="s">
        <v>66</v>
      </c>
      <c r="U38" s="208" t="s">
        <v>66</v>
      </c>
      <c r="V38" s="208" t="s">
        <v>66</v>
      </c>
      <c r="W38" s="208" t="s">
        <v>66</v>
      </c>
      <c r="X38" s="208" t="s">
        <v>66</v>
      </c>
      <c r="Y38" s="208" t="s">
        <v>66</v>
      </c>
      <c r="Z38" s="208" t="s">
        <v>66</v>
      </c>
      <c r="AA38" s="208" t="s">
        <v>66</v>
      </c>
      <c r="AB38" s="208" t="s">
        <v>66</v>
      </c>
      <c r="AC38" s="208" t="s">
        <v>66</v>
      </c>
      <c r="AD38" s="208" t="s">
        <v>66</v>
      </c>
      <c r="AE38" s="208" t="s">
        <v>66</v>
      </c>
      <c r="AF38" s="208" t="s">
        <v>66</v>
      </c>
      <c r="AG38" s="208" t="s">
        <v>66</v>
      </c>
      <c r="AH38" s="208" t="s">
        <v>66</v>
      </c>
      <c r="AI38" s="208" t="s">
        <v>66</v>
      </c>
    </row>
    <row r="39" spans="1:35">
      <c r="A39" t="s">
        <v>109</v>
      </c>
      <c r="B39" s="240"/>
      <c r="D39" s="203"/>
      <c r="E39" s="204"/>
      <c r="F39" s="19"/>
      <c r="G39" s="12"/>
      <c r="H39" s="23" t="s">
        <v>66</v>
      </c>
      <c r="I39" s="20"/>
      <c r="J39" s="24"/>
      <c r="K39" s="208" t="s">
        <v>66</v>
      </c>
      <c r="L39" s="208" t="s">
        <v>66</v>
      </c>
      <c r="M39" s="208" t="s">
        <v>66</v>
      </c>
      <c r="N39" s="208" t="s">
        <v>66</v>
      </c>
      <c r="O39" s="208" t="s">
        <v>66</v>
      </c>
      <c r="P39" s="208" t="s">
        <v>66</v>
      </c>
      <c r="Q39" s="208" t="s">
        <v>66</v>
      </c>
      <c r="R39" s="208" t="s">
        <v>66</v>
      </c>
      <c r="S39" s="208" t="s">
        <v>66</v>
      </c>
      <c r="T39" s="208" t="s">
        <v>66</v>
      </c>
      <c r="U39" s="208" t="s">
        <v>66</v>
      </c>
      <c r="V39" s="208" t="s">
        <v>66</v>
      </c>
      <c r="W39" s="208" t="s">
        <v>66</v>
      </c>
      <c r="X39" s="208" t="s">
        <v>66</v>
      </c>
      <c r="Y39" s="208" t="s">
        <v>66</v>
      </c>
      <c r="Z39" s="208" t="s">
        <v>66</v>
      </c>
      <c r="AA39" s="208" t="s">
        <v>66</v>
      </c>
      <c r="AB39" s="208" t="s">
        <v>66</v>
      </c>
      <c r="AC39" s="208" t="s">
        <v>66</v>
      </c>
      <c r="AD39" s="208" t="s">
        <v>66</v>
      </c>
      <c r="AE39" s="208" t="s">
        <v>66</v>
      </c>
      <c r="AF39" s="208" t="s">
        <v>66</v>
      </c>
      <c r="AG39" s="208" t="s">
        <v>66</v>
      </c>
      <c r="AH39" s="208" t="s">
        <v>66</v>
      </c>
      <c r="AI39" s="208" t="s">
        <v>66</v>
      </c>
    </row>
    <row r="40" spans="1:35" ht="30">
      <c r="B40" s="240" t="s">
        <v>110</v>
      </c>
      <c r="C40" s="15">
        <v>0.61</v>
      </c>
      <c r="D40" s="206">
        <v>1461611.8499999999</v>
      </c>
      <c r="E40" s="207">
        <v>255409.44</v>
      </c>
      <c r="F40" s="19"/>
      <c r="G40" s="12" t="s">
        <v>111</v>
      </c>
      <c r="H40" s="23">
        <v>3177884.0218946333</v>
      </c>
      <c r="I40" s="20">
        <v>0.03</v>
      </c>
      <c r="J40" s="24">
        <v>0.01</v>
      </c>
      <c r="K40" s="208">
        <v>0</v>
      </c>
      <c r="L40" s="208">
        <v>0</v>
      </c>
      <c r="M40" s="208">
        <v>0</v>
      </c>
      <c r="N40" s="208">
        <v>89637.87590664193</v>
      </c>
      <c r="O40" s="208">
        <v>233058.47735726906</v>
      </c>
      <c r="P40" s="208">
        <v>242380.81645155983</v>
      </c>
      <c r="Q40" s="208">
        <v>252076.0491096222</v>
      </c>
      <c r="R40" s="208">
        <v>349545.45476534282</v>
      </c>
      <c r="S40" s="208">
        <v>363527.27295595658</v>
      </c>
      <c r="T40" s="208">
        <v>378068.36387419485</v>
      </c>
      <c r="U40" s="208">
        <v>393191.09842916258</v>
      </c>
      <c r="V40" s="208">
        <v>408918.74236632918</v>
      </c>
      <c r="W40" s="208">
        <v>425275.49206098239</v>
      </c>
      <c r="X40" s="208">
        <v>442286.51174342167</v>
      </c>
      <c r="Y40" s="208">
        <v>459977.9722131585</v>
      </c>
      <c r="Z40" s="208">
        <v>478377.09110168496</v>
      </c>
      <c r="AA40" s="208">
        <v>497512.17474575236</v>
      </c>
      <c r="AB40" s="208">
        <v>517412.66173558251</v>
      </c>
      <c r="AC40" s="208">
        <v>538109.16820500582</v>
      </c>
      <c r="AD40" s="208">
        <v>559633.53493320604</v>
      </c>
      <c r="AE40" s="208">
        <v>582018.87633053446</v>
      </c>
      <c r="AF40" s="208">
        <v>151324.90784593893</v>
      </c>
      <c r="AG40" s="208">
        <v>0</v>
      </c>
      <c r="AH40" s="208">
        <v>0</v>
      </c>
      <c r="AI40" s="208">
        <v>0</v>
      </c>
    </row>
    <row r="41" spans="1:35">
      <c r="B41" s="240" t="s">
        <v>112</v>
      </c>
      <c r="C41" s="13">
        <v>10000</v>
      </c>
      <c r="D41" s="203"/>
      <c r="E41" s="204"/>
      <c r="F41" s="19"/>
      <c r="G41" s="12" t="s">
        <v>113</v>
      </c>
      <c r="H41" s="23" t="s">
        <v>66</v>
      </c>
      <c r="I41" s="20"/>
      <c r="J41" s="24"/>
      <c r="K41" s="208" t="s">
        <v>66</v>
      </c>
      <c r="L41" s="208" t="s">
        <v>66</v>
      </c>
      <c r="M41" s="208" t="s">
        <v>66</v>
      </c>
      <c r="N41" s="208" t="s">
        <v>66</v>
      </c>
      <c r="O41" s="208" t="s">
        <v>66</v>
      </c>
      <c r="P41" s="208" t="s">
        <v>66</v>
      </c>
      <c r="Q41" s="208" t="s">
        <v>66</v>
      </c>
      <c r="R41" s="208" t="s">
        <v>66</v>
      </c>
      <c r="S41" s="208" t="s">
        <v>66</v>
      </c>
      <c r="T41" s="208" t="s">
        <v>66</v>
      </c>
      <c r="U41" s="208" t="s">
        <v>66</v>
      </c>
      <c r="V41" s="208" t="s">
        <v>66</v>
      </c>
      <c r="W41" s="208" t="s">
        <v>66</v>
      </c>
      <c r="X41" s="208" t="s">
        <v>66</v>
      </c>
      <c r="Y41" s="208" t="s">
        <v>66</v>
      </c>
      <c r="Z41" s="208" t="s">
        <v>66</v>
      </c>
      <c r="AA41" s="208" t="s">
        <v>66</v>
      </c>
      <c r="AB41" s="208" t="s">
        <v>66</v>
      </c>
      <c r="AC41" s="208" t="s">
        <v>66</v>
      </c>
      <c r="AD41" s="208" t="s">
        <v>66</v>
      </c>
      <c r="AE41" s="208" t="s">
        <v>66</v>
      </c>
      <c r="AF41" s="208" t="s">
        <v>66</v>
      </c>
      <c r="AG41" s="208" t="s">
        <v>66</v>
      </c>
      <c r="AH41" s="208" t="s">
        <v>66</v>
      </c>
      <c r="AI41" s="208" t="s">
        <v>66</v>
      </c>
    </row>
    <row r="42" spans="1:35">
      <c r="B42" s="240" t="s">
        <v>114</v>
      </c>
      <c r="D42" s="230">
        <v>0.78295550643922118</v>
      </c>
      <c r="E42" s="231">
        <v>0.21704449356077882</v>
      </c>
      <c r="F42" s="19"/>
      <c r="G42" t="s">
        <v>115</v>
      </c>
      <c r="H42" s="23" t="s">
        <v>66</v>
      </c>
      <c r="I42" s="20"/>
      <c r="J42" s="24"/>
      <c r="K42" s="208" t="s">
        <v>66</v>
      </c>
      <c r="L42" s="208" t="s">
        <v>66</v>
      </c>
      <c r="M42" s="208" t="s">
        <v>66</v>
      </c>
      <c r="N42" s="208" t="s">
        <v>66</v>
      </c>
      <c r="O42" s="208" t="s">
        <v>66</v>
      </c>
      <c r="P42" s="208" t="s">
        <v>66</v>
      </c>
      <c r="Q42" s="208" t="s">
        <v>66</v>
      </c>
      <c r="R42" s="208" t="s">
        <v>66</v>
      </c>
      <c r="S42" s="208" t="s">
        <v>66</v>
      </c>
      <c r="T42" s="208" t="s">
        <v>66</v>
      </c>
      <c r="U42" s="208" t="s">
        <v>66</v>
      </c>
      <c r="V42" s="208" t="s">
        <v>66</v>
      </c>
      <c r="W42" s="208" t="s">
        <v>66</v>
      </c>
      <c r="X42" s="208" t="s">
        <v>66</v>
      </c>
      <c r="Y42" s="208" t="s">
        <v>66</v>
      </c>
      <c r="Z42" s="208" t="s">
        <v>66</v>
      </c>
      <c r="AA42" s="208" t="s">
        <v>66</v>
      </c>
      <c r="AB42" s="208" t="s">
        <v>66</v>
      </c>
      <c r="AC42" s="208" t="s">
        <v>66</v>
      </c>
      <c r="AD42" s="208" t="s">
        <v>66</v>
      </c>
      <c r="AE42" s="208" t="s">
        <v>66</v>
      </c>
      <c r="AF42" s="208" t="s">
        <v>66</v>
      </c>
      <c r="AG42" s="208" t="s">
        <v>66</v>
      </c>
      <c r="AH42" s="208" t="s">
        <v>66</v>
      </c>
      <c r="AI42" s="208" t="s">
        <v>66</v>
      </c>
    </row>
    <row r="43" spans="1:35" ht="15.75" thickBot="1">
      <c r="B43" s="240" t="s">
        <v>116</v>
      </c>
      <c r="C43" s="227"/>
      <c r="D43" s="215">
        <v>7829.5550643922115</v>
      </c>
      <c r="E43" s="216">
        <v>2170.444935607788</v>
      </c>
      <c r="F43" s="217"/>
      <c r="G43" s="232" t="s">
        <v>117</v>
      </c>
      <c r="H43" s="219">
        <v>27005.353761670343</v>
      </c>
      <c r="I43" s="220">
        <v>0.03</v>
      </c>
      <c r="J43" s="221">
        <v>0.01</v>
      </c>
      <c r="K43" s="222">
        <v>0</v>
      </c>
      <c r="L43" s="222">
        <v>0</v>
      </c>
      <c r="M43" s="222">
        <v>0</v>
      </c>
      <c r="N43" s="222">
        <v>761.73407607882598</v>
      </c>
      <c r="O43" s="222">
        <v>1980.5085978049478</v>
      </c>
      <c r="P43" s="222">
        <v>2059.7289417171455</v>
      </c>
      <c r="Q43" s="222">
        <v>2142.1180993858316</v>
      </c>
      <c r="R43" s="222">
        <v>2970.4037644816867</v>
      </c>
      <c r="S43" s="222">
        <v>3089.2199150609545</v>
      </c>
      <c r="T43" s="222">
        <v>3212.7887116633924</v>
      </c>
      <c r="U43" s="222">
        <v>3341.3002601299281</v>
      </c>
      <c r="V43" s="222">
        <v>3474.952270535126</v>
      </c>
      <c r="W43" s="222">
        <v>3613.9503613565312</v>
      </c>
      <c r="X43" s="222">
        <v>3758.5083758107921</v>
      </c>
      <c r="Y43" s="222">
        <v>3908.8487108432237</v>
      </c>
      <c r="Z43" s="222">
        <v>4065.2026592769535</v>
      </c>
      <c r="AA43" s="222">
        <v>4227.8107656480315</v>
      </c>
      <c r="AB43" s="222">
        <v>4396.9231962739532</v>
      </c>
      <c r="AC43" s="222">
        <v>4572.8001241249112</v>
      </c>
      <c r="AD43" s="222">
        <v>4755.7121290899076</v>
      </c>
      <c r="AE43" s="222">
        <v>4945.9406142535054</v>
      </c>
      <c r="AF43" s="222">
        <v>1285.9445597059114</v>
      </c>
      <c r="AG43" s="222">
        <v>0</v>
      </c>
      <c r="AH43" s="222">
        <v>0</v>
      </c>
      <c r="AI43" s="222">
        <v>0</v>
      </c>
    </row>
    <row r="44" spans="1:35" ht="15.75" thickTop="1">
      <c r="B44" s="240" t="s">
        <v>118</v>
      </c>
      <c r="D44" s="206">
        <v>1477271.7430842908</v>
      </c>
      <c r="E44" s="207">
        <v>259750.54691570913</v>
      </c>
      <c r="F44" s="19"/>
      <c r="G44" s="12"/>
      <c r="H44" s="23">
        <v>3204889.3756563035</v>
      </c>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row>
    <row r="45" spans="1:35">
      <c r="B45" s="240"/>
      <c r="D45" s="206"/>
      <c r="E45" s="207"/>
      <c r="F45" s="19"/>
      <c r="G45" s="12"/>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row>
    <row r="46" spans="1:35" ht="15.75" thickBot="1">
      <c r="A46" t="s">
        <v>288</v>
      </c>
      <c r="B46" s="243"/>
      <c r="C46" s="232"/>
      <c r="D46" s="215"/>
      <c r="E46" s="216">
        <v>26128.606213791445</v>
      </c>
      <c r="F46" s="217"/>
      <c r="G46" s="218"/>
      <c r="H46" s="219">
        <v>325100.27899197733</v>
      </c>
      <c r="I46" s="220">
        <v>0.03</v>
      </c>
      <c r="J46" s="221">
        <v>0.01</v>
      </c>
      <c r="K46" s="222">
        <v>0</v>
      </c>
      <c r="L46" s="222">
        <v>0</v>
      </c>
      <c r="M46" s="222">
        <v>0</v>
      </c>
      <c r="N46" s="222">
        <v>9170.0320920219347</v>
      </c>
      <c r="O46" s="222">
        <v>23842.083439257036</v>
      </c>
      <c r="P46" s="222">
        <v>24795.766776827313</v>
      </c>
      <c r="Q46" s="222">
        <v>25787.597447900403</v>
      </c>
      <c r="R46" s="222">
        <v>35758.801794421903</v>
      </c>
      <c r="S46" s="222">
        <v>37189.15386619878</v>
      </c>
      <c r="T46" s="222">
        <v>38676.720020846733</v>
      </c>
      <c r="U46" s="222">
        <v>40223.788821680602</v>
      </c>
      <c r="V46" s="222">
        <v>41832.74037454783</v>
      </c>
      <c r="W46" s="222">
        <v>43506.049989529747</v>
      </c>
      <c r="X46" s="222">
        <v>45246.291989110934</v>
      </c>
      <c r="Y46" s="222">
        <v>47056.143668675373</v>
      </c>
      <c r="Z46" s="222">
        <v>48938.389415422396</v>
      </c>
      <c r="AA46" s="222">
        <v>50895.92499203929</v>
      </c>
      <c r="AB46" s="222">
        <v>52931.761991720872</v>
      </c>
      <c r="AC46" s="222">
        <v>55049.032471389706</v>
      </c>
      <c r="AD46" s="222">
        <v>57250.993770245295</v>
      </c>
      <c r="AE46" s="222">
        <v>59541.03352105512</v>
      </c>
      <c r="AF46" s="222">
        <v>15480.66871547433</v>
      </c>
      <c r="AG46" s="222">
        <v>0</v>
      </c>
      <c r="AH46" s="222">
        <v>0</v>
      </c>
      <c r="AI46" s="222">
        <v>0</v>
      </c>
    </row>
    <row r="47" spans="1:35" ht="15.75" thickTop="1">
      <c r="B47" s="240" t="s">
        <v>289</v>
      </c>
      <c r="D47" s="203"/>
      <c r="E47" s="207">
        <v>26128.606213791445</v>
      </c>
      <c r="F47" s="19"/>
      <c r="G47" s="12"/>
      <c r="H47" s="43">
        <v>325100.27899197733</v>
      </c>
      <c r="K47" s="43">
        <v>0</v>
      </c>
      <c r="L47" s="43">
        <v>0</v>
      </c>
      <c r="M47" s="43">
        <v>0</v>
      </c>
      <c r="N47" s="43">
        <v>9170.0320920219347</v>
      </c>
      <c r="O47" s="43">
        <v>23842.083439257036</v>
      </c>
      <c r="P47" s="43">
        <v>24795.766776827313</v>
      </c>
      <c r="Q47" s="43">
        <v>25787.597447900403</v>
      </c>
      <c r="R47" s="43">
        <v>35758.801794421903</v>
      </c>
      <c r="S47" s="43">
        <v>37189.15386619878</v>
      </c>
      <c r="T47" s="43">
        <v>38676.720020846733</v>
      </c>
      <c r="U47" s="43">
        <v>40223.788821680602</v>
      </c>
      <c r="V47" s="43">
        <v>41832.74037454783</v>
      </c>
      <c r="W47" s="43">
        <v>43506.049989529747</v>
      </c>
      <c r="X47" s="43">
        <v>45246.291989110934</v>
      </c>
      <c r="Y47" s="43">
        <v>47056.143668675373</v>
      </c>
      <c r="Z47" s="43">
        <v>48938.389415422396</v>
      </c>
      <c r="AA47" s="43">
        <v>50895.92499203929</v>
      </c>
      <c r="AB47" s="43">
        <v>52931.761991720872</v>
      </c>
      <c r="AC47" s="43">
        <v>55049.032471389706</v>
      </c>
      <c r="AD47" s="43">
        <v>57250.993770245295</v>
      </c>
      <c r="AE47" s="43">
        <v>59541.03352105512</v>
      </c>
      <c r="AF47" s="43">
        <v>15480.66871547433</v>
      </c>
      <c r="AG47" s="43">
        <v>0</v>
      </c>
      <c r="AH47" s="43">
        <v>0</v>
      </c>
      <c r="AI47" s="43">
        <v>0</v>
      </c>
    </row>
    <row r="48" spans="1:35" ht="15.75" thickBot="1">
      <c r="B48" s="240"/>
      <c r="C48" s="7"/>
      <c r="D48" s="233"/>
      <c r="E48" s="234"/>
      <c r="F48" s="196"/>
      <c r="G48" s="235"/>
      <c r="H48" s="235"/>
      <c r="I48" s="196"/>
      <c r="J48" s="196"/>
      <c r="K48" s="236"/>
      <c r="L48" s="236"/>
      <c r="M48" s="236"/>
      <c r="N48" s="236"/>
      <c r="O48" s="236"/>
      <c r="P48" s="236"/>
      <c r="Q48" s="236"/>
      <c r="R48" s="236"/>
      <c r="S48" s="236"/>
      <c r="T48" s="236"/>
      <c r="U48" s="236"/>
      <c r="V48" s="236"/>
      <c r="W48" s="236"/>
      <c r="X48" s="236"/>
      <c r="Y48" s="236"/>
      <c r="Z48" s="236"/>
      <c r="AA48" s="236"/>
      <c r="AB48" s="236"/>
      <c r="AC48" s="236"/>
      <c r="AD48" s="236"/>
      <c r="AE48" s="236"/>
      <c r="AF48" s="236"/>
      <c r="AG48" s="236"/>
      <c r="AH48" s="236"/>
      <c r="AI48" s="236"/>
    </row>
    <row r="49" spans="1:35" ht="30">
      <c r="A49" t="s">
        <v>290</v>
      </c>
      <c r="B49" s="240"/>
      <c r="D49" s="206">
        <v>4826775.6918227738</v>
      </c>
      <c r="E49" s="207">
        <v>948408.91943101725</v>
      </c>
      <c r="F49" s="19"/>
      <c r="G49" s="12" t="s">
        <v>291</v>
      </c>
      <c r="H49" s="208">
        <v>11326483.662125032</v>
      </c>
      <c r="I49" s="208"/>
      <c r="J49" s="208"/>
      <c r="K49" s="208">
        <v>0</v>
      </c>
      <c r="L49" s="208">
        <v>0</v>
      </c>
      <c r="M49" s="208">
        <v>0</v>
      </c>
      <c r="N49" s="208">
        <v>229989.25622264785</v>
      </c>
      <c r="O49" s="208">
        <v>597697.91269052867</v>
      </c>
      <c r="P49" s="208">
        <v>621321.53203072469</v>
      </c>
      <c r="Q49" s="208">
        <v>645879.57714933413</v>
      </c>
      <c r="R49" s="208">
        <v>895212.0478328946</v>
      </c>
      <c r="S49" s="208">
        <v>930597.81486357015</v>
      </c>
      <c r="T49" s="208">
        <v>967383.37212481501</v>
      </c>
      <c r="U49" s="208">
        <v>1005624.1325291775</v>
      </c>
      <c r="V49" s="208">
        <v>1045377.7040939315</v>
      </c>
      <c r="W49" s="208">
        <v>1086703.9769530282</v>
      </c>
      <c r="X49" s="208">
        <v>1129665.2138202165</v>
      </c>
      <c r="Y49" s="208">
        <v>1174326.1440402875</v>
      </c>
      <c r="Z49" s="208">
        <v>1220754.0613708503</v>
      </c>
      <c r="AA49" s="208">
        <v>1269018.9256426867</v>
      </c>
      <c r="AB49" s="208">
        <v>1319193.4684526257</v>
      </c>
      <c r="AC49" s="208">
        <v>1371353.3030489788</v>
      </c>
      <c r="AD49" s="208">
        <v>1425577.038575941</v>
      </c>
      <c r="AE49" s="208">
        <v>1481946.3988499674</v>
      </c>
      <c r="AF49" s="208">
        <v>385136.58646200021</v>
      </c>
      <c r="AG49" s="208">
        <v>0</v>
      </c>
      <c r="AH49" s="208">
        <v>0</v>
      </c>
      <c r="AI49" s="208">
        <v>0</v>
      </c>
    </row>
    <row r="50" spans="1:35">
      <c r="E50" s="14"/>
      <c r="F50" s="12"/>
      <c r="G50" s="23"/>
      <c r="J50" s="22"/>
      <c r="K50" s="22"/>
      <c r="L50" s="22"/>
      <c r="M50" s="22"/>
      <c r="N50" s="22"/>
      <c r="O50" s="22"/>
      <c r="P50" s="22"/>
      <c r="Q50" s="22"/>
      <c r="R50" s="22"/>
      <c r="S50" s="22"/>
      <c r="T50" s="22"/>
      <c r="U50" s="22"/>
      <c r="V50" s="22"/>
      <c r="W50" s="22"/>
      <c r="X50" s="22"/>
      <c r="Y50" s="22"/>
      <c r="Z50" s="22"/>
      <c r="AA50" s="22"/>
      <c r="AB50" s="22"/>
      <c r="AC50" s="22"/>
      <c r="AD50" s="22"/>
      <c r="AE50" s="22"/>
      <c r="AF50" s="22"/>
      <c r="AG50" s="22"/>
      <c r="AH50" s="22"/>
    </row>
    <row r="51" spans="1:35">
      <c r="F51" s="12"/>
      <c r="G51" s="23"/>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row>
    <row r="52" spans="1:35">
      <c r="F52" s="12"/>
      <c r="G52" s="23"/>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row>
    <row r="55" spans="1:35" ht="18.75">
      <c r="B55" s="197" t="s">
        <v>292</v>
      </c>
    </row>
    <row r="57" spans="1:35" ht="18.75">
      <c r="A57" s="162" t="s">
        <v>293</v>
      </c>
      <c r="B57" s="241"/>
      <c r="C57" s="128"/>
      <c r="D57" s="607">
        <v>2014</v>
      </c>
      <c r="E57" s="607"/>
      <c r="F57" s="100"/>
    </row>
    <row r="58" spans="1:35">
      <c r="B58" s="242" t="s">
        <v>294</v>
      </c>
    </row>
    <row r="59" spans="1:35" ht="18.75">
      <c r="A59" s="129" t="s">
        <v>295</v>
      </c>
      <c r="C59" t="s">
        <v>296</v>
      </c>
    </row>
    <row r="60" spans="1:35">
      <c r="A60">
        <v>1</v>
      </c>
      <c r="C60" t="s">
        <v>297</v>
      </c>
      <c r="D60" s="156"/>
    </row>
    <row r="61" spans="1:35">
      <c r="A61">
        <v>2</v>
      </c>
      <c r="C61" t="s">
        <v>298</v>
      </c>
      <c r="E61" s="14"/>
      <c r="F61" s="14"/>
      <c r="G61" s="155"/>
    </row>
    <row r="62" spans="1:35">
      <c r="A62">
        <v>3</v>
      </c>
      <c r="E62" s="14"/>
      <c r="F62" s="14"/>
      <c r="G62" s="155"/>
    </row>
    <row r="63" spans="1:35">
      <c r="A63">
        <v>4</v>
      </c>
      <c r="B63" s="242" t="s">
        <v>299</v>
      </c>
      <c r="D63" s="156"/>
    </row>
    <row r="64" spans="1:35">
      <c r="A64">
        <v>5</v>
      </c>
      <c r="C64" t="s">
        <v>300</v>
      </c>
      <c r="D64">
        <v>3623</v>
      </c>
      <c r="E64" s="14"/>
      <c r="F64" s="14"/>
      <c r="G64" s="154" t="s">
        <v>301</v>
      </c>
    </row>
    <row r="65" spans="1:7">
      <c r="A65">
        <v>6</v>
      </c>
      <c r="C65" t="s">
        <v>302</v>
      </c>
      <c r="D65" s="157">
        <v>0.45839999999999997</v>
      </c>
      <c r="E65" s="158"/>
      <c r="F65" s="14"/>
      <c r="G65" t="s">
        <v>303</v>
      </c>
    </row>
    <row r="66" spans="1:7">
      <c r="A66">
        <v>7</v>
      </c>
      <c r="C66" t="s">
        <v>304</v>
      </c>
      <c r="E66">
        <v>6643.1327999999994</v>
      </c>
      <c r="G66" t="s">
        <v>305</v>
      </c>
    </row>
    <row r="67" spans="1:7">
      <c r="A67">
        <v>8</v>
      </c>
      <c r="C67" t="s">
        <v>306</v>
      </c>
      <c r="E67">
        <v>3321.5663999999997</v>
      </c>
      <c r="G67" t="s">
        <v>307</v>
      </c>
    </row>
    <row r="68" spans="1:7" ht="15.75" thickBot="1">
      <c r="A68">
        <v>9</v>
      </c>
      <c r="C68" s="138" t="s">
        <v>308</v>
      </c>
      <c r="D68" s="138"/>
      <c r="E68" s="147"/>
      <c r="F68" s="159">
        <v>3321.5663999999997</v>
      </c>
      <c r="G68" t="s">
        <v>309</v>
      </c>
    </row>
    <row r="69" spans="1:7" ht="15.75" thickTop="1">
      <c r="A69">
        <v>10</v>
      </c>
      <c r="B69" s="242" t="s">
        <v>310</v>
      </c>
      <c r="G69" s="155"/>
    </row>
    <row r="70" spans="1:7">
      <c r="A70">
        <v>11</v>
      </c>
      <c r="C70" t="s">
        <v>311</v>
      </c>
      <c r="D70">
        <v>10848</v>
      </c>
      <c r="G70" s="154" t="s">
        <v>312</v>
      </c>
    </row>
    <row r="71" spans="1:7">
      <c r="A71">
        <v>12</v>
      </c>
      <c r="C71" t="s">
        <v>313</v>
      </c>
      <c r="D71" s="160">
        <v>1.0737084813531748</v>
      </c>
      <c r="G71" s="131" t="s">
        <v>314</v>
      </c>
    </row>
    <row r="72" spans="1:7">
      <c r="A72">
        <v>13</v>
      </c>
      <c r="C72" t="s">
        <v>315</v>
      </c>
      <c r="D72" s="157"/>
      <c r="E72" s="93">
        <v>11647.58960571924</v>
      </c>
      <c r="G72" s="131" t="s">
        <v>316</v>
      </c>
    </row>
    <row r="73" spans="1:7">
      <c r="A73">
        <v>14</v>
      </c>
      <c r="C73" t="s">
        <v>317</v>
      </c>
      <c r="D73">
        <v>10695</v>
      </c>
      <c r="G73" s="154" t="s">
        <v>312</v>
      </c>
    </row>
    <row r="74" spans="1:7">
      <c r="A74">
        <v>15</v>
      </c>
      <c r="C74" t="s">
        <v>313</v>
      </c>
      <c r="D74" s="160">
        <v>1.0737084813531748</v>
      </c>
      <c r="G74" s="131" t="s">
        <v>314</v>
      </c>
    </row>
    <row r="75" spans="1:7">
      <c r="A75">
        <v>16</v>
      </c>
      <c r="C75" t="s">
        <v>318</v>
      </c>
      <c r="D75" s="157"/>
      <c r="E75" s="93">
        <v>11483.312208072204</v>
      </c>
      <c r="G75" s="131" t="s">
        <v>319</v>
      </c>
    </row>
    <row r="76" spans="1:7" ht="15.75" thickBot="1">
      <c r="A76">
        <v>17</v>
      </c>
      <c r="C76" s="138" t="s">
        <v>308</v>
      </c>
      <c r="D76" s="138"/>
      <c r="E76" s="138"/>
      <c r="F76" s="148">
        <v>23130.901813791446</v>
      </c>
      <c r="G76" t="s">
        <v>320</v>
      </c>
    </row>
    <row r="77" spans="1:7" ht="15.75" thickTop="1">
      <c r="A77">
        <v>18</v>
      </c>
      <c r="B77" s="242" t="s">
        <v>321</v>
      </c>
    </row>
    <row r="78" spans="1:7">
      <c r="A78">
        <v>19</v>
      </c>
      <c r="C78" t="s">
        <v>322</v>
      </c>
      <c r="D78">
        <v>22</v>
      </c>
      <c r="G78" t="s">
        <v>323</v>
      </c>
    </row>
    <row r="79" spans="1:7">
      <c r="A79">
        <v>20</v>
      </c>
      <c r="C79" t="s">
        <v>324</v>
      </c>
      <c r="D79" s="161">
        <v>2.2000000000000002</v>
      </c>
      <c r="G79" t="s">
        <v>325</v>
      </c>
    </row>
    <row r="80" spans="1:7">
      <c r="A80">
        <v>21</v>
      </c>
      <c r="C80" t="s">
        <v>326</v>
      </c>
      <c r="D80">
        <v>3</v>
      </c>
      <c r="E80" s="98"/>
      <c r="F80" s="98"/>
      <c r="G80" t="s">
        <v>327</v>
      </c>
    </row>
    <row r="81" spans="1:7">
      <c r="A81">
        <v>22</v>
      </c>
      <c r="C81" s="131" t="s">
        <v>328</v>
      </c>
      <c r="D81" s="135">
        <v>49.07</v>
      </c>
      <c r="G81" t="s">
        <v>329</v>
      </c>
    </row>
    <row r="82" spans="1:7" ht="15.75" thickBot="1">
      <c r="A82">
        <v>23</v>
      </c>
      <c r="C82" s="138" t="s">
        <v>330</v>
      </c>
      <c r="D82" s="138"/>
      <c r="E82" s="138"/>
      <c r="F82" s="153">
        <v>-323.86200000000002</v>
      </c>
      <c r="G82" t="s">
        <v>331</v>
      </c>
    </row>
    <row r="83" spans="1:7" ht="15.75" thickTop="1">
      <c r="A83">
        <v>24</v>
      </c>
    </row>
    <row r="84" spans="1:7">
      <c r="A84">
        <v>25</v>
      </c>
      <c r="C84" s="143" t="s">
        <v>280</v>
      </c>
      <c r="D84" s="143"/>
      <c r="E84" s="143"/>
      <c r="F84" s="144">
        <v>26128.606213791445</v>
      </c>
    </row>
  </sheetData>
  <mergeCells count="1">
    <mergeCell ref="D57:E57"/>
  </mergeCells>
  <hyperlinks>
    <hyperlink ref="A1" location="Summary_RealizationSchedule!A1" display="Back to Summary" xr:uid="{00000000-0004-0000-0C00-000000000000}"/>
  </hyperlink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tabColor rgb="FF09FF78"/>
  </sheetPr>
  <dimension ref="A1:AG27"/>
  <sheetViews>
    <sheetView workbookViewId="0">
      <selection activeCell="M16" sqref="M16"/>
    </sheetView>
  </sheetViews>
  <sheetFormatPr defaultColWidth="9.140625" defaultRowHeight="15"/>
  <cols>
    <col min="1" max="1" width="23.5703125" bestFit="1" customWidth="1"/>
    <col min="2" max="2" width="10.28515625" customWidth="1"/>
    <col min="3" max="3" width="14.28515625" customWidth="1"/>
    <col min="4" max="4" width="18.85546875" customWidth="1"/>
    <col min="5" max="7" width="15.85546875" customWidth="1"/>
    <col min="8" max="8" width="11.5703125" bestFit="1" customWidth="1"/>
    <col min="9" max="9" width="12.5703125" bestFit="1" customWidth="1"/>
    <col min="10" max="10" width="13.7109375" bestFit="1" customWidth="1"/>
    <col min="11" max="23" width="12.5703125" bestFit="1" customWidth="1"/>
  </cols>
  <sheetData>
    <row r="1" spans="1:33">
      <c r="A1" s="9" t="s">
        <v>55</v>
      </c>
    </row>
    <row r="2" spans="1:33">
      <c r="A2" s="9"/>
    </row>
    <row r="3" spans="1:33">
      <c r="A3" t="s">
        <v>177</v>
      </c>
      <c r="C3" s="19"/>
      <c r="D3" s="19"/>
      <c r="E3" s="19">
        <v>0</v>
      </c>
      <c r="F3" s="19">
        <v>0</v>
      </c>
      <c r="G3" s="19">
        <v>0</v>
      </c>
      <c r="H3" s="19">
        <v>0</v>
      </c>
      <c r="I3" s="19">
        <v>0</v>
      </c>
      <c r="J3" s="19">
        <v>0</v>
      </c>
      <c r="K3" s="19">
        <v>1</v>
      </c>
      <c r="L3" s="19">
        <v>1</v>
      </c>
      <c r="M3" s="19">
        <v>1</v>
      </c>
      <c r="N3" s="19">
        <v>1</v>
      </c>
      <c r="O3" s="19">
        <v>1</v>
      </c>
      <c r="P3" s="19">
        <v>1</v>
      </c>
      <c r="Q3" s="19">
        <v>1</v>
      </c>
      <c r="R3" s="19">
        <v>1</v>
      </c>
      <c r="S3" s="19">
        <v>1</v>
      </c>
      <c r="T3" s="19">
        <v>1</v>
      </c>
      <c r="U3" s="19">
        <v>1</v>
      </c>
      <c r="V3" s="19">
        <v>1</v>
      </c>
      <c r="W3" s="19">
        <v>1</v>
      </c>
      <c r="X3" s="19">
        <v>1</v>
      </c>
      <c r="Y3" s="19">
        <v>1</v>
      </c>
      <c r="Z3" s="19">
        <v>0.25</v>
      </c>
      <c r="AA3" s="19">
        <v>0</v>
      </c>
      <c r="AB3" s="19">
        <v>0</v>
      </c>
      <c r="AC3" s="19">
        <v>0</v>
      </c>
    </row>
    <row r="4" spans="1:33" ht="30">
      <c r="A4" t="s">
        <v>332</v>
      </c>
      <c r="C4" s="202" t="s">
        <v>62</v>
      </c>
      <c r="D4" s="202" t="s">
        <v>63</v>
      </c>
      <c r="E4" s="19">
        <v>2016</v>
      </c>
      <c r="F4" s="19">
        <v>2017</v>
      </c>
      <c r="G4" s="19">
        <v>2018</v>
      </c>
      <c r="H4" s="19">
        <v>2019</v>
      </c>
      <c r="I4" s="19">
        <v>2020</v>
      </c>
      <c r="J4" s="19">
        <v>2021</v>
      </c>
      <c r="K4" s="19">
        <v>2022</v>
      </c>
      <c r="L4" s="19">
        <v>2023</v>
      </c>
      <c r="M4" s="19">
        <v>2024</v>
      </c>
      <c r="N4" s="19">
        <v>2025</v>
      </c>
      <c r="O4" s="19">
        <v>2026</v>
      </c>
      <c r="P4" s="19">
        <v>2027</v>
      </c>
      <c r="Q4" s="19">
        <v>2028</v>
      </c>
      <c r="R4" s="19">
        <v>2029</v>
      </c>
      <c r="S4" s="19">
        <v>2030</v>
      </c>
      <c r="T4" s="19">
        <v>2031</v>
      </c>
      <c r="U4" s="19">
        <v>2032</v>
      </c>
      <c r="V4" s="19">
        <v>2033</v>
      </c>
      <c r="W4" s="19">
        <v>2034</v>
      </c>
      <c r="X4" s="19">
        <v>2035</v>
      </c>
      <c r="Y4" s="19">
        <v>2036</v>
      </c>
      <c r="Z4" s="19">
        <v>2037</v>
      </c>
      <c r="AA4" s="19">
        <v>2038</v>
      </c>
      <c r="AB4" s="19">
        <v>2039</v>
      </c>
      <c r="AC4" s="19">
        <v>2040</v>
      </c>
      <c r="AD4" s="19"/>
      <c r="AE4" s="19"/>
      <c r="AF4" s="19"/>
      <c r="AG4" s="19"/>
    </row>
    <row r="5" spans="1:33">
      <c r="A5" t="s">
        <v>179</v>
      </c>
      <c r="B5" s="13">
        <v>331214.37502212374</v>
      </c>
      <c r="C5" s="20">
        <v>0.03</v>
      </c>
      <c r="D5" s="24">
        <v>0.01</v>
      </c>
      <c r="E5" s="22">
        <v>0</v>
      </c>
      <c r="F5" s="22">
        <v>0</v>
      </c>
      <c r="G5" s="22">
        <v>0</v>
      </c>
      <c r="H5" s="22">
        <v>0</v>
      </c>
      <c r="I5" s="22">
        <v>0</v>
      </c>
      <c r="J5" s="22">
        <v>0</v>
      </c>
      <c r="K5" s="22">
        <v>50473.85312</v>
      </c>
      <c r="L5" s="22">
        <v>50473.85312</v>
      </c>
      <c r="M5" s="22">
        <v>50473.85312</v>
      </c>
      <c r="N5" s="22">
        <v>50473.85312</v>
      </c>
      <c r="O5" s="22">
        <v>50473.85312</v>
      </c>
      <c r="P5" s="22">
        <v>50473.85312</v>
      </c>
      <c r="Q5" s="22">
        <v>50473.85312</v>
      </c>
      <c r="R5" s="22">
        <v>50473.85312</v>
      </c>
      <c r="S5" s="22">
        <v>50473.85312</v>
      </c>
      <c r="T5" s="22">
        <v>50473.85312</v>
      </c>
      <c r="U5" s="22">
        <v>50473.85312</v>
      </c>
      <c r="V5" s="22">
        <v>50473.85312</v>
      </c>
      <c r="W5" s="22">
        <v>50473.85312</v>
      </c>
      <c r="X5" s="22">
        <v>50473.85312</v>
      </c>
      <c r="Y5" s="22">
        <v>50473.85312</v>
      </c>
      <c r="Z5" s="22">
        <v>12618.46328</v>
      </c>
      <c r="AA5" s="22">
        <v>0</v>
      </c>
      <c r="AB5" s="22">
        <v>0</v>
      </c>
      <c r="AC5" s="22">
        <v>0</v>
      </c>
    </row>
    <row r="7" spans="1:33" ht="18.75">
      <c r="A7" s="128"/>
      <c r="B7" s="129" t="s">
        <v>34</v>
      </c>
      <c r="C7" s="128"/>
      <c r="D7" s="128"/>
      <c r="E7" s="607">
        <v>2014</v>
      </c>
      <c r="F7" s="607"/>
      <c r="G7" s="100"/>
    </row>
    <row r="8" spans="1:33">
      <c r="A8">
        <v>1</v>
      </c>
      <c r="C8" s="37" t="s">
        <v>333</v>
      </c>
    </row>
    <row r="9" spans="1:33">
      <c r="A9">
        <v>2</v>
      </c>
      <c r="D9" t="s">
        <v>334</v>
      </c>
      <c r="E9">
        <v>3027</v>
      </c>
      <c r="H9" s="145" t="s">
        <v>335</v>
      </c>
    </row>
    <row r="10" spans="1:33">
      <c r="A10">
        <v>3</v>
      </c>
      <c r="D10" t="s">
        <v>336</v>
      </c>
      <c r="E10" s="105">
        <v>32</v>
      </c>
      <c r="H10" t="s">
        <v>337</v>
      </c>
    </row>
    <row r="11" spans="1:33">
      <c r="A11">
        <v>4</v>
      </c>
      <c r="D11" t="s">
        <v>338</v>
      </c>
      <c r="F11" s="146">
        <v>96864</v>
      </c>
      <c r="G11" s="14"/>
      <c r="H11" t="s">
        <v>339</v>
      </c>
    </row>
    <row r="12" spans="1:33">
      <c r="A12">
        <v>5</v>
      </c>
      <c r="D12" t="s">
        <v>340</v>
      </c>
      <c r="E12" s="105">
        <v>16</v>
      </c>
      <c r="H12" t="s">
        <v>337</v>
      </c>
    </row>
    <row r="13" spans="1:33">
      <c r="A13">
        <v>6</v>
      </c>
      <c r="D13" t="s">
        <v>341</v>
      </c>
      <c r="F13" s="146">
        <v>48432</v>
      </c>
      <c r="G13" s="14"/>
      <c r="H13" t="s">
        <v>342</v>
      </c>
    </row>
    <row r="14" spans="1:33" ht="15.75" thickBot="1">
      <c r="A14">
        <v>7</v>
      </c>
      <c r="D14" s="138" t="s">
        <v>343</v>
      </c>
      <c r="E14" s="138"/>
      <c r="F14" s="147"/>
      <c r="G14" s="148">
        <v>48432</v>
      </c>
      <c r="H14" t="s">
        <v>344</v>
      </c>
    </row>
    <row r="15" spans="1:33" ht="15.75" thickTop="1">
      <c r="A15">
        <v>8</v>
      </c>
      <c r="C15" s="37" t="s">
        <v>345</v>
      </c>
    </row>
    <row r="16" spans="1:33">
      <c r="A16">
        <v>9</v>
      </c>
      <c r="D16" t="s">
        <v>346</v>
      </c>
      <c r="E16">
        <v>29</v>
      </c>
      <c r="H16" s="131" t="s">
        <v>347</v>
      </c>
    </row>
    <row r="17" spans="1:8">
      <c r="A17">
        <v>10</v>
      </c>
      <c r="D17" t="s">
        <v>348</v>
      </c>
      <c r="E17">
        <v>66</v>
      </c>
      <c r="H17" s="131" t="s">
        <v>347</v>
      </c>
    </row>
    <row r="18" spans="1:8">
      <c r="A18">
        <v>11</v>
      </c>
      <c r="D18" t="s">
        <v>349</v>
      </c>
      <c r="E18">
        <v>5</v>
      </c>
      <c r="H18" s="131" t="s">
        <v>347</v>
      </c>
    </row>
    <row r="19" spans="1:8" ht="18.75" customHeight="1" thickBot="1">
      <c r="A19">
        <v>12</v>
      </c>
      <c r="D19" s="138" t="s">
        <v>350</v>
      </c>
      <c r="E19" s="138"/>
      <c r="F19" s="147"/>
      <c r="G19" s="149">
        <v>100</v>
      </c>
      <c r="H19" s="12" t="s">
        <v>351</v>
      </c>
    </row>
    <row r="20" spans="1:8" ht="15.75" thickTop="1">
      <c r="A20">
        <v>13</v>
      </c>
      <c r="C20" s="37" t="s">
        <v>352</v>
      </c>
    </row>
    <row r="21" spans="1:8">
      <c r="A21">
        <v>14</v>
      </c>
      <c r="D21" t="s">
        <v>353</v>
      </c>
      <c r="E21">
        <v>0.8</v>
      </c>
      <c r="H21" s="150" t="s">
        <v>354</v>
      </c>
    </row>
    <row r="22" spans="1:8">
      <c r="A22">
        <v>15</v>
      </c>
      <c r="D22" t="s">
        <v>355</v>
      </c>
      <c r="E22">
        <v>52</v>
      </c>
      <c r="F22" s="151"/>
      <c r="H22" t="s">
        <v>356</v>
      </c>
    </row>
    <row r="23" spans="1:8">
      <c r="A23">
        <v>16</v>
      </c>
      <c r="D23" t="s">
        <v>357</v>
      </c>
      <c r="F23">
        <v>41.6</v>
      </c>
      <c r="H23" t="s">
        <v>358</v>
      </c>
    </row>
    <row r="24" spans="1:8">
      <c r="A24">
        <v>17</v>
      </c>
      <c r="D24" t="s">
        <v>359</v>
      </c>
      <c r="F24" s="98">
        <v>37.07</v>
      </c>
      <c r="G24" s="98"/>
      <c r="H24" t="s">
        <v>360</v>
      </c>
    </row>
    <row r="25" spans="1:8" ht="15.75" thickBot="1">
      <c r="A25">
        <v>18</v>
      </c>
      <c r="D25" s="152" t="s">
        <v>361</v>
      </c>
      <c r="E25" s="152"/>
      <c r="F25" s="147"/>
      <c r="G25" s="153">
        <v>1542.1120000000001</v>
      </c>
    </row>
    <row r="26" spans="1:8" ht="15.75" thickTop="1"/>
    <row r="27" spans="1:8">
      <c r="D27" s="143" t="s">
        <v>280</v>
      </c>
      <c r="E27" s="143"/>
      <c r="F27" s="143"/>
      <c r="G27" s="144">
        <v>49974.112000000001</v>
      </c>
    </row>
  </sheetData>
  <mergeCells count="1">
    <mergeCell ref="E7:F7"/>
  </mergeCells>
  <hyperlinks>
    <hyperlink ref="H21" r:id="rId1" xr:uid="{00000000-0004-0000-0D00-000000000000}"/>
    <hyperlink ref="A1" location="Summary_RealizationSchedule!A1" display="Back to Summary" xr:uid="{00000000-0004-0000-0D00-000001000000}"/>
  </hyperlinks>
  <pageMargins left="0.7" right="0.7" top="0.75" bottom="0.75" header="0.3" footer="0.3"/>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11">
    <tabColor rgb="FF09FF78"/>
  </sheetPr>
  <dimension ref="A1:AA21"/>
  <sheetViews>
    <sheetView workbookViewId="0">
      <selection activeCell="A2" sqref="A2:L2"/>
    </sheetView>
  </sheetViews>
  <sheetFormatPr defaultColWidth="9.140625" defaultRowHeight="15"/>
  <cols>
    <col min="1" max="1" width="78.5703125" style="44" bestFit="1" customWidth="1"/>
    <col min="2" max="2" width="12.5703125" style="44" bestFit="1" customWidth="1"/>
    <col min="3" max="21" width="12.140625" style="44" customWidth="1"/>
    <col min="22" max="24" width="10.85546875" style="44" bestFit="1" customWidth="1"/>
    <col min="25" max="16384" width="9.140625" style="44"/>
  </cols>
  <sheetData>
    <row r="1" spans="1:27">
      <c r="A1" s="9" t="s">
        <v>55</v>
      </c>
    </row>
    <row r="2" spans="1:27" ht="18.75" customHeight="1">
      <c r="A2" s="608"/>
      <c r="B2" s="608"/>
      <c r="C2" s="608"/>
      <c r="D2" s="608"/>
      <c r="E2" s="608"/>
      <c r="F2" s="608"/>
      <c r="G2" s="608"/>
      <c r="H2" s="608"/>
      <c r="I2" s="608"/>
      <c r="J2" s="608"/>
      <c r="K2" s="608"/>
      <c r="L2" s="608"/>
    </row>
    <row r="3" spans="1:27" ht="15.75" customHeight="1">
      <c r="A3" s="240"/>
      <c r="B3" s="240"/>
      <c r="C3" s="240"/>
      <c r="D3" s="240"/>
      <c r="E3" s="240"/>
      <c r="F3" s="240"/>
      <c r="G3" s="240"/>
      <c r="H3" s="240"/>
      <c r="I3" s="240"/>
      <c r="J3" s="240"/>
      <c r="K3" s="240"/>
      <c r="L3" s="240"/>
    </row>
    <row r="4" spans="1:27" ht="15.75" customHeight="1">
      <c r="A4" s="240" t="s">
        <v>362</v>
      </c>
      <c r="B4" s="102">
        <v>0.01</v>
      </c>
      <c r="C4" s="240"/>
      <c r="D4" s="240"/>
      <c r="E4" s="240"/>
      <c r="F4" s="240"/>
      <c r="G4" s="240"/>
      <c r="H4" s="240"/>
      <c r="I4" s="240"/>
      <c r="J4" s="240"/>
      <c r="K4" s="240"/>
      <c r="L4" s="240"/>
    </row>
    <row r="5" spans="1:27">
      <c r="A5" t="s">
        <v>363</v>
      </c>
      <c r="B5" s="103">
        <v>2.3800000000000002E-2</v>
      </c>
      <c r="C5" s="244" t="s">
        <v>364</v>
      </c>
      <c r="D5" s="61"/>
      <c r="E5" s="61"/>
      <c r="F5" s="61"/>
      <c r="G5" s="61"/>
      <c r="H5" s="61"/>
      <c r="I5" s="61"/>
      <c r="J5" s="61"/>
      <c r="K5" s="61"/>
      <c r="L5" s="61"/>
      <c r="M5" s="61"/>
      <c r="N5" s="61"/>
      <c r="O5" s="61"/>
      <c r="P5" s="61"/>
      <c r="Q5" s="61"/>
      <c r="R5" s="61"/>
      <c r="S5" s="61"/>
      <c r="T5" s="61"/>
      <c r="U5" s="61"/>
    </row>
    <row r="6" spans="1:27">
      <c r="B6" s="60"/>
      <c r="C6" s="61"/>
      <c r="D6" s="61"/>
      <c r="E6" s="61"/>
      <c r="F6" s="61"/>
      <c r="G6" s="61"/>
      <c r="H6" s="61"/>
      <c r="I6" s="61"/>
      <c r="J6" s="61"/>
      <c r="K6" s="61"/>
      <c r="L6" s="61"/>
      <c r="M6" s="61"/>
      <c r="N6" s="61"/>
      <c r="O6" s="61"/>
      <c r="P6" s="61"/>
      <c r="Q6" s="61"/>
      <c r="R6" s="61"/>
      <c r="S6" s="61"/>
      <c r="T6" s="61"/>
      <c r="U6" s="61"/>
    </row>
    <row r="7" spans="1:27">
      <c r="B7"/>
      <c r="C7" s="61"/>
      <c r="D7" s="61"/>
      <c r="E7" s="61"/>
      <c r="F7" s="61"/>
      <c r="G7" s="61"/>
      <c r="H7" s="61"/>
      <c r="I7" s="61"/>
      <c r="J7" s="61"/>
      <c r="K7" s="61"/>
      <c r="L7" s="61"/>
      <c r="M7" s="61"/>
      <c r="N7" s="61"/>
      <c r="O7" s="61"/>
      <c r="P7" s="61"/>
      <c r="Q7" s="61"/>
      <c r="R7" s="61"/>
      <c r="S7" s="61"/>
      <c r="T7" s="61"/>
      <c r="U7" s="61"/>
    </row>
    <row r="8" spans="1:27">
      <c r="A8" t="s">
        <v>365</v>
      </c>
      <c r="B8" s="480">
        <v>3190670</v>
      </c>
      <c r="C8" s="481" t="s">
        <v>366</v>
      </c>
      <c r="D8" s="61"/>
      <c r="E8" s="61"/>
      <c r="F8" s="61"/>
      <c r="G8" s="61"/>
      <c r="H8" s="61"/>
      <c r="I8" s="61"/>
      <c r="J8" s="61"/>
      <c r="K8" s="61"/>
      <c r="L8" s="61"/>
      <c r="M8" s="61"/>
      <c r="N8" s="61"/>
      <c r="O8" s="61"/>
      <c r="P8" s="61"/>
      <c r="Q8" s="61"/>
      <c r="R8" s="61"/>
      <c r="S8" s="61"/>
      <c r="T8" s="61"/>
      <c r="U8" s="61"/>
    </row>
    <row r="9" spans="1:27">
      <c r="B9"/>
      <c r="C9" s="61"/>
      <c r="D9" s="61"/>
      <c r="E9" s="61"/>
      <c r="F9" s="61"/>
      <c r="G9" s="61"/>
      <c r="H9" s="61"/>
      <c r="I9" s="61"/>
      <c r="J9" s="61"/>
      <c r="K9" s="61"/>
      <c r="L9" s="61"/>
      <c r="M9" s="61"/>
      <c r="N9" s="61"/>
      <c r="O9" s="61"/>
      <c r="P9" s="61"/>
      <c r="Q9" s="61"/>
      <c r="R9" s="61"/>
      <c r="S9" s="61"/>
      <c r="T9" s="61"/>
      <c r="U9" s="61"/>
    </row>
    <row r="10" spans="1:27">
      <c r="C10" s="61">
        <v>0</v>
      </c>
      <c r="D10" s="61">
        <v>0</v>
      </c>
      <c r="E10" s="61">
        <v>0</v>
      </c>
      <c r="F10" s="61">
        <v>0</v>
      </c>
      <c r="G10" s="61">
        <v>0.2</v>
      </c>
      <c r="H10" s="61">
        <v>0.4</v>
      </c>
      <c r="I10" s="61">
        <v>0.6</v>
      </c>
      <c r="J10" s="61">
        <v>0.8</v>
      </c>
      <c r="K10" s="61">
        <v>1</v>
      </c>
      <c r="L10" s="61">
        <v>1</v>
      </c>
      <c r="M10" s="61">
        <v>1</v>
      </c>
      <c r="N10" s="61">
        <v>1</v>
      </c>
      <c r="O10" s="61">
        <v>1</v>
      </c>
      <c r="P10" s="61">
        <v>1</v>
      </c>
      <c r="Q10" s="61">
        <v>1</v>
      </c>
      <c r="R10" s="61">
        <v>1</v>
      </c>
      <c r="S10" s="61">
        <v>1</v>
      </c>
      <c r="T10" s="61">
        <v>1</v>
      </c>
      <c r="U10" s="61">
        <v>1</v>
      </c>
      <c r="V10" s="61">
        <v>1</v>
      </c>
      <c r="W10" s="61">
        <v>1</v>
      </c>
      <c r="X10" s="61">
        <v>0.25</v>
      </c>
      <c r="Y10" s="61">
        <v>0</v>
      </c>
      <c r="Z10" s="61">
        <v>0</v>
      </c>
      <c r="AA10" s="61">
        <v>0</v>
      </c>
    </row>
    <row r="11" spans="1:27">
      <c r="A11" s="44" t="s">
        <v>177</v>
      </c>
      <c r="C11" s="61">
        <v>2016</v>
      </c>
      <c r="D11" s="61">
        <v>2017</v>
      </c>
      <c r="E11" s="61">
        <v>2018</v>
      </c>
      <c r="F11" s="61">
        <v>2019</v>
      </c>
      <c r="G11" s="61">
        <v>2020</v>
      </c>
      <c r="H11" s="61">
        <v>2021</v>
      </c>
      <c r="I11" s="61">
        <v>2022</v>
      </c>
      <c r="J11" s="61">
        <v>2023</v>
      </c>
      <c r="K11" s="61">
        <v>2024</v>
      </c>
      <c r="L11" s="61">
        <v>2025</v>
      </c>
      <c r="M11" s="61">
        <v>2026</v>
      </c>
      <c r="N11" s="61">
        <v>2027</v>
      </c>
      <c r="O11" s="61">
        <v>2028</v>
      </c>
      <c r="P11" s="61">
        <v>2029</v>
      </c>
      <c r="Q11" s="61">
        <v>2030</v>
      </c>
      <c r="R11" s="61">
        <v>2031</v>
      </c>
      <c r="S11" s="61">
        <v>2032</v>
      </c>
      <c r="T11" s="61">
        <v>2033</v>
      </c>
      <c r="U11" s="61">
        <v>2034</v>
      </c>
      <c r="V11" s="61">
        <v>2035</v>
      </c>
      <c r="W11" s="61">
        <v>2036</v>
      </c>
      <c r="X11" s="61">
        <v>2037</v>
      </c>
      <c r="Y11" s="61">
        <v>2038</v>
      </c>
      <c r="Z11" s="61">
        <v>2039</v>
      </c>
      <c r="AA11" s="61">
        <v>2040</v>
      </c>
    </row>
    <row r="12" spans="1:27">
      <c r="A12" t="s">
        <v>367</v>
      </c>
      <c r="B12" s="483">
        <v>28009803.29321368</v>
      </c>
      <c r="C12" s="64">
        <v>0</v>
      </c>
      <c r="D12" s="64">
        <v>0</v>
      </c>
      <c r="E12" s="64">
        <v>0</v>
      </c>
      <c r="F12" s="480">
        <v>0</v>
      </c>
      <c r="G12" s="64">
        <v>659702.92920000013</v>
      </c>
      <c r="H12" s="64">
        <v>1364001.7764139203</v>
      </c>
      <c r="I12" s="64">
        <v>2115157.554685066</v>
      </c>
      <c r="J12" s="64">
        <v>2915533.1733778957</v>
      </c>
      <c r="K12" s="64">
        <v>3767597.7432975858</v>
      </c>
      <c r="L12" s="64">
        <v>3894942.5470210435</v>
      </c>
      <c r="M12" s="64">
        <v>4026591.6051103557</v>
      </c>
      <c r="N12" s="64">
        <v>4162690.4013630855</v>
      </c>
      <c r="O12" s="64">
        <v>4303389.3369291574</v>
      </c>
      <c r="P12" s="64">
        <v>4448843.8965173634</v>
      </c>
      <c r="Q12" s="64">
        <v>4599214.8202196509</v>
      </c>
      <c r="R12" s="64">
        <v>4754668.2811430749</v>
      </c>
      <c r="S12" s="64">
        <v>4915376.0690457113</v>
      </c>
      <c r="T12" s="64">
        <v>5081515.7801794559</v>
      </c>
      <c r="U12" s="64">
        <v>5253271.0135495225</v>
      </c>
      <c r="V12" s="64">
        <v>5430831.5738074966</v>
      </c>
      <c r="W12" s="64">
        <v>5614393.6810021894</v>
      </c>
      <c r="X12" s="64">
        <v>1451040.0468550159</v>
      </c>
      <c r="Y12" s="64">
        <v>0</v>
      </c>
      <c r="Z12" s="64">
        <v>0</v>
      </c>
      <c r="AA12" s="64">
        <v>0</v>
      </c>
    </row>
    <row r="13" spans="1:27">
      <c r="B13" s="482">
        <v>68758762.229717582</v>
      </c>
    </row>
    <row r="16" spans="1:27" s="435" customFormat="1">
      <c r="A16" s="435" t="s">
        <v>225</v>
      </c>
    </row>
    <row r="17" spans="1:27" s="435" customFormat="1">
      <c r="A17" s="435" t="s">
        <v>365</v>
      </c>
      <c r="B17" s="436">
        <v>2622923.8497274392</v>
      </c>
    </row>
    <row r="18" spans="1:27" s="435" customFormat="1"/>
    <row r="19" spans="1:27" s="435" customFormat="1">
      <c r="C19" s="435">
        <v>0</v>
      </c>
      <c r="D19" s="435">
        <v>0</v>
      </c>
      <c r="E19" s="435">
        <v>0</v>
      </c>
      <c r="F19" s="435">
        <v>0.3</v>
      </c>
      <c r="G19" s="435">
        <v>0.75</v>
      </c>
      <c r="H19" s="435">
        <v>0.75</v>
      </c>
      <c r="I19" s="435">
        <v>0.75</v>
      </c>
      <c r="J19" s="435">
        <v>1</v>
      </c>
      <c r="K19" s="435">
        <v>1</v>
      </c>
      <c r="L19" s="435">
        <v>1</v>
      </c>
      <c r="M19" s="435">
        <v>1</v>
      </c>
      <c r="N19" s="435">
        <v>1</v>
      </c>
      <c r="O19" s="435">
        <v>1</v>
      </c>
      <c r="P19" s="435">
        <v>1</v>
      </c>
      <c r="Q19" s="435">
        <v>1</v>
      </c>
      <c r="R19" s="435">
        <v>1</v>
      </c>
      <c r="S19" s="435">
        <v>1</v>
      </c>
      <c r="T19" s="435">
        <v>1</v>
      </c>
      <c r="U19" s="435">
        <v>1</v>
      </c>
      <c r="V19" s="435">
        <v>1</v>
      </c>
      <c r="W19" s="435">
        <v>1</v>
      </c>
      <c r="X19" s="435">
        <v>0.25</v>
      </c>
      <c r="Y19" s="435">
        <v>0</v>
      </c>
      <c r="Z19" s="435">
        <v>0</v>
      </c>
      <c r="AA19" s="435">
        <v>0</v>
      </c>
    </row>
    <row r="20" spans="1:27" s="435" customFormat="1">
      <c r="A20" s="435" t="s">
        <v>177</v>
      </c>
      <c r="C20" s="437">
        <v>2016</v>
      </c>
      <c r="D20" s="435">
        <v>2017</v>
      </c>
      <c r="E20" s="435">
        <v>2018</v>
      </c>
      <c r="F20" s="435">
        <v>2019</v>
      </c>
      <c r="G20" s="435">
        <v>2020</v>
      </c>
      <c r="H20" s="435">
        <v>2021</v>
      </c>
      <c r="I20" s="435">
        <v>2022</v>
      </c>
      <c r="J20" s="435">
        <v>2023</v>
      </c>
      <c r="K20" s="435">
        <v>2024</v>
      </c>
      <c r="L20" s="435">
        <v>2025</v>
      </c>
      <c r="M20" s="435">
        <v>2026</v>
      </c>
      <c r="N20" s="435">
        <v>2027</v>
      </c>
      <c r="O20" s="435">
        <v>2028</v>
      </c>
      <c r="P20" s="435">
        <v>2029</v>
      </c>
      <c r="Q20" s="435">
        <v>2030</v>
      </c>
      <c r="R20" s="435">
        <v>2031</v>
      </c>
      <c r="S20" s="435">
        <v>2032</v>
      </c>
      <c r="T20" s="435">
        <v>2033</v>
      </c>
      <c r="U20" s="435">
        <v>2034</v>
      </c>
      <c r="V20" s="435">
        <v>2035</v>
      </c>
      <c r="W20" s="435">
        <v>2036</v>
      </c>
      <c r="X20" s="435">
        <v>2037</v>
      </c>
      <c r="Y20" s="435">
        <v>2038</v>
      </c>
      <c r="Z20" s="435">
        <v>2039</v>
      </c>
      <c r="AA20" s="435">
        <v>2040</v>
      </c>
    </row>
    <row r="21" spans="1:27" s="435" customFormat="1">
      <c r="A21" s="435" t="s">
        <v>367</v>
      </c>
      <c r="B21" s="484">
        <v>29913262.350978587</v>
      </c>
      <c r="C21" s="436">
        <v>0</v>
      </c>
      <c r="D21" s="436">
        <v>0</v>
      </c>
      <c r="E21" s="436">
        <v>0</v>
      </c>
      <c r="F21" s="436">
        <v>898779.27227562002</v>
      </c>
      <c r="G21" s="436">
        <v>2322895.0291963401</v>
      </c>
      <c r="H21" s="436">
        <v>2401408.8811831763</v>
      </c>
      <c r="I21" s="436">
        <v>2482576.501367168</v>
      </c>
      <c r="J21" s="436">
        <v>3421983.4494845043</v>
      </c>
      <c r="K21" s="436">
        <v>3537646.4900770807</v>
      </c>
      <c r="L21" s="436">
        <v>3657218.9414416859</v>
      </c>
      <c r="M21" s="436">
        <v>3780832.9416624154</v>
      </c>
      <c r="N21" s="436">
        <v>3908625.0950906049</v>
      </c>
      <c r="O21" s="436">
        <v>4040736.6233046679</v>
      </c>
      <c r="P21" s="436">
        <v>4177313.5211723656</v>
      </c>
      <c r="Q21" s="436">
        <v>4318506.7181879925</v>
      </c>
      <c r="R21" s="436">
        <v>4464472.2452627458</v>
      </c>
      <c r="S21" s="436">
        <v>4615371.4071526267</v>
      </c>
      <c r="T21" s="436">
        <v>4771370.9607143858</v>
      </c>
      <c r="U21" s="436">
        <v>4932643.2991865333</v>
      </c>
      <c r="V21" s="436">
        <v>5099366.6426990377</v>
      </c>
      <c r="W21" s="436">
        <v>5271725.2352222661</v>
      </c>
    </row>
  </sheetData>
  <mergeCells count="1">
    <mergeCell ref="A2:L2"/>
  </mergeCells>
  <hyperlinks>
    <hyperlink ref="C5" r:id="rId1" xr:uid="{00000000-0004-0000-0E00-000000000000}"/>
    <hyperlink ref="A1" location="Summary_RealizationSchedule!A1" display="Back to Summary" xr:uid="{00000000-0004-0000-0E00-000001000000}"/>
  </hyperlinks>
  <pageMargins left="0.7" right="0.7" top="0.75" bottom="0.75" header="0.3" footer="0.3"/>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9FF78"/>
  </sheetPr>
  <dimension ref="A1:AG9"/>
  <sheetViews>
    <sheetView workbookViewId="0">
      <selection activeCell="J14" sqref="J14"/>
    </sheetView>
  </sheetViews>
  <sheetFormatPr defaultRowHeight="15"/>
  <cols>
    <col min="2" max="2" width="23.85546875" bestFit="1" customWidth="1"/>
    <col min="4" max="4" width="13.5703125" bestFit="1" customWidth="1"/>
    <col min="5" max="5" width="24.5703125" bestFit="1" customWidth="1"/>
    <col min="6" max="6" width="5" bestFit="1" customWidth="1"/>
    <col min="7" max="7" width="14.5703125" bestFit="1" customWidth="1"/>
    <col min="8" max="8" width="12.5703125" bestFit="1" customWidth="1"/>
    <col min="9" max="9" width="14.85546875" bestFit="1" customWidth="1"/>
    <col min="10" max="10" width="10.85546875" bestFit="1" customWidth="1"/>
    <col min="11" max="12" width="10" bestFit="1" customWidth="1"/>
    <col min="13" max="33" width="11.5703125" bestFit="1" customWidth="1"/>
  </cols>
  <sheetData>
    <row r="1" spans="1:33" s="44" customFormat="1">
      <c r="A1" s="9" t="s">
        <v>55</v>
      </c>
      <c r="D1" s="9"/>
    </row>
    <row r="2" spans="1:33">
      <c r="C2" s="358"/>
      <c r="D2" s="466" t="s">
        <v>35</v>
      </c>
      <c r="G2" s="358" t="s">
        <v>4</v>
      </c>
      <c r="H2" s="358" t="s">
        <v>368</v>
      </c>
      <c r="I2" s="357">
        <v>2016</v>
      </c>
      <c r="J2" s="357">
        <v>2017</v>
      </c>
      <c r="K2" s="357">
        <v>2018</v>
      </c>
      <c r="L2" s="357" t="s">
        <v>369</v>
      </c>
      <c r="M2" s="357">
        <v>2020</v>
      </c>
      <c r="N2" s="357">
        <v>2021</v>
      </c>
      <c r="O2" s="357">
        <v>2022</v>
      </c>
      <c r="P2" s="357">
        <v>2023</v>
      </c>
      <c r="Q2" s="357">
        <v>2024</v>
      </c>
      <c r="R2" s="357">
        <v>2025</v>
      </c>
      <c r="S2" s="357">
        <v>2026</v>
      </c>
      <c r="T2" s="357">
        <v>2027</v>
      </c>
      <c r="U2" s="357">
        <v>2028</v>
      </c>
      <c r="V2" s="357">
        <v>2029</v>
      </c>
      <c r="W2" s="357">
        <v>2030</v>
      </c>
      <c r="X2" s="357">
        <v>2031</v>
      </c>
      <c r="Y2" s="357">
        <v>2032</v>
      </c>
      <c r="Z2" s="357">
        <v>2033</v>
      </c>
      <c r="AA2" s="357">
        <v>2034</v>
      </c>
      <c r="AB2" s="357">
        <v>2035</v>
      </c>
      <c r="AC2" s="357">
        <v>2036</v>
      </c>
      <c r="AD2" s="357">
        <v>2037</v>
      </c>
      <c r="AE2" s="357">
        <v>2038</v>
      </c>
      <c r="AF2" s="357">
        <v>2039</v>
      </c>
      <c r="AG2" s="357">
        <v>2040</v>
      </c>
    </row>
    <row r="3" spans="1:33">
      <c r="B3" s="358"/>
      <c r="C3" s="358"/>
      <c r="E3" s="358" t="s">
        <v>370</v>
      </c>
      <c r="F3" s="358"/>
      <c r="G3" s="358"/>
      <c r="H3" s="358"/>
      <c r="I3" s="358">
        <v>0</v>
      </c>
      <c r="J3" s="358">
        <v>0</v>
      </c>
      <c r="K3" s="358">
        <v>0</v>
      </c>
      <c r="L3" s="357">
        <v>0</v>
      </c>
      <c r="M3" s="357">
        <v>0.2</v>
      </c>
      <c r="N3" s="357">
        <v>0.4</v>
      </c>
      <c r="O3" s="357">
        <v>0.6</v>
      </c>
      <c r="P3" s="357">
        <v>0.8</v>
      </c>
      <c r="Q3" s="357">
        <v>1</v>
      </c>
      <c r="R3" s="522">
        <v>1</v>
      </c>
      <c r="S3" s="522">
        <v>1</v>
      </c>
      <c r="T3" s="522">
        <v>1</v>
      </c>
      <c r="U3" s="522">
        <v>1</v>
      </c>
      <c r="V3" s="522">
        <v>1</v>
      </c>
      <c r="W3" s="522">
        <v>1</v>
      </c>
      <c r="X3" s="522">
        <v>1</v>
      </c>
      <c r="Y3" s="522">
        <v>1</v>
      </c>
      <c r="Z3" s="522">
        <v>1</v>
      </c>
      <c r="AA3" s="522">
        <v>1</v>
      </c>
      <c r="AB3" s="522">
        <v>1</v>
      </c>
      <c r="AC3" s="522">
        <v>1</v>
      </c>
      <c r="AD3" s="522">
        <v>0.25</v>
      </c>
      <c r="AE3" s="522">
        <v>0</v>
      </c>
      <c r="AF3" s="522">
        <v>0</v>
      </c>
      <c r="AG3" s="522">
        <v>0</v>
      </c>
    </row>
    <row r="4" spans="1:33">
      <c r="A4" s="466" t="s">
        <v>371</v>
      </c>
      <c r="E4" s="358" t="s">
        <v>372</v>
      </c>
      <c r="F4" s="358"/>
      <c r="G4" s="470">
        <v>18673199.269256186</v>
      </c>
      <c r="H4" s="468">
        <v>45839167.636496812</v>
      </c>
      <c r="I4" s="467">
        <v>0</v>
      </c>
      <c r="J4" s="467">
        <v>0</v>
      </c>
      <c r="K4" s="467">
        <v>0</v>
      </c>
      <c r="L4" s="468">
        <v>0</v>
      </c>
      <c r="M4" s="468">
        <v>439801.88388000004</v>
      </c>
      <c r="N4" s="468">
        <v>909334.37511028803</v>
      </c>
      <c r="O4" s="468">
        <v>1410104.8154835238</v>
      </c>
      <c r="P4" s="468">
        <v>1943688.4776624895</v>
      </c>
      <c r="Q4" s="468">
        <v>2511731.435259352</v>
      </c>
      <c r="R4" s="468">
        <v>2596627.9577711178</v>
      </c>
      <c r="S4" s="468">
        <v>2684393.9827437825</v>
      </c>
      <c r="T4" s="468">
        <v>2775126.4993605218</v>
      </c>
      <c r="U4" s="468">
        <v>2868925.7750389078</v>
      </c>
      <c r="V4" s="468">
        <v>2965895.4662352228</v>
      </c>
      <c r="W4" s="468">
        <v>3066142.7329939734</v>
      </c>
      <c r="X4" s="468">
        <v>3169778.3573691701</v>
      </c>
      <c r="Y4" s="468">
        <v>3276916.8658482484</v>
      </c>
      <c r="Z4" s="468">
        <v>3387676.6559139187</v>
      </c>
      <c r="AA4" s="468">
        <v>3502180.1268838099</v>
      </c>
      <c r="AB4" s="468">
        <v>3620553.8151724827</v>
      </c>
      <c r="AC4" s="468">
        <v>3742928.5341253127</v>
      </c>
      <c r="AD4" s="468">
        <v>967359.87964468705</v>
      </c>
      <c r="AE4" s="468">
        <v>0</v>
      </c>
      <c r="AF4" s="468">
        <v>0</v>
      </c>
      <c r="AG4" s="468">
        <v>0</v>
      </c>
    </row>
    <row r="5" spans="1:33">
      <c r="G5" s="63"/>
    </row>
    <row r="6" spans="1:33">
      <c r="E6" t="s">
        <v>373</v>
      </c>
      <c r="H6" t="s">
        <v>374</v>
      </c>
      <c r="I6" t="s">
        <v>375</v>
      </c>
      <c r="J6" s="523">
        <v>2127113</v>
      </c>
      <c r="K6" s="61" t="s">
        <v>366</v>
      </c>
    </row>
    <row r="8" spans="1:33" ht="30">
      <c r="B8" s="240" t="s">
        <v>362</v>
      </c>
      <c r="C8" s="102">
        <v>0.01</v>
      </c>
      <c r="D8" s="240"/>
    </row>
    <row r="9" spans="1:33">
      <c r="B9" t="s">
        <v>363</v>
      </c>
      <c r="C9" s="103">
        <v>2.3800000000000002E-2</v>
      </c>
      <c r="D9" s="244" t="s">
        <v>364</v>
      </c>
    </row>
  </sheetData>
  <hyperlinks>
    <hyperlink ref="D9" r:id="rId1" xr:uid="{00000000-0004-0000-0F00-000000000000}"/>
    <hyperlink ref="A1" location="Summary_RealizationSchedule!A1" display="Back to Summary" xr:uid="{00000000-0004-0000-0F00-000001000000}"/>
  </hyperlinks>
  <pageMargins left="0.7" right="0.7" top="0.75" bottom="0.75" header="0.3" footer="0.3"/>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tabColor rgb="FF09FF78"/>
  </sheetPr>
  <dimension ref="A1:AE36"/>
  <sheetViews>
    <sheetView topLeftCell="A10" workbookViewId="0">
      <selection activeCell="B4" sqref="B4:G4"/>
    </sheetView>
  </sheetViews>
  <sheetFormatPr defaultColWidth="9.140625" defaultRowHeight="15"/>
  <cols>
    <col min="1" max="1" width="9.140625" style="44"/>
    <col min="2" max="2" width="23.7109375" style="44" customWidth="1"/>
    <col min="3" max="3" width="11.7109375" style="44" customWidth="1"/>
    <col min="4" max="4" width="61.42578125" style="44" bestFit="1" customWidth="1"/>
    <col min="5" max="8" width="11.7109375" style="44" customWidth="1"/>
    <col min="9" max="22" width="9.42578125" style="44" customWidth="1"/>
    <col min="23" max="16384" width="9.140625" style="44"/>
  </cols>
  <sheetData>
    <row r="1" spans="1:31">
      <c r="A1" s="9" t="s">
        <v>55</v>
      </c>
    </row>
    <row r="2" spans="1:31">
      <c r="C2" s="609"/>
      <c r="D2" s="609"/>
      <c r="E2" s="609"/>
      <c r="F2" s="609"/>
      <c r="G2" s="609"/>
      <c r="H2" s="609"/>
    </row>
    <row r="3" spans="1:31" ht="18.75">
      <c r="B3" s="286" t="s">
        <v>35</v>
      </c>
      <c r="C3" s="266"/>
      <c r="D3" s="266"/>
      <c r="E3" s="266"/>
      <c r="F3" s="45"/>
      <c r="G3" s="46"/>
      <c r="H3" s="46"/>
    </row>
    <row r="4" spans="1:31" ht="69.75" customHeight="1">
      <c r="B4" s="610" t="s">
        <v>376</v>
      </c>
      <c r="C4" s="610"/>
      <c r="D4" s="610"/>
      <c r="E4" s="610"/>
      <c r="F4" s="610"/>
      <c r="G4" s="610"/>
      <c r="H4" s="48"/>
      <c r="I4" s="49"/>
    </row>
    <row r="6" spans="1:31">
      <c r="B6" t="s">
        <v>377</v>
      </c>
      <c r="C6" s="60">
        <v>0.01</v>
      </c>
    </row>
    <row r="7" spans="1:31">
      <c r="B7" t="s">
        <v>378</v>
      </c>
      <c r="C7" s="60">
        <v>0.03</v>
      </c>
    </row>
    <row r="9" spans="1:31">
      <c r="B9"/>
      <c r="D9" s="19"/>
      <c r="E9" s="19">
        <v>0</v>
      </c>
      <c r="F9" s="19">
        <v>0</v>
      </c>
      <c r="G9" s="19">
        <v>0</v>
      </c>
      <c r="H9" s="19">
        <v>0</v>
      </c>
      <c r="I9" s="19">
        <v>0</v>
      </c>
      <c r="J9" s="19">
        <v>0</v>
      </c>
      <c r="K9" s="19">
        <v>1</v>
      </c>
      <c r="L9" s="19">
        <v>1</v>
      </c>
      <c r="M9" s="19">
        <v>1</v>
      </c>
      <c r="N9" s="19">
        <v>1</v>
      </c>
      <c r="O9" s="19">
        <v>1</v>
      </c>
      <c r="P9" s="19">
        <v>1</v>
      </c>
      <c r="Q9" s="19">
        <v>1</v>
      </c>
      <c r="R9" s="19">
        <v>1</v>
      </c>
      <c r="S9" s="19">
        <v>1</v>
      </c>
      <c r="T9" s="19">
        <v>1</v>
      </c>
      <c r="U9" s="19">
        <v>1</v>
      </c>
      <c r="V9" s="19">
        <v>1</v>
      </c>
      <c r="W9" s="19">
        <v>1</v>
      </c>
      <c r="X9" s="19">
        <v>1</v>
      </c>
      <c r="Y9" s="19">
        <v>0.25</v>
      </c>
      <c r="Z9" s="19">
        <v>0</v>
      </c>
      <c r="AA9" s="19">
        <v>0</v>
      </c>
      <c r="AB9" s="19">
        <v>0</v>
      </c>
    </row>
    <row r="10" spans="1:31">
      <c r="B10" s="44" t="s">
        <v>177</v>
      </c>
      <c r="D10" s="61">
        <v>2016</v>
      </c>
      <c r="E10" s="61">
        <v>2017</v>
      </c>
      <c r="F10" s="61">
        <v>2018</v>
      </c>
      <c r="G10" s="61">
        <v>2019</v>
      </c>
      <c r="H10" s="61">
        <v>2020</v>
      </c>
      <c r="I10" s="61">
        <v>2021</v>
      </c>
      <c r="J10" s="61">
        <v>2022</v>
      </c>
      <c r="K10" s="61">
        <v>2023</v>
      </c>
      <c r="L10" s="61">
        <v>2024</v>
      </c>
      <c r="M10" s="61">
        <v>2025</v>
      </c>
      <c r="N10" s="61">
        <v>2026</v>
      </c>
      <c r="O10" s="61">
        <v>2027</v>
      </c>
      <c r="P10" s="61">
        <v>2028</v>
      </c>
      <c r="Q10" s="61">
        <v>2029</v>
      </c>
      <c r="R10" s="61">
        <v>2030</v>
      </c>
      <c r="S10" s="61">
        <v>2031</v>
      </c>
      <c r="T10" s="61">
        <v>2032</v>
      </c>
      <c r="U10" s="61">
        <v>2033</v>
      </c>
      <c r="V10" s="61">
        <v>2034</v>
      </c>
      <c r="W10" s="61">
        <v>2035</v>
      </c>
      <c r="X10" s="61">
        <v>2036</v>
      </c>
      <c r="Y10" s="61">
        <v>2037</v>
      </c>
      <c r="Z10" s="61">
        <v>2038</v>
      </c>
      <c r="AA10" s="61">
        <v>2039</v>
      </c>
      <c r="AB10" s="61">
        <v>2040</v>
      </c>
    </row>
    <row r="11" spans="1:31">
      <c r="B11" s="44" t="s">
        <v>179</v>
      </c>
      <c r="C11" s="63">
        <v>1277163.4111527745</v>
      </c>
      <c r="D11" s="64">
        <v>0</v>
      </c>
      <c r="E11" s="64">
        <v>0</v>
      </c>
      <c r="F11" s="64">
        <v>0</v>
      </c>
      <c r="G11" s="64">
        <v>0</v>
      </c>
      <c r="H11" s="64">
        <v>0</v>
      </c>
      <c r="I11" s="517">
        <v>29223.210306401717</v>
      </c>
      <c r="J11" s="517">
        <v>50653.564531096301</v>
      </c>
      <c r="K11" s="64">
        <v>140479.21896624044</v>
      </c>
      <c r="L11" s="64">
        <v>146098.38772489008</v>
      </c>
      <c r="M11" s="64">
        <v>151942.32323388566</v>
      </c>
      <c r="N11" s="64">
        <v>158020.01616324109</v>
      </c>
      <c r="O11" s="64">
        <v>164340.81680977077</v>
      </c>
      <c r="P11" s="64">
        <v>170914.44948216161</v>
      </c>
      <c r="Q11" s="64">
        <v>177751.02746144807</v>
      </c>
      <c r="R11" s="64">
        <v>184861.06855990598</v>
      </c>
      <c r="S11" s="64">
        <v>192255.51130230224</v>
      </c>
      <c r="T11" s="64">
        <v>199945.73175439436</v>
      </c>
      <c r="U11" s="64">
        <v>207943.56102457014</v>
      </c>
      <c r="V11" s="64">
        <v>216261.30346555295</v>
      </c>
      <c r="W11" s="64">
        <v>224911.75560417506</v>
      </c>
      <c r="X11" s="64">
        <v>233908.22582834214</v>
      </c>
      <c r="Y11" s="64">
        <v>60816.13871536895</v>
      </c>
      <c r="Z11" s="64">
        <v>0</v>
      </c>
      <c r="AA11" s="64">
        <v>0</v>
      </c>
      <c r="AB11" s="64">
        <v>0</v>
      </c>
      <c r="AC11" s="64"/>
      <c r="AD11" s="64"/>
      <c r="AE11" s="64"/>
    </row>
    <row r="13" spans="1:31" ht="15.75" customHeight="1">
      <c r="B13" s="528"/>
      <c r="C13" s="528"/>
      <c r="D13" s="528"/>
      <c r="E13" s="528"/>
      <c r="F13" s="528"/>
      <c r="G13" s="528"/>
      <c r="H13" s="48"/>
      <c r="I13" s="49"/>
    </row>
    <row r="14" spans="1:31" ht="15.75" customHeight="1">
      <c r="A14" s="128"/>
      <c r="B14" s="129" t="s">
        <v>38</v>
      </c>
      <c r="C14" s="128"/>
      <c r="D14" s="128"/>
      <c r="E14" s="607">
        <v>2014</v>
      </c>
      <c r="F14" s="607"/>
      <c r="G14" s="100"/>
      <c r="H14"/>
      <c r="I14" s="49"/>
    </row>
    <row r="15" spans="1:31" ht="15.75" customHeight="1">
      <c r="A15">
        <v>1</v>
      </c>
      <c r="B15"/>
      <c r="C15" s="37" t="s">
        <v>379</v>
      </c>
      <c r="D15"/>
      <c r="E15"/>
      <c r="F15"/>
      <c r="G15"/>
      <c r="H15"/>
      <c r="I15" s="49"/>
    </row>
    <row r="16" spans="1:31" ht="15.75" customHeight="1">
      <c r="A16">
        <v>2</v>
      </c>
      <c r="B16"/>
      <c r="C16"/>
      <c r="D16" t="s">
        <v>380</v>
      </c>
      <c r="E16" s="16">
        <v>36863</v>
      </c>
      <c r="F16"/>
      <c r="G16"/>
      <c r="H16" t="s">
        <v>381</v>
      </c>
      <c r="I16" s="49"/>
    </row>
    <row r="17" spans="1:9" ht="15.75" customHeight="1">
      <c r="A17">
        <v>3</v>
      </c>
      <c r="B17"/>
      <c r="C17"/>
      <c r="D17" t="s">
        <v>382</v>
      </c>
      <c r="E17" s="16">
        <v>24698.210000000003</v>
      </c>
      <c r="F17"/>
      <c r="G17"/>
      <c r="H17" t="s">
        <v>383</v>
      </c>
      <c r="I17" s="49"/>
    </row>
    <row r="18" spans="1:9" ht="15.75" customHeight="1">
      <c r="A18">
        <v>4</v>
      </c>
      <c r="B18"/>
      <c r="C18"/>
      <c r="D18" t="s">
        <v>384</v>
      </c>
      <c r="E18" s="130">
        <v>16619</v>
      </c>
      <c r="F18"/>
      <c r="G18"/>
      <c r="H18" s="131" t="s">
        <v>385</v>
      </c>
      <c r="I18" s="49"/>
    </row>
    <row r="19" spans="1:9" ht="15.75" customHeight="1">
      <c r="A19">
        <v>5</v>
      </c>
      <c r="B19"/>
      <c r="C19"/>
      <c r="D19" t="s">
        <v>386</v>
      </c>
      <c r="E19"/>
      <c r="F19" s="132">
        <v>0.67288277166644861</v>
      </c>
      <c r="G19"/>
      <c r="H19" t="s">
        <v>331</v>
      </c>
      <c r="I19" s="49"/>
    </row>
    <row r="20" spans="1:9" ht="15.75" customHeight="1">
      <c r="A20">
        <v>6</v>
      </c>
      <c r="B20"/>
      <c r="C20"/>
      <c r="D20" t="s">
        <v>387</v>
      </c>
      <c r="E20" s="133">
        <v>4.8958333333333328E-3</v>
      </c>
      <c r="F20" s="17"/>
      <c r="G20"/>
      <c r="H20" t="s">
        <v>388</v>
      </c>
      <c r="I20" s="49"/>
    </row>
    <row r="21" spans="1:9" ht="15.75" customHeight="1">
      <c r="A21">
        <v>7</v>
      </c>
      <c r="B21"/>
      <c r="C21"/>
      <c r="D21" s="131" t="s">
        <v>389</v>
      </c>
      <c r="E21" s="133">
        <v>3.580628147835648E-3</v>
      </c>
      <c r="F21" s="131"/>
      <c r="G21" s="131"/>
      <c r="H21" t="s">
        <v>381</v>
      </c>
      <c r="I21" s="49"/>
    </row>
    <row r="22" spans="1:9" ht="15.75" customHeight="1">
      <c r="A22">
        <v>8</v>
      </c>
      <c r="B22"/>
      <c r="C22"/>
      <c r="D22" t="s">
        <v>390</v>
      </c>
      <c r="E22" s="132">
        <v>0.73136234508983455</v>
      </c>
      <c r="F22"/>
      <c r="G22" s="134"/>
      <c r="H22" s="131" t="s">
        <v>391</v>
      </c>
      <c r="I22" s="49"/>
    </row>
    <row r="23" spans="1:9" ht="15.75" customHeight="1">
      <c r="A23">
        <v>9</v>
      </c>
      <c r="B23"/>
      <c r="C23"/>
      <c r="D23" t="s">
        <v>392</v>
      </c>
      <c r="E23" s="135">
        <v>6.71</v>
      </c>
      <c r="F23" s="134"/>
      <c r="G23" s="134"/>
      <c r="H23"/>
      <c r="I23" s="49"/>
    </row>
    <row r="24" spans="1:9" ht="15.75" customHeight="1">
      <c r="A24">
        <v>10</v>
      </c>
      <c r="B24"/>
      <c r="C24"/>
      <c r="D24" t="s">
        <v>393</v>
      </c>
      <c r="E24"/>
      <c r="F24" s="136">
        <v>4.9074413355527895</v>
      </c>
      <c r="G24" s="137"/>
      <c r="H24" t="s">
        <v>394</v>
      </c>
      <c r="I24" s="49"/>
    </row>
    <row r="25" spans="1:9" ht="15.75" customHeight="1" thickBot="1">
      <c r="A25">
        <v>11</v>
      </c>
      <c r="B25"/>
      <c r="C25"/>
      <c r="D25" s="138" t="s">
        <v>361</v>
      </c>
      <c r="E25" s="138"/>
      <c r="F25" s="139"/>
      <c r="G25" s="140">
        <v>81556.767555551807</v>
      </c>
      <c r="H25" t="s">
        <v>395</v>
      </c>
      <c r="I25" s="49"/>
    </row>
    <row r="26" spans="1:9" ht="15.75" customHeight="1" thickTop="1">
      <c r="A26">
        <v>12</v>
      </c>
      <c r="B26"/>
      <c r="C26" s="37" t="s">
        <v>396</v>
      </c>
      <c r="D26"/>
      <c r="E26"/>
      <c r="F26"/>
      <c r="G26"/>
      <c r="H26"/>
      <c r="I26" s="49"/>
    </row>
    <row r="27" spans="1:9" ht="15.75" customHeight="1">
      <c r="A27">
        <v>13</v>
      </c>
      <c r="B27"/>
      <c r="C27" s="131"/>
      <c r="D27" s="131" t="s">
        <v>389</v>
      </c>
      <c r="E27" s="133">
        <v>3.580628147835648E-3</v>
      </c>
      <c r="F27"/>
      <c r="G27" s="131"/>
      <c r="H27" t="s">
        <v>381</v>
      </c>
      <c r="I27" s="49"/>
    </row>
    <row r="28" spans="1:9" ht="15.75" customHeight="1">
      <c r="A28">
        <v>14</v>
      </c>
      <c r="B28"/>
      <c r="C28" s="131"/>
      <c r="D28" s="131" t="s">
        <v>397</v>
      </c>
      <c r="E28" s="133">
        <v>9.2592592592592585E-4</v>
      </c>
      <c r="F28"/>
      <c r="G28"/>
      <c r="H28" t="s">
        <v>398</v>
      </c>
      <c r="I28" s="49"/>
    </row>
    <row r="29" spans="1:9" ht="15.75" customHeight="1">
      <c r="A29">
        <v>15</v>
      </c>
      <c r="B29"/>
      <c r="C29" s="131"/>
      <c r="D29" t="s">
        <v>399</v>
      </c>
      <c r="E29" s="132">
        <v>0.25859315396534893</v>
      </c>
      <c r="F29"/>
      <c r="G29"/>
      <c r="H29" s="131" t="s">
        <v>400</v>
      </c>
      <c r="I29" s="49"/>
    </row>
    <row r="30" spans="1:9" ht="15.75" customHeight="1">
      <c r="A30">
        <v>16</v>
      </c>
      <c r="B30"/>
      <c r="C30" s="131"/>
      <c r="D30" t="s">
        <v>393</v>
      </c>
      <c r="E30" s="135">
        <v>4.9074413355527895</v>
      </c>
      <c r="F30"/>
      <c r="G30"/>
      <c r="H30" t="s">
        <v>394</v>
      </c>
      <c r="I30" s="49"/>
    </row>
    <row r="31" spans="1:9" ht="15.75" customHeight="1">
      <c r="A31">
        <v>17</v>
      </c>
      <c r="B31"/>
      <c r="C31" s="131"/>
      <c r="D31" t="s">
        <v>401</v>
      </c>
      <c r="E31"/>
      <c r="F31" s="98">
        <v>1.2690307328605201</v>
      </c>
      <c r="G31"/>
      <c r="H31" s="131" t="s">
        <v>402</v>
      </c>
      <c r="I31" s="49"/>
    </row>
    <row r="32" spans="1:9" ht="15.75" customHeight="1">
      <c r="A32">
        <v>18</v>
      </c>
      <c r="B32"/>
      <c r="C32" s="131"/>
      <c r="D32" t="s">
        <v>384</v>
      </c>
      <c r="E32"/>
      <c r="F32" s="130">
        <v>16619</v>
      </c>
      <c r="G32" s="134"/>
      <c r="H32" s="131" t="s">
        <v>385</v>
      </c>
      <c r="I32" s="49"/>
    </row>
    <row r="33" spans="1:22">
      <c r="A33">
        <v>19</v>
      </c>
      <c r="B33"/>
      <c r="C33" s="131"/>
      <c r="D33" s="138" t="s">
        <v>403</v>
      </c>
      <c r="E33" s="141"/>
      <c r="F33" s="138"/>
      <c r="G33" s="142">
        <v>21090.021749408985</v>
      </c>
      <c r="H33" s="131" t="s">
        <v>404</v>
      </c>
    </row>
    <row r="34" spans="1:22">
      <c r="A34"/>
      <c r="B34"/>
      <c r="C34" s="131"/>
      <c r="D34" s="131"/>
      <c r="E34" s="131"/>
      <c r="F34" s="131"/>
      <c r="G34" s="131"/>
      <c r="H34" s="131"/>
    </row>
    <row r="35" spans="1:22">
      <c r="A35"/>
      <c r="B35"/>
      <c r="C35" s="131"/>
      <c r="D35" s="131"/>
      <c r="E35" s="131"/>
      <c r="F35" s="131"/>
      <c r="G35" s="131"/>
      <c r="H35" s="131"/>
      <c r="I35" s="61"/>
      <c r="J35" s="61"/>
      <c r="K35" s="61"/>
      <c r="L35" s="61"/>
      <c r="M35" s="61"/>
      <c r="N35" s="61"/>
      <c r="O35" s="61"/>
      <c r="P35" s="61"/>
      <c r="Q35" s="61"/>
      <c r="R35" s="61"/>
      <c r="S35" s="61"/>
      <c r="T35" s="61"/>
      <c r="U35" s="61"/>
      <c r="V35" s="61"/>
    </row>
    <row r="36" spans="1:22">
      <c r="A36"/>
      <c r="B36"/>
      <c r="C36" s="131"/>
      <c r="D36" s="143" t="s">
        <v>280</v>
      </c>
      <c r="E36" s="143"/>
      <c r="F36" s="143"/>
      <c r="G36" s="144">
        <v>102646.7893049608</v>
      </c>
      <c r="H36" s="131"/>
      <c r="I36" s="61"/>
      <c r="J36" s="61"/>
      <c r="K36" s="61"/>
      <c r="L36" s="61"/>
      <c r="M36" s="61"/>
      <c r="N36" s="61"/>
      <c r="O36" s="61"/>
      <c r="P36" s="61"/>
      <c r="Q36" s="61"/>
      <c r="R36" s="61"/>
      <c r="S36" s="61"/>
      <c r="T36" s="61"/>
      <c r="U36" s="61"/>
      <c r="V36" s="61"/>
    </row>
  </sheetData>
  <mergeCells count="4">
    <mergeCell ref="E14:F14"/>
    <mergeCell ref="C2:E2"/>
    <mergeCell ref="F2:H2"/>
    <mergeCell ref="B4:G4"/>
  </mergeCells>
  <hyperlinks>
    <hyperlink ref="A1" location="Summary_RealizationSchedule!A1" display="Back to Summary"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3">
    <tabColor rgb="FF09FF78"/>
  </sheetPr>
  <dimension ref="A1:AC87"/>
  <sheetViews>
    <sheetView workbookViewId="0"/>
  </sheetViews>
  <sheetFormatPr defaultColWidth="11.42578125" defaultRowHeight="15.75"/>
  <cols>
    <col min="1" max="1" width="4.140625" style="40" customWidth="1"/>
    <col min="2" max="2" width="6" style="40" customWidth="1"/>
    <col min="3" max="3" width="70.5703125" style="40" customWidth="1"/>
    <col min="4" max="10" width="15.28515625" style="41" customWidth="1"/>
    <col min="11" max="11" width="16.5703125" style="41" customWidth="1"/>
    <col min="12" max="16384" width="11.42578125" style="40"/>
  </cols>
  <sheetData>
    <row r="1" spans="1:29">
      <c r="A1" s="9" t="s">
        <v>55</v>
      </c>
    </row>
    <row r="2" spans="1:29" ht="18.75">
      <c r="C2" s="84" t="s">
        <v>35</v>
      </c>
      <c r="G2" s="85"/>
    </row>
    <row r="3" spans="1:29">
      <c r="C3" s="40" t="s">
        <v>405</v>
      </c>
    </row>
    <row r="4" spans="1:29" ht="102.75" customHeight="1">
      <c r="C4" s="611" t="s">
        <v>406</v>
      </c>
      <c r="D4" s="611"/>
      <c r="E4" s="611"/>
      <c r="F4" s="611"/>
      <c r="G4" s="611"/>
      <c r="H4" s="611"/>
      <c r="I4" s="611"/>
      <c r="J4" s="611"/>
      <c r="K4" s="611"/>
    </row>
    <row r="5" spans="1:29" ht="15.75" customHeight="1">
      <c r="C5" s="278"/>
      <c r="D5" s="278"/>
      <c r="E5" s="278"/>
      <c r="F5" s="278"/>
      <c r="G5" s="278"/>
      <c r="H5" s="278"/>
      <c r="I5" s="278"/>
      <c r="J5" s="278"/>
      <c r="K5" s="278"/>
    </row>
    <row r="6" spans="1:29" ht="15.75" customHeight="1">
      <c r="C6" s="278" t="s">
        <v>407</v>
      </c>
      <c r="D6" s="127">
        <v>0.03</v>
      </c>
      <c r="E6" s="278"/>
      <c r="F6" s="278"/>
      <c r="G6" s="278"/>
      <c r="H6" s="278"/>
      <c r="I6" s="278"/>
      <c r="J6" s="278"/>
      <c r="K6" s="278"/>
    </row>
    <row r="7" spans="1:29" ht="15.75" customHeight="1">
      <c r="C7" s="278" t="s">
        <v>377</v>
      </c>
      <c r="D7" s="127">
        <v>0.01</v>
      </c>
      <c r="E7" s="278"/>
      <c r="F7" s="278"/>
      <c r="G7" s="278"/>
      <c r="H7" s="278"/>
      <c r="I7" s="278"/>
      <c r="J7" s="278"/>
      <c r="K7" s="278"/>
    </row>
    <row r="8" spans="1:29" ht="15.75" customHeight="1">
      <c r="C8" s="278"/>
      <c r="D8" s="278"/>
      <c r="E8" s="278"/>
      <c r="F8" s="278"/>
      <c r="G8" s="278"/>
      <c r="H8" s="278"/>
      <c r="I8" s="278"/>
      <c r="J8" s="278"/>
      <c r="K8" s="278"/>
    </row>
    <row r="9" spans="1:29" ht="15.75" customHeight="1">
      <c r="C9" t="s">
        <v>408</v>
      </c>
      <c r="D9" s="44"/>
      <c r="E9" s="61">
        <v>0</v>
      </c>
      <c r="F9" s="61">
        <v>0</v>
      </c>
      <c r="G9" s="61">
        <v>0</v>
      </c>
      <c r="H9" s="61">
        <v>0</v>
      </c>
      <c r="I9" s="61">
        <v>0</v>
      </c>
      <c r="J9" s="61">
        <v>0</v>
      </c>
      <c r="K9" s="61">
        <v>0</v>
      </c>
      <c r="L9" s="19">
        <v>1</v>
      </c>
      <c r="M9" s="61">
        <v>1</v>
      </c>
      <c r="N9" s="61">
        <v>1</v>
      </c>
      <c r="O9" s="61">
        <v>1</v>
      </c>
      <c r="P9" s="61">
        <v>1</v>
      </c>
      <c r="Q9" s="61">
        <v>1</v>
      </c>
      <c r="R9" s="61">
        <v>1</v>
      </c>
      <c r="S9" s="61">
        <v>1</v>
      </c>
      <c r="T9" s="61">
        <v>1</v>
      </c>
      <c r="U9" s="61">
        <v>1</v>
      </c>
      <c r="V9" s="61">
        <v>1</v>
      </c>
      <c r="W9" s="61">
        <v>1</v>
      </c>
      <c r="X9" s="61">
        <v>1</v>
      </c>
      <c r="Y9" s="61">
        <v>1</v>
      </c>
      <c r="Z9" s="61">
        <v>0.25</v>
      </c>
      <c r="AA9" s="61">
        <v>0</v>
      </c>
      <c r="AB9" s="61">
        <v>0</v>
      </c>
      <c r="AC9" s="61">
        <v>0</v>
      </c>
    </row>
    <row r="10" spans="1:29" ht="15.75" customHeight="1">
      <c r="C10" s="44" t="s">
        <v>177</v>
      </c>
      <c r="D10" s="44"/>
      <c r="E10" s="61">
        <v>2016</v>
      </c>
      <c r="F10" s="61">
        <v>2017</v>
      </c>
      <c r="G10" s="61">
        <v>2018</v>
      </c>
      <c r="H10" s="61">
        <v>2019</v>
      </c>
      <c r="I10" s="61">
        <v>2020</v>
      </c>
      <c r="J10" s="61">
        <v>2021</v>
      </c>
      <c r="K10" s="61">
        <v>2022</v>
      </c>
      <c r="L10" s="61">
        <v>2023</v>
      </c>
      <c r="M10" s="61">
        <v>2024</v>
      </c>
      <c r="N10" s="61">
        <v>2025</v>
      </c>
      <c r="O10" s="61">
        <v>2026</v>
      </c>
      <c r="P10" s="61">
        <v>2027</v>
      </c>
      <c r="Q10" s="61">
        <v>2028</v>
      </c>
      <c r="R10" s="61">
        <v>2029</v>
      </c>
      <c r="S10" s="61">
        <v>2030</v>
      </c>
      <c r="T10" s="61">
        <v>2031</v>
      </c>
      <c r="U10" s="61">
        <v>2032</v>
      </c>
      <c r="V10" s="61">
        <v>2033</v>
      </c>
      <c r="W10" s="61">
        <v>2034</v>
      </c>
      <c r="X10" s="61">
        <v>2035</v>
      </c>
      <c r="Y10" s="61">
        <v>2036</v>
      </c>
      <c r="Z10" s="61">
        <v>2037</v>
      </c>
      <c r="AA10" s="61">
        <v>2038</v>
      </c>
      <c r="AB10" s="61">
        <v>2039</v>
      </c>
      <c r="AC10" s="61">
        <v>2040</v>
      </c>
    </row>
    <row r="11" spans="1:29" ht="15.75" customHeight="1">
      <c r="C11" t="s">
        <v>409</v>
      </c>
      <c r="D11" s="63">
        <v>2730472.1574196671</v>
      </c>
      <c r="E11" s="64">
        <v>0</v>
      </c>
      <c r="F11" s="64">
        <v>0</v>
      </c>
      <c r="G11" s="64">
        <v>0</v>
      </c>
      <c r="H11" s="64">
        <v>0</v>
      </c>
      <c r="I11" s="64">
        <v>0</v>
      </c>
      <c r="J11" s="64">
        <v>62476.861923273886</v>
      </c>
      <c r="K11" s="64">
        <v>108293.22733367473</v>
      </c>
      <c r="L11" s="64">
        <v>300333.21713872463</v>
      </c>
      <c r="M11" s="64">
        <v>312346.54582427366</v>
      </c>
      <c r="N11" s="64">
        <v>324840.40765724459</v>
      </c>
      <c r="O11" s="64">
        <v>337834.02396353433</v>
      </c>
      <c r="P11" s="64">
        <v>351347.38492207578</v>
      </c>
      <c r="Q11" s="64">
        <v>365401.28031895886</v>
      </c>
      <c r="R11" s="64">
        <v>380017.33153171721</v>
      </c>
      <c r="S11" s="64">
        <v>395218.02479298587</v>
      </c>
      <c r="T11" s="64">
        <v>411026.74578470539</v>
      </c>
      <c r="U11" s="64">
        <v>427467.81561609358</v>
      </c>
      <c r="V11" s="64">
        <v>444566.52824073739</v>
      </c>
      <c r="W11" s="64">
        <v>462349.18937036686</v>
      </c>
      <c r="X11" s="64">
        <v>480843.15694518154</v>
      </c>
      <c r="Y11" s="64">
        <v>500076.88322298892</v>
      </c>
      <c r="Z11" s="64">
        <v>130019.98963797711</v>
      </c>
      <c r="AA11" s="64">
        <v>0</v>
      </c>
      <c r="AB11" s="64">
        <v>0</v>
      </c>
      <c r="AC11" s="64">
        <v>0</v>
      </c>
    </row>
    <row r="12" spans="1:29" ht="15.75" customHeight="1">
      <c r="C12" s="278"/>
      <c r="D12" s="278"/>
      <c r="E12" s="278"/>
      <c r="F12" s="278"/>
      <c r="G12" s="278"/>
      <c r="H12" s="278"/>
      <c r="I12" s="278"/>
      <c r="J12" s="278"/>
      <c r="K12" s="278"/>
    </row>
    <row r="13" spans="1:29">
      <c r="C13" s="278"/>
      <c r="D13" s="278"/>
      <c r="E13" s="278"/>
      <c r="F13" s="278"/>
      <c r="G13" s="278"/>
      <c r="H13" s="278"/>
      <c r="I13" s="278"/>
      <c r="J13" s="278"/>
    </row>
    <row r="14" spans="1:29">
      <c r="C14" s="40" t="s">
        <v>410</v>
      </c>
      <c r="D14" s="278"/>
      <c r="E14" s="65"/>
      <c r="F14" s="65"/>
      <c r="G14" s="65"/>
      <c r="H14" s="65"/>
      <c r="I14" s="65"/>
      <c r="J14" s="65"/>
    </row>
    <row r="15" spans="1:29">
      <c r="D15" s="41" t="s">
        <v>411</v>
      </c>
    </row>
    <row r="16" spans="1:29">
      <c r="B16" s="40" t="s">
        <v>412</v>
      </c>
    </row>
    <row r="17" spans="1:10">
      <c r="A17" s="41">
        <v>1</v>
      </c>
      <c r="B17" s="41"/>
      <c r="C17" s="40" t="s">
        <v>413</v>
      </c>
      <c r="D17" s="283">
        <v>1680.5</v>
      </c>
      <c r="F17" s="99" t="s">
        <v>414</v>
      </c>
      <c r="J17" s="40"/>
    </row>
    <row r="18" spans="1:10">
      <c r="A18" s="41">
        <v>2</v>
      </c>
      <c r="B18" s="41"/>
      <c r="C18" s="40" t="s">
        <v>415</v>
      </c>
      <c r="D18" s="283">
        <v>164.66666666666666</v>
      </c>
      <c r="F18" s="99" t="s">
        <v>414</v>
      </c>
      <c r="J18" s="40"/>
    </row>
    <row r="19" spans="1:10">
      <c r="A19" s="41">
        <v>3</v>
      </c>
      <c r="B19" s="41"/>
      <c r="C19" s="40" t="s">
        <v>416</v>
      </c>
      <c r="D19" s="283">
        <v>1515.8333333333333</v>
      </c>
      <c r="F19" s="99" t="s">
        <v>414</v>
      </c>
      <c r="J19" s="40"/>
    </row>
    <row r="20" spans="1:10">
      <c r="A20" s="41">
        <v>4</v>
      </c>
      <c r="B20" s="99" t="s">
        <v>417</v>
      </c>
      <c r="D20" s="291"/>
      <c r="J20" s="40"/>
    </row>
    <row r="21" spans="1:10">
      <c r="A21" s="41">
        <v>5</v>
      </c>
      <c r="B21" s="41"/>
      <c r="C21" s="40" t="s">
        <v>418</v>
      </c>
      <c r="D21" s="41">
        <v>1</v>
      </c>
      <c r="J21" s="40"/>
    </row>
    <row r="22" spans="1:10">
      <c r="A22" s="41">
        <v>6</v>
      </c>
      <c r="B22" s="41"/>
      <c r="C22" s="40" t="s">
        <v>419</v>
      </c>
      <c r="D22" s="41">
        <v>4</v>
      </c>
      <c r="J22" s="40"/>
    </row>
    <row r="23" spans="1:10">
      <c r="A23" s="41">
        <v>7</v>
      </c>
      <c r="B23" s="41"/>
      <c r="C23" s="40" t="s">
        <v>420</v>
      </c>
      <c r="D23" s="291">
        <v>0.38</v>
      </c>
      <c r="E23" s="40" t="s">
        <v>421</v>
      </c>
      <c r="J23" s="40"/>
    </row>
    <row r="24" spans="1:10">
      <c r="A24" s="41">
        <v>8</v>
      </c>
      <c r="B24" s="41"/>
      <c r="C24" s="40" t="s">
        <v>422</v>
      </c>
      <c r="D24" s="519">
        <v>45</v>
      </c>
    </row>
    <row r="25" spans="1:10">
      <c r="A25" s="41">
        <v>9</v>
      </c>
      <c r="B25" s="41"/>
      <c r="C25" s="40" t="s">
        <v>423</v>
      </c>
      <c r="D25" s="86">
        <v>0.71</v>
      </c>
      <c r="E25" s="40"/>
    </row>
    <row r="26" spans="1:10">
      <c r="A26" s="41">
        <v>10</v>
      </c>
      <c r="B26" s="41"/>
      <c r="C26" s="40" t="s">
        <v>424</v>
      </c>
      <c r="D26" s="42">
        <v>444.6</v>
      </c>
      <c r="E26" s="40"/>
    </row>
    <row r="27" spans="1:10">
      <c r="A27" s="41">
        <v>11</v>
      </c>
      <c r="B27" s="41"/>
      <c r="C27" s="40" t="s">
        <v>425</v>
      </c>
      <c r="D27" s="520">
        <v>60</v>
      </c>
      <c r="E27" s="40"/>
    </row>
    <row r="28" spans="1:10">
      <c r="A28" s="41">
        <v>12</v>
      </c>
      <c r="B28" s="41"/>
      <c r="C28" s="40" t="s">
        <v>426</v>
      </c>
      <c r="D28" s="107">
        <v>504.6</v>
      </c>
      <c r="E28" s="40"/>
    </row>
    <row r="29" spans="1:10">
      <c r="A29" s="41">
        <v>13</v>
      </c>
      <c r="B29" s="99" t="s">
        <v>427</v>
      </c>
      <c r="D29" s="40"/>
      <c r="E29" s="40"/>
    </row>
    <row r="30" spans="1:10">
      <c r="A30" s="41">
        <v>14</v>
      </c>
      <c r="B30" s="99"/>
      <c r="C30" s="40" t="s">
        <v>428</v>
      </c>
      <c r="D30" s="41">
        <v>1</v>
      </c>
      <c r="E30" s="40"/>
    </row>
    <row r="31" spans="1:10">
      <c r="A31" s="41">
        <v>15</v>
      </c>
      <c r="B31" s="99"/>
      <c r="C31" s="40" t="s">
        <v>429</v>
      </c>
      <c r="D31" s="41">
        <v>1</v>
      </c>
      <c r="E31" s="40"/>
    </row>
    <row r="32" spans="1:10">
      <c r="A32" s="41">
        <v>16</v>
      </c>
      <c r="B32" s="99"/>
      <c r="C32" s="40" t="s">
        <v>420</v>
      </c>
      <c r="D32" s="291">
        <v>0.38</v>
      </c>
      <c r="E32" s="40" t="s">
        <v>421</v>
      </c>
    </row>
    <row r="33" spans="1:10">
      <c r="A33" s="41">
        <v>17</v>
      </c>
      <c r="B33" s="99"/>
      <c r="C33" s="40" t="s">
        <v>422</v>
      </c>
      <c r="D33" s="293">
        <v>45</v>
      </c>
      <c r="E33" s="40"/>
    </row>
    <row r="34" spans="1:10">
      <c r="A34" s="41">
        <v>18</v>
      </c>
      <c r="B34" s="99"/>
      <c r="C34" s="40" t="s">
        <v>423</v>
      </c>
      <c r="D34" s="86">
        <v>0.71</v>
      </c>
      <c r="E34" s="40"/>
    </row>
    <row r="35" spans="1:10">
      <c r="A35" s="41">
        <v>19</v>
      </c>
      <c r="B35" s="99"/>
      <c r="C35" s="40" t="s">
        <v>430</v>
      </c>
      <c r="D35" s="42">
        <v>111.15</v>
      </c>
      <c r="E35" s="40"/>
    </row>
    <row r="36" spans="1:10">
      <c r="A36" s="41">
        <v>20</v>
      </c>
      <c r="B36" s="99"/>
      <c r="C36" s="40" t="s">
        <v>425</v>
      </c>
      <c r="D36" s="42">
        <v>15</v>
      </c>
      <c r="E36" s="40"/>
    </row>
    <row r="37" spans="1:10">
      <c r="A37" s="41">
        <v>21</v>
      </c>
      <c r="B37" s="99"/>
      <c r="C37" s="40" t="s">
        <v>426</v>
      </c>
      <c r="D37" s="107">
        <v>126.15</v>
      </c>
      <c r="E37" s="40"/>
    </row>
    <row r="38" spans="1:10">
      <c r="A38" s="41">
        <v>22</v>
      </c>
      <c r="B38" s="99" t="s">
        <v>431</v>
      </c>
      <c r="D38" s="107"/>
      <c r="E38" s="40"/>
    </row>
    <row r="39" spans="1:10">
      <c r="A39" s="41">
        <v>23</v>
      </c>
      <c r="B39" s="99"/>
      <c r="C39" s="40" t="s">
        <v>432</v>
      </c>
      <c r="D39" s="40"/>
      <c r="E39" s="40"/>
    </row>
    <row r="40" spans="1:10">
      <c r="A40" s="41">
        <v>29</v>
      </c>
      <c r="B40" s="99" t="s">
        <v>433</v>
      </c>
      <c r="D40" s="40"/>
      <c r="E40" s="40"/>
    </row>
    <row r="41" spans="1:10">
      <c r="A41" s="41">
        <v>30</v>
      </c>
      <c r="B41" s="41"/>
      <c r="C41" s="40" t="s">
        <v>417</v>
      </c>
      <c r="D41" s="293">
        <v>83090.8</v>
      </c>
      <c r="E41" s="40"/>
    </row>
    <row r="42" spans="1:10">
      <c r="A42" s="41">
        <v>31</v>
      </c>
      <c r="B42" s="41"/>
      <c r="C42" s="40" t="s">
        <v>427</v>
      </c>
      <c r="D42" s="293">
        <v>191222.375</v>
      </c>
    </row>
    <row r="43" spans="1:10">
      <c r="A43" s="41">
        <v>32</v>
      </c>
      <c r="B43" s="41"/>
      <c r="C43" s="40" t="s">
        <v>434</v>
      </c>
      <c r="D43" s="42">
        <v>274313.17499999999</v>
      </c>
    </row>
    <row r="44" spans="1:10">
      <c r="A44" s="41">
        <v>33</v>
      </c>
      <c r="B44" s="41"/>
      <c r="C44" s="40" t="s">
        <v>435</v>
      </c>
      <c r="D44" s="291">
        <v>0.8</v>
      </c>
    </row>
    <row r="45" spans="1:10">
      <c r="A45" s="41">
        <v>34</v>
      </c>
      <c r="B45" s="41"/>
      <c r="C45" s="40" t="s">
        <v>436</v>
      </c>
      <c r="D45" s="293">
        <v>219450.54</v>
      </c>
    </row>
    <row r="46" spans="1:10">
      <c r="A46" s="41">
        <v>35</v>
      </c>
      <c r="C46" s="87"/>
      <c r="D46" s="42"/>
      <c r="G46" s="42"/>
      <c r="H46" s="42"/>
    </row>
    <row r="47" spans="1:10">
      <c r="A47" s="41">
        <v>36</v>
      </c>
      <c r="B47" s="40" t="s">
        <v>437</v>
      </c>
    </row>
    <row r="48" spans="1:10">
      <c r="A48" s="41">
        <v>38</v>
      </c>
      <c r="C48" s="40" t="s">
        <v>438</v>
      </c>
      <c r="D48" s="293">
        <v>0</v>
      </c>
      <c r="E48" s="293"/>
      <c r="F48" s="293"/>
      <c r="G48" s="293"/>
      <c r="H48" s="293"/>
      <c r="I48" s="293"/>
      <c r="J48" s="293"/>
    </row>
    <row r="49" spans="1:10">
      <c r="A49" s="41">
        <v>39</v>
      </c>
      <c r="C49" s="40" t="s">
        <v>439</v>
      </c>
      <c r="D49" s="293">
        <v>0</v>
      </c>
      <c r="E49" s="108" t="s">
        <v>440</v>
      </c>
      <c r="F49" s="293"/>
      <c r="G49" s="293"/>
      <c r="H49" s="293"/>
      <c r="I49" s="293"/>
      <c r="J49" s="293"/>
    </row>
    <row r="50" spans="1:10">
      <c r="C50" s="87" t="s">
        <v>441</v>
      </c>
      <c r="E50" s="293"/>
      <c r="F50" s="293"/>
      <c r="G50" s="293"/>
      <c r="H50" s="293"/>
      <c r="I50" s="293"/>
      <c r="J50" s="293"/>
    </row>
    <row r="51" spans="1:10">
      <c r="C51" s="87"/>
      <c r="E51" s="293"/>
      <c r="F51" s="293"/>
      <c r="G51" s="293"/>
      <c r="H51" s="293"/>
      <c r="I51" s="293"/>
      <c r="J51" s="293"/>
    </row>
    <row r="52" spans="1:10" ht="16.5" thickBot="1">
      <c r="D52" s="40"/>
    </row>
    <row r="53" spans="1:10" ht="16.5" thickBot="1">
      <c r="C53" s="109"/>
      <c r="D53" s="110">
        <v>2009</v>
      </c>
      <c r="E53" s="110">
        <v>2010</v>
      </c>
      <c r="F53" s="110">
        <v>2011</v>
      </c>
      <c r="G53" s="110">
        <v>2012</v>
      </c>
      <c r="H53" s="110">
        <v>2013</v>
      </c>
      <c r="I53" s="111">
        <v>2014</v>
      </c>
      <c r="J53" s="111" t="s">
        <v>442</v>
      </c>
    </row>
    <row r="54" spans="1:10">
      <c r="C54" s="112" t="s">
        <v>443</v>
      </c>
      <c r="D54" s="506">
        <v>2792</v>
      </c>
      <c r="E54" s="506">
        <v>2426</v>
      </c>
      <c r="F54" s="506">
        <v>2370</v>
      </c>
      <c r="G54" s="506">
        <v>2282</v>
      </c>
      <c r="H54" s="506">
        <v>2062</v>
      </c>
      <c r="I54" s="507">
        <v>2278</v>
      </c>
      <c r="J54" s="507">
        <v>2368</v>
      </c>
    </row>
    <row r="55" spans="1:10">
      <c r="C55" s="113" t="s">
        <v>444</v>
      </c>
      <c r="D55" s="69">
        <v>339</v>
      </c>
      <c r="E55" s="69">
        <v>198</v>
      </c>
      <c r="F55" s="69">
        <v>249</v>
      </c>
      <c r="G55" s="69">
        <v>248</v>
      </c>
      <c r="H55" s="69">
        <v>247</v>
      </c>
      <c r="I55" s="508">
        <v>268</v>
      </c>
      <c r="J55" s="508">
        <v>258</v>
      </c>
    </row>
    <row r="56" spans="1:10" ht="16.5" thickBot="1">
      <c r="C56" s="114" t="s">
        <v>54</v>
      </c>
      <c r="D56" s="120">
        <v>3131</v>
      </c>
      <c r="E56" s="120">
        <v>2624</v>
      </c>
      <c r="F56" s="120">
        <v>2619</v>
      </c>
      <c r="G56" s="120">
        <v>2530</v>
      </c>
      <c r="H56" s="120">
        <v>2309</v>
      </c>
      <c r="I56" s="509">
        <v>2546</v>
      </c>
      <c r="J56" s="509">
        <v>2626</v>
      </c>
    </row>
    <row r="57" spans="1:10" ht="16.5" thickBot="1">
      <c r="C57" s="115"/>
      <c r="D57" s="510"/>
      <c r="E57" s="510"/>
      <c r="F57" s="510"/>
      <c r="G57" s="510"/>
      <c r="H57" s="510"/>
      <c r="I57" s="511"/>
      <c r="J57" s="511"/>
    </row>
    <row r="58" spans="1:10">
      <c r="C58" s="116" t="s">
        <v>445</v>
      </c>
      <c r="D58" s="117">
        <v>0.64</v>
      </c>
      <c r="E58" s="117">
        <v>0.64</v>
      </c>
      <c r="F58" s="117">
        <v>0.64</v>
      </c>
      <c r="G58" s="117">
        <v>0.64</v>
      </c>
      <c r="H58" s="117">
        <v>0.64</v>
      </c>
      <c r="I58" s="117">
        <v>0.64</v>
      </c>
      <c r="J58" s="124"/>
    </row>
    <row r="59" spans="1:10">
      <c r="C59" s="118" t="s">
        <v>443</v>
      </c>
      <c r="D59" s="69">
        <v>1786</v>
      </c>
      <c r="E59" s="69">
        <v>1552</v>
      </c>
      <c r="F59" s="69">
        <v>1516</v>
      </c>
      <c r="G59" s="69">
        <v>1460</v>
      </c>
      <c r="H59" s="69">
        <v>1319</v>
      </c>
      <c r="I59" s="69">
        <v>1457</v>
      </c>
      <c r="J59" s="512">
        <v>1515</v>
      </c>
    </row>
    <row r="60" spans="1:10">
      <c r="C60" s="118" t="s">
        <v>444</v>
      </c>
      <c r="D60" s="69">
        <v>216</v>
      </c>
      <c r="E60" s="69">
        <v>126</v>
      </c>
      <c r="F60" s="69">
        <v>159</v>
      </c>
      <c r="G60" s="69">
        <v>158</v>
      </c>
      <c r="H60" s="69">
        <v>158</v>
      </c>
      <c r="I60" s="69">
        <v>171</v>
      </c>
      <c r="J60" s="125">
        <v>164.66666666666666</v>
      </c>
    </row>
    <row r="61" spans="1:10" ht="16.5" thickBot="1">
      <c r="C61" s="119" t="s">
        <v>446</v>
      </c>
      <c r="D61" s="120">
        <v>2003</v>
      </c>
      <c r="E61" s="120">
        <v>1679</v>
      </c>
      <c r="F61" s="120">
        <v>1676</v>
      </c>
      <c r="G61" s="120">
        <v>1619</v>
      </c>
      <c r="H61" s="120">
        <v>1477</v>
      </c>
      <c r="I61" s="120">
        <v>1629</v>
      </c>
      <c r="J61" s="126">
        <v>1680.5</v>
      </c>
    </row>
    <row r="63" spans="1:10">
      <c r="F63"/>
      <c r="G63"/>
      <c r="H63"/>
      <c r="I63"/>
      <c r="J63"/>
    </row>
    <row r="64" spans="1:10">
      <c r="A64" s="40" t="s">
        <v>447</v>
      </c>
      <c r="F64" s="40"/>
      <c r="G64"/>
      <c r="H64"/>
      <c r="I64"/>
      <c r="J64"/>
    </row>
    <row r="65" spans="2:10">
      <c r="B65" s="121" t="s">
        <v>177</v>
      </c>
      <c r="C65" s="121" t="s">
        <v>448</v>
      </c>
      <c r="D65" s="121" t="s">
        <v>449</v>
      </c>
      <c r="E65"/>
      <c r="F65"/>
      <c r="G65"/>
      <c r="H65"/>
      <c r="I65"/>
      <c r="J65"/>
    </row>
    <row r="66" spans="2:10">
      <c r="B66" s="122">
        <v>2005</v>
      </c>
      <c r="C66" s="123" t="s">
        <v>444</v>
      </c>
      <c r="D66" s="122">
        <v>89</v>
      </c>
      <c r="E66"/>
      <c r="F66"/>
      <c r="G66"/>
      <c r="H66"/>
      <c r="I66"/>
      <c r="J66"/>
    </row>
    <row r="67" spans="2:10">
      <c r="B67" s="122">
        <v>2005</v>
      </c>
      <c r="C67" s="123" t="s">
        <v>443</v>
      </c>
      <c r="D67" s="122">
        <v>1167</v>
      </c>
      <c r="E67"/>
      <c r="F67"/>
      <c r="G67"/>
      <c r="H67"/>
      <c r="I67"/>
      <c r="J67"/>
    </row>
    <row r="68" spans="2:10">
      <c r="B68" s="122">
        <v>2006</v>
      </c>
      <c r="C68" s="123" t="s">
        <v>443</v>
      </c>
      <c r="D68" s="122">
        <v>1657</v>
      </c>
      <c r="E68"/>
      <c r="F68"/>
      <c r="G68"/>
      <c r="H68"/>
      <c r="I68"/>
      <c r="J68"/>
    </row>
    <row r="69" spans="2:10">
      <c r="B69" s="122">
        <v>2006</v>
      </c>
      <c r="C69" s="123" t="s">
        <v>444</v>
      </c>
      <c r="D69" s="122">
        <v>118</v>
      </c>
      <c r="E69"/>
      <c r="F69"/>
      <c r="G69"/>
      <c r="H69"/>
      <c r="I69"/>
      <c r="J69"/>
    </row>
    <row r="70" spans="2:10">
      <c r="B70" s="122">
        <v>2007</v>
      </c>
      <c r="C70" s="123" t="s">
        <v>443</v>
      </c>
      <c r="D70" s="122">
        <v>1999</v>
      </c>
      <c r="E70"/>
      <c r="F70"/>
      <c r="G70"/>
      <c r="H70"/>
      <c r="I70"/>
      <c r="J70"/>
    </row>
    <row r="71" spans="2:10">
      <c r="B71" s="122">
        <v>2007</v>
      </c>
      <c r="C71" s="123" t="s">
        <v>444</v>
      </c>
      <c r="D71" s="122">
        <v>143</v>
      </c>
      <c r="E71"/>
      <c r="F71"/>
      <c r="G71"/>
      <c r="H71"/>
      <c r="I71"/>
      <c r="J71"/>
    </row>
    <row r="72" spans="2:10">
      <c r="B72" s="122">
        <v>2008</v>
      </c>
      <c r="C72" s="123" t="s">
        <v>443</v>
      </c>
      <c r="D72" s="122">
        <v>2762</v>
      </c>
      <c r="E72"/>
      <c r="F72"/>
      <c r="G72"/>
      <c r="H72"/>
      <c r="I72"/>
      <c r="J72"/>
    </row>
    <row r="73" spans="2:10">
      <c r="B73" s="122">
        <v>2008</v>
      </c>
      <c r="C73" s="123" t="s">
        <v>444</v>
      </c>
      <c r="D73" s="122">
        <v>247</v>
      </c>
      <c r="E73"/>
      <c r="F73"/>
      <c r="G73"/>
      <c r="H73"/>
      <c r="I73"/>
      <c r="J73"/>
    </row>
    <row r="74" spans="2:10">
      <c r="B74" s="122">
        <v>2009</v>
      </c>
      <c r="C74" s="123" t="s">
        <v>444</v>
      </c>
      <c r="D74" s="122">
        <v>288</v>
      </c>
      <c r="E74"/>
      <c r="F74"/>
      <c r="G74"/>
      <c r="H74"/>
      <c r="I74"/>
      <c r="J74"/>
    </row>
    <row r="75" spans="2:10">
      <c r="B75" s="122">
        <v>2009</v>
      </c>
      <c r="C75" s="123" t="s">
        <v>443</v>
      </c>
      <c r="D75" s="122">
        <v>2735</v>
      </c>
      <c r="E75"/>
    </row>
    <row r="76" spans="2:10">
      <c r="B76" s="122">
        <v>2010</v>
      </c>
      <c r="C76" s="123" t="s">
        <v>444</v>
      </c>
      <c r="D76" s="122">
        <v>339</v>
      </c>
      <c r="E76"/>
    </row>
    <row r="77" spans="2:10">
      <c r="B77" s="122">
        <v>2010</v>
      </c>
      <c r="C77" s="123" t="s">
        <v>443</v>
      </c>
      <c r="D77" s="122">
        <v>2792</v>
      </c>
      <c r="E77"/>
    </row>
    <row r="78" spans="2:10">
      <c r="B78" s="122">
        <v>2011</v>
      </c>
      <c r="C78" s="123" t="s">
        <v>443</v>
      </c>
      <c r="D78" s="122">
        <v>2426</v>
      </c>
      <c r="E78"/>
    </row>
    <row r="79" spans="2:10">
      <c r="B79" s="122">
        <v>2011</v>
      </c>
      <c r="C79" s="123" t="s">
        <v>444</v>
      </c>
      <c r="D79" s="122">
        <v>198</v>
      </c>
      <c r="E79"/>
    </row>
    <row r="80" spans="2:10">
      <c r="B80" s="122">
        <v>2012</v>
      </c>
      <c r="C80" s="123" t="s">
        <v>443</v>
      </c>
      <c r="D80" s="122">
        <v>2370</v>
      </c>
      <c r="E80"/>
    </row>
    <row r="81" spans="2:5">
      <c r="B81" s="122">
        <v>2012</v>
      </c>
      <c r="C81" s="123" t="s">
        <v>444</v>
      </c>
      <c r="D81" s="122">
        <v>249</v>
      </c>
      <c r="E81"/>
    </row>
    <row r="82" spans="2:5">
      <c r="B82" s="122">
        <v>2013</v>
      </c>
      <c r="C82" s="123" t="s">
        <v>443</v>
      </c>
      <c r="D82" s="122">
        <v>2282</v>
      </c>
      <c r="E82"/>
    </row>
    <row r="83" spans="2:5">
      <c r="B83" s="122">
        <v>2013</v>
      </c>
      <c r="C83" s="123" t="s">
        <v>444</v>
      </c>
      <c r="D83" s="122">
        <v>248</v>
      </c>
      <c r="E83"/>
    </row>
    <row r="84" spans="2:5">
      <c r="B84" s="122">
        <v>2014</v>
      </c>
      <c r="C84" s="123" t="s">
        <v>443</v>
      </c>
      <c r="D84" s="122">
        <v>2062</v>
      </c>
      <c r="E84"/>
    </row>
    <row r="85" spans="2:5">
      <c r="B85" s="122">
        <v>2014</v>
      </c>
      <c r="C85" s="123" t="s">
        <v>444</v>
      </c>
      <c r="D85" s="122">
        <v>247</v>
      </c>
      <c r="E85"/>
    </row>
    <row r="86" spans="2:5">
      <c r="B86" s="122">
        <v>2015</v>
      </c>
      <c r="C86" s="123" t="s">
        <v>444</v>
      </c>
      <c r="D86" s="122">
        <v>268</v>
      </c>
      <c r="E86"/>
    </row>
    <row r="87" spans="2:5">
      <c r="B87" s="122">
        <v>2015</v>
      </c>
      <c r="C87" s="123" t="s">
        <v>443</v>
      </c>
      <c r="D87" s="122">
        <v>2278</v>
      </c>
      <c r="E87"/>
    </row>
  </sheetData>
  <mergeCells count="1">
    <mergeCell ref="C4:K4"/>
  </mergeCells>
  <hyperlinks>
    <hyperlink ref="A1" location="Summary_RealizationSchedule!A1" display="Back to Summary" xr:uid="{00000000-0004-0000-1100-000000000000}"/>
  </hyperlink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09FF78"/>
  </sheetPr>
  <dimension ref="A1:AA16"/>
  <sheetViews>
    <sheetView workbookViewId="0">
      <selection activeCell="D23" sqref="D23"/>
    </sheetView>
  </sheetViews>
  <sheetFormatPr defaultRowHeight="15"/>
  <cols>
    <col min="1" max="1" width="38.85546875" customWidth="1"/>
    <col min="2" max="2" width="14.42578125" customWidth="1"/>
    <col min="4" max="4" width="9.28515625" bestFit="1" customWidth="1"/>
    <col min="6" max="8" width="10.85546875" bestFit="1" customWidth="1"/>
    <col min="9" max="9" width="11.140625" bestFit="1" customWidth="1"/>
    <col min="10" max="23" width="10.85546875" bestFit="1" customWidth="1"/>
  </cols>
  <sheetData>
    <row r="1" spans="1:27">
      <c r="A1" s="9" t="s">
        <v>55</v>
      </c>
    </row>
    <row r="2" spans="1:27">
      <c r="A2" s="608" t="s">
        <v>450</v>
      </c>
      <c r="B2" s="612"/>
      <c r="C2" s="612"/>
      <c r="D2" s="612"/>
      <c r="E2" s="612"/>
      <c r="F2" s="612"/>
      <c r="G2" s="612"/>
      <c r="H2" s="612"/>
      <c r="I2" s="612"/>
      <c r="J2" s="612"/>
      <c r="K2" s="612"/>
    </row>
    <row r="3" spans="1:27">
      <c r="A3" s="612"/>
      <c r="B3" s="612"/>
      <c r="C3" s="612"/>
      <c r="D3" s="612"/>
      <c r="E3" s="612"/>
      <c r="F3" s="612"/>
      <c r="G3" s="612"/>
      <c r="H3" s="612"/>
      <c r="I3" s="612"/>
      <c r="J3" s="612"/>
      <c r="K3" s="612"/>
    </row>
    <row r="4" spans="1:27">
      <c r="A4" s="612"/>
      <c r="B4" s="612"/>
      <c r="C4" s="612"/>
      <c r="D4" s="612"/>
      <c r="E4" s="612"/>
      <c r="F4" s="612"/>
      <c r="G4" s="612"/>
      <c r="H4" s="612"/>
      <c r="I4" s="612"/>
      <c r="J4" s="612"/>
      <c r="K4" s="612"/>
    </row>
    <row r="5" spans="1:27" ht="4.5" customHeight="1">
      <c r="A5" s="612"/>
      <c r="B5" s="612"/>
      <c r="C5" s="612"/>
      <c r="D5" s="612"/>
      <c r="E5" s="612"/>
      <c r="F5" s="612"/>
      <c r="G5" s="612"/>
      <c r="H5" s="612"/>
      <c r="I5" s="612"/>
      <c r="J5" s="612"/>
      <c r="K5" s="612"/>
    </row>
    <row r="6" spans="1:27" ht="3" hidden="1" customHeight="1">
      <c r="A6" s="612"/>
      <c r="B6" s="612"/>
      <c r="C6" s="612"/>
      <c r="D6" s="612"/>
      <c r="E6" s="612"/>
      <c r="F6" s="612"/>
      <c r="G6" s="612"/>
      <c r="H6" s="612"/>
      <c r="I6" s="612"/>
      <c r="J6" s="612"/>
      <c r="K6" s="612"/>
    </row>
    <row r="7" spans="1:27" hidden="1">
      <c r="A7" s="612"/>
      <c r="B7" s="612"/>
      <c r="C7" s="612"/>
      <c r="D7" s="612"/>
      <c r="E7" s="612"/>
      <c r="F7" s="612"/>
      <c r="G7" s="612"/>
      <c r="H7" s="612"/>
      <c r="I7" s="612"/>
      <c r="J7" s="612"/>
      <c r="K7" s="612"/>
    </row>
    <row r="9" spans="1:27">
      <c r="A9" s="340" t="s">
        <v>63</v>
      </c>
      <c r="B9" s="104">
        <v>0.01</v>
      </c>
    </row>
    <row r="10" spans="1:27">
      <c r="A10" s="44" t="s">
        <v>239</v>
      </c>
      <c r="B10" s="106">
        <v>0.03</v>
      </c>
      <c r="C10" s="61"/>
      <c r="D10" s="61"/>
      <c r="E10" s="61"/>
      <c r="F10" s="61"/>
      <c r="G10" s="61"/>
      <c r="H10" s="61"/>
      <c r="I10" s="61"/>
      <c r="J10" s="61"/>
      <c r="K10" s="61"/>
      <c r="L10" s="61"/>
      <c r="M10" s="61"/>
      <c r="N10" s="61"/>
      <c r="O10" s="61"/>
      <c r="P10" s="61"/>
      <c r="Q10" s="61"/>
      <c r="R10" s="61"/>
      <c r="S10" s="61"/>
      <c r="T10" s="61"/>
      <c r="U10" s="61"/>
      <c r="V10" s="44"/>
      <c r="W10" s="44"/>
      <c r="X10" s="44"/>
      <c r="Y10" s="44"/>
      <c r="Z10" s="44"/>
      <c r="AA10" s="44"/>
    </row>
    <row r="11" spans="1:27">
      <c r="A11" t="s">
        <v>451</v>
      </c>
      <c r="B11" s="63">
        <v>248115</v>
      </c>
      <c r="C11" s="61"/>
      <c r="D11" s="61"/>
      <c r="E11" s="61"/>
      <c r="F11" s="61"/>
      <c r="G11" s="61"/>
      <c r="H11" s="61"/>
      <c r="I11" s="61"/>
      <c r="J11" s="61"/>
      <c r="K11" s="61"/>
      <c r="L11" s="61"/>
      <c r="M11" s="61"/>
      <c r="N11" s="61"/>
      <c r="O11" s="61"/>
      <c r="P11" s="61"/>
      <c r="Q11" s="61"/>
      <c r="R11" s="61"/>
      <c r="S11" s="61"/>
      <c r="T11" s="61"/>
      <c r="U11" s="61"/>
      <c r="V11" s="44"/>
      <c r="W11" s="44"/>
      <c r="X11" s="44"/>
      <c r="Y11" s="44"/>
      <c r="Z11" s="44"/>
      <c r="AA11" s="44"/>
    </row>
    <row r="12" spans="1:27">
      <c r="A12" s="44"/>
      <c r="B12" s="44"/>
      <c r="C12" s="61"/>
      <c r="D12" s="61"/>
      <c r="E12" s="61"/>
      <c r="F12" s="61"/>
      <c r="G12" s="61"/>
      <c r="H12" s="61"/>
      <c r="I12" s="61"/>
      <c r="J12" s="61"/>
      <c r="K12" s="61"/>
      <c r="L12" s="61"/>
      <c r="M12" s="61"/>
      <c r="N12" s="61"/>
      <c r="O12" s="61"/>
      <c r="P12" s="61"/>
      <c r="Q12" s="61"/>
      <c r="R12" s="61"/>
      <c r="S12" s="61"/>
      <c r="T12" s="61"/>
      <c r="U12" s="61"/>
      <c r="V12" s="44"/>
      <c r="W12" s="44"/>
      <c r="X12" s="44"/>
      <c r="Y12" s="44"/>
      <c r="Z12" s="44"/>
      <c r="AA12" s="44"/>
    </row>
    <row r="13" spans="1:27">
      <c r="A13" s="44"/>
      <c r="B13" s="44"/>
      <c r="C13" s="61">
        <v>0</v>
      </c>
      <c r="D13" s="61">
        <v>0</v>
      </c>
      <c r="E13" s="61">
        <v>0</v>
      </c>
      <c r="F13" s="61">
        <v>0</v>
      </c>
      <c r="G13" s="61">
        <v>0</v>
      </c>
      <c r="H13" s="61">
        <v>0</v>
      </c>
      <c r="I13" s="61">
        <v>0</v>
      </c>
      <c r="J13" s="61">
        <v>1</v>
      </c>
      <c r="K13" s="61">
        <v>1</v>
      </c>
      <c r="L13" s="61">
        <v>1</v>
      </c>
      <c r="M13" s="61">
        <v>1</v>
      </c>
      <c r="N13" s="61">
        <v>1</v>
      </c>
      <c r="O13" s="61">
        <v>1</v>
      </c>
      <c r="P13" s="61">
        <v>1</v>
      </c>
      <c r="Q13" s="61">
        <v>1</v>
      </c>
      <c r="R13" s="61">
        <v>1</v>
      </c>
      <c r="S13" s="61">
        <v>1</v>
      </c>
      <c r="T13" s="61">
        <v>1</v>
      </c>
      <c r="U13" s="61">
        <v>1</v>
      </c>
      <c r="V13" s="61">
        <v>1</v>
      </c>
      <c r="W13" s="61">
        <v>1</v>
      </c>
      <c r="X13" s="61">
        <v>0.25</v>
      </c>
      <c r="Y13" s="61">
        <v>0</v>
      </c>
      <c r="Z13" s="61">
        <v>0</v>
      </c>
      <c r="AA13" s="61">
        <v>0</v>
      </c>
    </row>
    <row r="14" spans="1:27">
      <c r="A14" s="44" t="s">
        <v>177</v>
      </c>
      <c r="B14" s="44"/>
      <c r="C14" s="61">
        <v>2016</v>
      </c>
      <c r="D14" s="61">
        <v>2017</v>
      </c>
      <c r="E14" s="61">
        <v>2018</v>
      </c>
      <c r="F14" s="61">
        <v>2019</v>
      </c>
      <c r="G14" s="61">
        <v>2020</v>
      </c>
      <c r="H14" s="61">
        <v>2021</v>
      </c>
      <c r="I14" s="61">
        <v>2022</v>
      </c>
      <c r="J14" s="61">
        <v>2023</v>
      </c>
      <c r="K14" s="61">
        <v>2024</v>
      </c>
      <c r="L14" s="61">
        <v>2025</v>
      </c>
      <c r="M14" s="61">
        <v>2026</v>
      </c>
      <c r="N14" s="61">
        <v>2027</v>
      </c>
      <c r="O14" s="61">
        <v>2028</v>
      </c>
      <c r="P14" s="61">
        <v>2029</v>
      </c>
      <c r="Q14" s="61">
        <v>2030</v>
      </c>
      <c r="R14" s="61">
        <v>2031</v>
      </c>
      <c r="S14" s="61">
        <v>2032</v>
      </c>
      <c r="T14" s="61">
        <v>2033</v>
      </c>
      <c r="U14" s="61">
        <v>2034</v>
      </c>
      <c r="V14" s="61">
        <v>2035</v>
      </c>
      <c r="W14" s="61">
        <v>2036</v>
      </c>
      <c r="X14" s="61">
        <v>2037</v>
      </c>
      <c r="Y14" s="61">
        <v>2038</v>
      </c>
      <c r="Z14" s="61">
        <v>2039</v>
      </c>
      <c r="AA14" s="61">
        <v>2040</v>
      </c>
    </row>
    <row r="15" spans="1:27">
      <c r="A15" t="s">
        <v>452</v>
      </c>
      <c r="B15" s="63">
        <v>3032402.763290823</v>
      </c>
      <c r="C15" s="64">
        <v>0</v>
      </c>
      <c r="D15" s="64">
        <v>0</v>
      </c>
      <c r="E15" s="64">
        <v>0</v>
      </c>
      <c r="F15" s="64">
        <v>0</v>
      </c>
      <c r="G15" s="517">
        <v>0</v>
      </c>
      <c r="H15" s="517">
        <v>70637.5413616804</v>
      </c>
      <c r="I15" s="517">
        <v>122438.40502691269</v>
      </c>
      <c r="J15" s="64">
        <v>339562.50994130457</v>
      </c>
      <c r="K15" s="64">
        <v>353145.01033895678</v>
      </c>
      <c r="L15" s="64">
        <v>367270.81075251504</v>
      </c>
      <c r="M15" s="64">
        <v>381961.64318261563</v>
      </c>
      <c r="N15" s="64">
        <v>397240.10890992038</v>
      </c>
      <c r="O15" s="64">
        <v>413129.71326631721</v>
      </c>
      <c r="P15" s="64">
        <v>429654.90179696988</v>
      </c>
      <c r="Q15" s="64">
        <v>446841.09786884865</v>
      </c>
      <c r="R15" s="64">
        <v>464714.74178360269</v>
      </c>
      <c r="S15" s="64">
        <v>483303.33145494678</v>
      </c>
      <c r="T15" s="64">
        <v>502635.4647131447</v>
      </c>
      <c r="U15" s="64">
        <v>522740.88330167049</v>
      </c>
      <c r="V15" s="64">
        <v>543650.51863373735</v>
      </c>
      <c r="W15" s="64">
        <v>565396.53937908693</v>
      </c>
      <c r="X15" s="64">
        <v>147003.10023856259</v>
      </c>
      <c r="Y15" s="64">
        <v>0</v>
      </c>
      <c r="Z15" s="64">
        <v>0</v>
      </c>
      <c r="AA15" s="64">
        <v>0</v>
      </c>
    </row>
    <row r="16" spans="1:27">
      <c r="I16" s="518"/>
    </row>
  </sheetData>
  <mergeCells count="1">
    <mergeCell ref="A2:K7"/>
  </mergeCells>
  <hyperlinks>
    <hyperlink ref="A1" location="Summary_RealizationSchedule!A1" display="Back to Summary" xr:uid="{00000000-0004-0000-12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56"/>
  <sheetViews>
    <sheetView topLeftCell="E1" zoomScaleNormal="100" workbookViewId="0">
      <pane xSplit="4" ySplit="5" topLeftCell="I14" activePane="bottomRight" state="frozen"/>
      <selection activeCell="E1" sqref="E1"/>
      <selection pane="topRight" activeCell="I1" sqref="I1"/>
      <selection pane="bottomLeft" activeCell="E6" sqref="E6"/>
      <selection pane="bottomRight" activeCell="P55" sqref="P55"/>
    </sheetView>
  </sheetViews>
  <sheetFormatPr defaultRowHeight="15"/>
  <cols>
    <col min="1" max="1" width="4.28515625" hidden="1" customWidth="1"/>
    <col min="2" max="3" width="0" hidden="1" customWidth="1"/>
    <col min="4" max="4" width="5.140625" hidden="1" customWidth="1"/>
    <col min="5" max="5" width="28.28515625" bestFit="1" customWidth="1"/>
    <col min="6" max="6" width="32.28515625" bestFit="1" customWidth="1"/>
    <col min="7" max="8" width="13.140625" bestFit="1" customWidth="1"/>
    <col min="9" max="10" width="9.28515625" bestFit="1" customWidth="1"/>
    <col min="11" max="15" width="10.85546875" bestFit="1" customWidth="1"/>
    <col min="16" max="29" width="12" bestFit="1" customWidth="1"/>
    <col min="30" max="30" width="10.85546875" bestFit="1" customWidth="1"/>
  </cols>
  <sheetData>
    <row r="1" spans="1:30">
      <c r="A1" t="s">
        <v>896</v>
      </c>
    </row>
    <row r="2" spans="1:30">
      <c r="K2" s="356">
        <v>2862618.4027386275</v>
      </c>
      <c r="L2" t="s">
        <v>897</v>
      </c>
    </row>
    <row r="3" spans="1:30">
      <c r="E3" s="573" t="s">
        <v>898</v>
      </c>
      <c r="F3" s="573"/>
      <c r="G3" s="573"/>
      <c r="H3" s="573"/>
      <c r="I3" s="573"/>
      <c r="J3" s="573"/>
    </row>
    <row r="5" spans="1:30">
      <c r="E5" s="574" t="s">
        <v>899</v>
      </c>
      <c r="F5" s="151"/>
      <c r="G5" s="574" t="s">
        <v>4</v>
      </c>
      <c r="H5" s="574" t="s">
        <v>21</v>
      </c>
      <c r="I5" s="574">
        <v>2016</v>
      </c>
      <c r="J5" s="574">
        <v>2017</v>
      </c>
      <c r="K5" s="574">
        <v>2018</v>
      </c>
      <c r="L5" s="574">
        <v>2019</v>
      </c>
      <c r="M5" s="574">
        <v>2020</v>
      </c>
      <c r="N5" s="574">
        <v>2021</v>
      </c>
      <c r="O5" s="574">
        <v>2022</v>
      </c>
      <c r="P5" s="574">
        <v>2023</v>
      </c>
      <c r="Q5" s="574">
        <v>2024</v>
      </c>
      <c r="R5" s="574">
        <v>2025</v>
      </c>
      <c r="S5" s="574">
        <v>2026</v>
      </c>
      <c r="T5" s="574">
        <v>2027</v>
      </c>
      <c r="U5" s="574">
        <v>2028</v>
      </c>
      <c r="V5" s="574">
        <v>2029</v>
      </c>
      <c r="W5" s="574">
        <v>2030</v>
      </c>
      <c r="X5" s="574">
        <v>2031</v>
      </c>
      <c r="Y5" s="574">
        <v>2032</v>
      </c>
      <c r="Z5" s="574">
        <v>2033</v>
      </c>
      <c r="AA5" s="574">
        <v>2034</v>
      </c>
      <c r="AB5" s="574">
        <v>2035</v>
      </c>
      <c r="AC5" s="574">
        <v>2036</v>
      </c>
      <c r="AD5" s="574">
        <v>2037</v>
      </c>
    </row>
    <row r="7" spans="1:30">
      <c r="E7" s="37" t="s">
        <v>23</v>
      </c>
    </row>
    <row r="8" spans="1:30">
      <c r="E8" s="37"/>
      <c r="F8" t="s">
        <v>25</v>
      </c>
      <c r="G8" s="355">
        <f>Summary_RealizationSchedule!F5</f>
        <v>57383155.35846632</v>
      </c>
      <c r="H8" s="355">
        <f>Summary_RealizationSchedule!G5</f>
        <v>132405573.00601076</v>
      </c>
      <c r="I8" s="355">
        <f>Summary_RealizationSchedule!H5</f>
        <v>280175</v>
      </c>
      <c r="J8" s="355">
        <f>Summary_RealizationSchedule!I5</f>
        <v>369752.77120000031</v>
      </c>
      <c r="K8" s="356">
        <f>Summary_RealizationSchedule!J5</f>
        <v>580538.65811706323</v>
      </c>
      <c r="L8" s="355">
        <f>Summary_RealizationSchedule!K5</f>
        <v>1652817.0334517234</v>
      </c>
      <c r="M8" s="355">
        <f>Summary_RealizationSchedule!L5</f>
        <v>4295101.6957793366</v>
      </c>
      <c r="N8" s="355">
        <f>Summary_RealizationSchedule!M5</f>
        <v>4373501.9934327714</v>
      </c>
      <c r="O8" s="355">
        <f>Summary_RealizationSchedule!N5</f>
        <v>4453336.2220941437</v>
      </c>
      <c r="P8" s="355">
        <f>Summary_RealizationSchedule!O5</f>
        <v>6239048.709157981</v>
      </c>
      <c r="Q8" s="355">
        <f>Summary_RealizationSchedule!P5</f>
        <v>6487264.8415476931</v>
      </c>
      <c r="R8" s="355">
        <f>Summary_RealizationSchedule!Q5</f>
        <v>6745301.9419204406</v>
      </c>
      <c r="S8" s="355">
        <f>Summary_RealizationSchedule!R5</f>
        <v>7013549.4782801382</v>
      </c>
      <c r="T8" s="355">
        <f>Summary_RealizationSchedule!S5</f>
        <v>7292411.7431279421</v>
      </c>
      <c r="U8" s="355">
        <f>Summary_RealizationSchedule!T5</f>
        <v>7582309.4826638978</v>
      </c>
      <c r="V8" s="355">
        <f>Summary_RealizationSchedule!U5</f>
        <v>7883680.5510302968</v>
      </c>
      <c r="W8" s="355">
        <f>Summary_RealizationSchedule!V5</f>
        <v>8196980.5905941557</v>
      </c>
      <c r="X8" s="355">
        <f>Summary_RealizationSchedule!W5</f>
        <v>8522681.7393059209</v>
      </c>
      <c r="Y8" s="355">
        <f>Summary_RealizationSchedule!X5</f>
        <v>8861276.366212938</v>
      </c>
      <c r="Z8" s="355">
        <f>Summary_RealizationSchedule!Y5</f>
        <v>9213275.8362491019</v>
      </c>
      <c r="AA8" s="355">
        <f>Summary_RealizationSchedule!Z5</f>
        <v>9579211.3054668829</v>
      </c>
      <c r="AB8" s="355">
        <f>Summary_RealizationSchedule!AA5</f>
        <v>9959635.5479243323</v>
      </c>
      <c r="AC8" s="355">
        <f>Summary_RealizationSchedule!AB5</f>
        <v>10355124.815488093</v>
      </c>
      <c r="AD8" s="355">
        <f>Summary_RealizationSchedule!AC5</f>
        <v>2468596.6829658966</v>
      </c>
    </row>
    <row r="9" spans="1:30">
      <c r="E9" s="37"/>
      <c r="F9" t="s">
        <v>26</v>
      </c>
      <c r="G9" s="355">
        <f>Summary_RealizationSchedule!F6</f>
        <v>359095.05610758282</v>
      </c>
      <c r="H9" s="355">
        <f>Summary_RealizationSchedule!G6</f>
        <v>781459.24000000034</v>
      </c>
      <c r="I9" s="355">
        <f>Summary_RealizationSchedule!H6</f>
        <v>0</v>
      </c>
      <c r="J9" s="355">
        <f>Summary_RealizationSchedule!I6</f>
        <v>0</v>
      </c>
      <c r="K9" s="355">
        <f>Summary_RealizationSchedule!J6</f>
        <v>0</v>
      </c>
      <c r="L9" s="355">
        <f>Summary_RealizationSchedule!K6</f>
        <v>14499.057857142858</v>
      </c>
      <c r="M9" s="355">
        <f>Summary_RealizationSchedule!L6</f>
        <v>36247.644642857143</v>
      </c>
      <c r="N9" s="355">
        <f>Summary_RealizationSchedule!M6</f>
        <v>36247.644642857143</v>
      </c>
      <c r="O9" s="355">
        <f>Summary_RealizationSchedule!N6</f>
        <v>34772.644642857143</v>
      </c>
      <c r="P9" s="355">
        <f>Summary_RealizationSchedule!O6</f>
        <v>46855.192857142858</v>
      </c>
      <c r="Q9" s="355">
        <f>Summary_RealizationSchedule!P6</f>
        <v>46363.192857142858</v>
      </c>
      <c r="R9" s="355">
        <f>Summary_RealizationSchedule!Q6</f>
        <v>46363.192857142858</v>
      </c>
      <c r="S9" s="355">
        <f>Summary_RealizationSchedule!R6</f>
        <v>46363.192857142858</v>
      </c>
      <c r="T9" s="355">
        <f>Summary_RealizationSchedule!S6</f>
        <v>46363.192857142858</v>
      </c>
      <c r="U9" s="355">
        <f>Summary_RealizationSchedule!T6</f>
        <v>46363.192857142858</v>
      </c>
      <c r="V9" s="355">
        <f>Summary_RealizationSchedule!U6</f>
        <v>46363.192857142858</v>
      </c>
      <c r="W9" s="355">
        <f>Summary_RealizationSchedule!V6</f>
        <v>46363.192857142858</v>
      </c>
      <c r="X9" s="355">
        <f>Summary_RealizationSchedule!W6</f>
        <v>46363.192857142858</v>
      </c>
      <c r="Y9" s="355">
        <f>Summary_RealizationSchedule!X6</f>
        <v>46363.192857142858</v>
      </c>
      <c r="Z9" s="355">
        <f>Summary_RealizationSchedule!Y6</f>
        <v>46363.192857142858</v>
      </c>
      <c r="AA9" s="355">
        <f>Summary_RealizationSchedule!Z6</f>
        <v>46363.192857142858</v>
      </c>
      <c r="AB9" s="355">
        <f>Summary_RealizationSchedule!AA6</f>
        <v>46363.192857142858</v>
      </c>
      <c r="AC9" s="355">
        <f>Summary_RealizationSchedule!AB6</f>
        <v>46363.192857142858</v>
      </c>
      <c r="AD9" s="355">
        <f>Summary_RealizationSchedule!AC6</f>
        <v>10115.548214285714</v>
      </c>
    </row>
    <row r="10" spans="1:30">
      <c r="E10" s="37"/>
      <c r="F10" t="s">
        <v>19</v>
      </c>
      <c r="G10" s="355">
        <f>Summary_RealizationSchedule!F9</f>
        <v>2423030.0241882531</v>
      </c>
      <c r="H10" s="355">
        <f>Summary_RealizationSchedule!G9</f>
        <v>5419318.8420403842</v>
      </c>
      <c r="I10" s="355">
        <f>Summary_RealizationSchedule!H9</f>
        <v>0</v>
      </c>
      <c r="J10" s="355">
        <f>Summary_RealizationSchedule!I9</f>
        <v>0</v>
      </c>
      <c r="K10" s="355">
        <f>Summary_RealizationSchedule!J9</f>
        <v>0</v>
      </c>
      <c r="L10" s="355">
        <f>Summary_RealizationSchedule!K9</f>
        <v>67530.247925326781</v>
      </c>
      <c r="M10" s="355">
        <f>Summary_RealizationSchedule!L9</f>
        <v>168825.61981331697</v>
      </c>
      <c r="N10" s="355">
        <f>Summary_RealizationSchedule!M9</f>
        <v>168825.61981331697</v>
      </c>
      <c r="O10" s="355">
        <f>Summary_RealizationSchedule!N9</f>
        <v>172555.53343975573</v>
      </c>
      <c r="P10" s="355">
        <f>Summary_RealizationSchedule!O9</f>
        <v>235178.66123374406</v>
      </c>
      <c r="Q10" s="355">
        <f>Summary_RealizationSchedule!P9</f>
        <v>400697.40055611229</v>
      </c>
      <c r="R10" s="355">
        <f>Summary_RealizationSchedule!Q9</f>
        <v>409662.09499869589</v>
      </c>
      <c r="S10" s="355">
        <f>Summary_RealizationSchedule!R9</f>
        <v>418865.16799881589</v>
      </c>
      <c r="T10" s="355">
        <f>Summary_RealizationSchedule!S9</f>
        <v>428313.46529044106</v>
      </c>
      <c r="U10" s="355">
        <f>Summary_RealizationSchedule!T9</f>
        <v>438014.03492333164</v>
      </c>
      <c r="V10" s="355">
        <f>Summary_RealizationSchedule!U9</f>
        <v>447974.13330195076</v>
      </c>
      <c r="W10" s="355">
        <f>Summary_RealizationSchedule!V9</f>
        <v>274920.73884314264</v>
      </c>
      <c r="X10" s="355">
        <f>Summary_RealizationSchedule!W9</f>
        <v>281221.81271559931</v>
      </c>
      <c r="Y10" s="355">
        <f>Summary_RealizationSchedule!X9</f>
        <v>287692.45332130126</v>
      </c>
      <c r="Z10" s="355">
        <f>Summary_RealizationSchedule!Y9</f>
        <v>294337.55300741666</v>
      </c>
      <c r="AA10" s="355">
        <f>Summary_RealizationSchedule!Z9</f>
        <v>301162.14894498023</v>
      </c>
      <c r="AB10" s="355">
        <f>Summary_RealizationSchedule!AA9</f>
        <v>308171.42745414423</v>
      </c>
      <c r="AC10" s="355">
        <f>Summary_RealizationSchedule!AB9</f>
        <v>315370.72845899116</v>
      </c>
      <c r="AD10" s="355">
        <f>Summary_RealizationSchedule!AC9</f>
        <v>0</v>
      </c>
    </row>
    <row r="11" spans="1:30">
      <c r="A11" s="437"/>
      <c r="B11" s="437"/>
      <c r="C11" s="437"/>
      <c r="D11" s="437"/>
      <c r="E11" s="575"/>
      <c r="F11" s="437" t="s">
        <v>30</v>
      </c>
      <c r="G11" s="576">
        <f t="shared" ref="G11:H11" si="0">SUM(G8:G10)</f>
        <v>60165280.438762151</v>
      </c>
      <c r="H11" s="576">
        <f t="shared" si="0"/>
        <v>138606351.08805114</v>
      </c>
      <c r="I11" s="576">
        <f t="shared" ref="I11:AD11" si="1">SUM(I8:I10)</f>
        <v>280175</v>
      </c>
      <c r="J11" s="576">
        <f t="shared" si="1"/>
        <v>369752.77120000031</v>
      </c>
      <c r="K11" s="576">
        <f t="shared" si="1"/>
        <v>580538.65811706323</v>
      </c>
      <c r="L11" s="576">
        <f t="shared" si="1"/>
        <v>1734846.3392341929</v>
      </c>
      <c r="M11" s="576">
        <f t="shared" si="1"/>
        <v>4500174.96023551</v>
      </c>
      <c r="N11" s="576">
        <f t="shared" si="1"/>
        <v>4578575.2578889448</v>
      </c>
      <c r="O11" s="576">
        <f t="shared" si="1"/>
        <v>4660664.4001767561</v>
      </c>
      <c r="P11" s="576">
        <f t="shared" si="1"/>
        <v>6521082.5632488672</v>
      </c>
      <c r="Q11" s="576">
        <f t="shared" si="1"/>
        <v>6934325.4349609483</v>
      </c>
      <c r="R11" s="576">
        <f t="shared" si="1"/>
        <v>7201327.2297762791</v>
      </c>
      <c r="S11" s="576">
        <f t="shared" si="1"/>
        <v>7478777.8391360966</v>
      </c>
      <c r="T11" s="576">
        <f t="shared" si="1"/>
        <v>7767088.4012755258</v>
      </c>
      <c r="U11" s="576">
        <f t="shared" si="1"/>
        <v>8066686.7104443721</v>
      </c>
      <c r="V11" s="576">
        <f t="shared" si="1"/>
        <v>8378017.8771893904</v>
      </c>
      <c r="W11" s="576">
        <f t="shared" si="1"/>
        <v>8518264.5222944412</v>
      </c>
      <c r="X11" s="576">
        <f t="shared" si="1"/>
        <v>8850266.7448786628</v>
      </c>
      <c r="Y11" s="576">
        <f t="shared" si="1"/>
        <v>9195332.012391381</v>
      </c>
      <c r="Z11" s="576">
        <f t="shared" si="1"/>
        <v>9553976.5821136609</v>
      </c>
      <c r="AA11" s="576">
        <f t="shared" si="1"/>
        <v>9926736.647269005</v>
      </c>
      <c r="AB11" s="576">
        <f t="shared" si="1"/>
        <v>10314170.168235619</v>
      </c>
      <c r="AC11" s="576">
        <f t="shared" si="1"/>
        <v>10716858.736804226</v>
      </c>
      <c r="AD11" s="576">
        <f t="shared" si="1"/>
        <v>2478712.2311801822</v>
      </c>
    </row>
    <row r="12" spans="1:30">
      <c r="E12" s="37"/>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c r="AD12" s="355"/>
    </row>
    <row r="13" spans="1:30">
      <c r="E13" s="37" t="s">
        <v>31</v>
      </c>
      <c r="G13" s="355"/>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row>
    <row r="14" spans="1:30">
      <c r="A14" s="573"/>
      <c r="B14" s="573"/>
      <c r="C14" s="340"/>
      <c r="D14" s="340"/>
      <c r="E14" s="577"/>
      <c r="F14" s="340" t="s">
        <v>32</v>
      </c>
      <c r="G14" s="578">
        <f>Summary_RealizationSchedule!F15</f>
        <v>10352917.364609633</v>
      </c>
      <c r="H14" s="578">
        <f>Summary_RealizationSchedule!G15</f>
        <v>23985022.705145601</v>
      </c>
      <c r="I14" s="578">
        <f>Summary_RealizationSchedule!H15</f>
        <v>0</v>
      </c>
      <c r="J14" s="578">
        <f>Summary_RealizationSchedule!I15</f>
        <v>0</v>
      </c>
      <c r="K14" s="578">
        <f>Summary_RealizationSchedule!J15</f>
        <v>0</v>
      </c>
      <c r="L14" s="578">
        <f>Summary_RealizationSchedule!K15</f>
        <v>292022.46388064261</v>
      </c>
      <c r="M14" s="578">
        <f>Summary_RealizationSchedule!L15</f>
        <v>759258.40608967096</v>
      </c>
      <c r="N14" s="578">
        <f>Summary_RealizationSchedule!M15</f>
        <v>789628.7423332578</v>
      </c>
      <c r="O14" s="578">
        <f>Summary_RealizationSchedule!N15</f>
        <v>821213.89202658809</v>
      </c>
      <c r="P14" s="578">
        <f>Summary_RealizationSchedule!O15</f>
        <v>1138749.9302768689</v>
      </c>
      <c r="Q14" s="578">
        <f>Summary_RealizationSchedule!P15</f>
        <v>1184299.9274879438</v>
      </c>
      <c r="R14" s="578">
        <f>Summary_RealizationSchedule!Q15</f>
        <v>1231671.9245874614</v>
      </c>
      <c r="S14" s="578">
        <f>Summary_RealizationSchedule!R15</f>
        <v>1280938.8015709599</v>
      </c>
      <c r="T14" s="578">
        <f>Summary_RealizationSchedule!S15</f>
        <v>1332176.3536337987</v>
      </c>
      <c r="U14" s="578">
        <f>Summary_RealizationSchedule!T15</f>
        <v>1385463.4077791504</v>
      </c>
      <c r="V14" s="578">
        <f>Summary_RealizationSchedule!U15</f>
        <v>1440881.9440903165</v>
      </c>
      <c r="W14" s="578">
        <f>Summary_RealizationSchedule!V15</f>
        <v>1498517.2218539291</v>
      </c>
      <c r="X14" s="578">
        <f>Summary_RealizationSchedule!W15</f>
        <v>1558457.9107280865</v>
      </c>
      <c r="Y14" s="578">
        <f>Summary_RealizationSchedule!X15</f>
        <v>1620796.22715721</v>
      </c>
      <c r="Z14" s="578">
        <f>Summary_RealizationSchedule!Y15</f>
        <v>1685628.0762434984</v>
      </c>
      <c r="AA14" s="578">
        <f>Summary_RealizationSchedule!Z15</f>
        <v>1753053.1992932386</v>
      </c>
      <c r="AB14" s="578">
        <f>Summary_RealizationSchedule!AA15</f>
        <v>1823175.3272649681</v>
      </c>
      <c r="AC14" s="578">
        <f>Summary_RealizationSchedule!AB15</f>
        <v>1896102.3403555672</v>
      </c>
      <c r="AD14" s="578">
        <f>Summary_RealizationSchedule!AC15</f>
        <v>492986.60849244741</v>
      </c>
    </row>
    <row r="15" spans="1:30">
      <c r="E15" s="37"/>
      <c r="F15" t="s">
        <v>33</v>
      </c>
      <c r="G15" s="355">
        <f>Summary_RealizationSchedule!F16</f>
        <v>11326483.662125032</v>
      </c>
      <c r="H15" s="355">
        <f>Summary_RealizationSchedule!G16</f>
        <v>18802758.466754206</v>
      </c>
      <c r="I15" s="355">
        <f>Summary_RealizationSchedule!H16</f>
        <v>0</v>
      </c>
      <c r="J15" s="355">
        <f>Summary_RealizationSchedule!I16</f>
        <v>0</v>
      </c>
      <c r="K15" s="355">
        <f>Summary_RealizationSchedule!J16</f>
        <v>0</v>
      </c>
      <c r="L15" s="355">
        <f>Summary_RealizationSchedule!K16</f>
        <v>229989.25622264785</v>
      </c>
      <c r="M15" s="355">
        <f>Summary_RealizationSchedule!L16</f>
        <v>597697.91269052867</v>
      </c>
      <c r="N15" s="355">
        <f>Summary_RealizationSchedule!M16</f>
        <v>621321.53203072469</v>
      </c>
      <c r="O15" s="355">
        <f>Summary_RealizationSchedule!N16</f>
        <v>645879.57714933413</v>
      </c>
      <c r="P15" s="355">
        <f>Summary_RealizationSchedule!O16</f>
        <v>895212.0478328946</v>
      </c>
      <c r="Q15" s="355">
        <f>Summary_RealizationSchedule!P16</f>
        <v>930597.81486357015</v>
      </c>
      <c r="R15" s="355">
        <f>Summary_RealizationSchedule!Q16</f>
        <v>967383.37212481501</v>
      </c>
      <c r="S15" s="355">
        <f>Summary_RealizationSchedule!R16</f>
        <v>1005624.1325291775</v>
      </c>
      <c r="T15" s="355">
        <f>Summary_RealizationSchedule!S16</f>
        <v>1045377.7040939315</v>
      </c>
      <c r="U15" s="355">
        <f>Summary_RealizationSchedule!T16</f>
        <v>1086703.9769530282</v>
      </c>
      <c r="V15" s="355">
        <f>Summary_RealizationSchedule!U16</f>
        <v>1129665.2138202165</v>
      </c>
      <c r="W15" s="355">
        <f>Summary_RealizationSchedule!V16</f>
        <v>1174326.1440402875</v>
      </c>
      <c r="X15" s="355">
        <f>Summary_RealizationSchedule!W16</f>
        <v>1220754.0613708503</v>
      </c>
      <c r="Y15" s="355">
        <f>Summary_RealizationSchedule!X16</f>
        <v>1269018.9256426867</v>
      </c>
      <c r="Z15" s="355">
        <f>Summary_RealizationSchedule!Y16</f>
        <v>1319193.4684526257</v>
      </c>
      <c r="AA15" s="355">
        <f>Summary_RealizationSchedule!Z16</f>
        <v>1371353.3030489788</v>
      </c>
      <c r="AB15" s="355">
        <f>Summary_RealizationSchedule!AA16</f>
        <v>1425577.038575941</v>
      </c>
      <c r="AC15" s="355">
        <f>Summary_RealizationSchedule!AB16</f>
        <v>1481946.3988499674</v>
      </c>
      <c r="AD15" s="355">
        <f>Summary_RealizationSchedule!AC16</f>
        <v>385136.58646200021</v>
      </c>
    </row>
    <row r="16" spans="1:30">
      <c r="A16" s="437"/>
      <c r="B16" s="437"/>
      <c r="C16" s="437"/>
      <c r="D16" s="437"/>
      <c r="E16" s="575"/>
      <c r="F16" s="437" t="s">
        <v>30</v>
      </c>
      <c r="G16" s="576">
        <f t="shared" ref="G16:H16" si="2">SUM(G14:G15)</f>
        <v>21679401.026734665</v>
      </c>
      <c r="H16" s="576">
        <f t="shared" si="2"/>
        <v>42787781.17189981</v>
      </c>
      <c r="I16" s="576">
        <f t="shared" ref="I16:AD16" si="3">SUM(I14:I15)</f>
        <v>0</v>
      </c>
      <c r="J16" s="576">
        <f t="shared" si="3"/>
        <v>0</v>
      </c>
      <c r="K16" s="576">
        <f t="shared" si="3"/>
        <v>0</v>
      </c>
      <c r="L16" s="576">
        <f t="shared" si="3"/>
        <v>522011.72010329046</v>
      </c>
      <c r="M16" s="576">
        <f t="shared" si="3"/>
        <v>1356956.3187801996</v>
      </c>
      <c r="N16" s="576">
        <f t="shared" si="3"/>
        <v>1410950.2743639825</v>
      </c>
      <c r="O16" s="576">
        <f t="shared" si="3"/>
        <v>1467093.4691759222</v>
      </c>
      <c r="P16" s="576">
        <f t="shared" si="3"/>
        <v>2033961.9781097635</v>
      </c>
      <c r="Q16" s="576">
        <f t="shared" si="3"/>
        <v>2114897.7423515138</v>
      </c>
      <c r="R16" s="576">
        <f t="shared" si="3"/>
        <v>2199055.2967122765</v>
      </c>
      <c r="S16" s="576">
        <f t="shared" si="3"/>
        <v>2286562.9341001371</v>
      </c>
      <c r="T16" s="576">
        <f t="shared" si="3"/>
        <v>2377554.0577277299</v>
      </c>
      <c r="U16" s="576">
        <f t="shared" si="3"/>
        <v>2472167.3847321784</v>
      </c>
      <c r="V16" s="576">
        <f t="shared" si="3"/>
        <v>2570547.1579105332</v>
      </c>
      <c r="W16" s="576">
        <f t="shared" si="3"/>
        <v>2672843.3658942166</v>
      </c>
      <c r="X16" s="576">
        <f t="shared" si="3"/>
        <v>2779211.9720989368</v>
      </c>
      <c r="Y16" s="576">
        <f t="shared" si="3"/>
        <v>2889815.1527998969</v>
      </c>
      <c r="Z16" s="576">
        <f t="shared" si="3"/>
        <v>3004821.5446961243</v>
      </c>
      <c r="AA16" s="576">
        <f t="shared" si="3"/>
        <v>3124406.5023422176</v>
      </c>
      <c r="AB16" s="576">
        <f t="shared" si="3"/>
        <v>3248752.3658409091</v>
      </c>
      <c r="AC16" s="576">
        <f t="shared" si="3"/>
        <v>3378048.7392055346</v>
      </c>
      <c r="AD16" s="576">
        <f t="shared" si="3"/>
        <v>878123.19495444768</v>
      </c>
    </row>
    <row r="17" spans="1:30">
      <c r="E17" s="37"/>
      <c r="G17" s="355"/>
      <c r="H17" s="355"/>
      <c r="I17" s="355"/>
      <c r="J17" s="355"/>
      <c r="K17" s="355"/>
      <c r="L17" s="355"/>
      <c r="M17" s="355"/>
      <c r="N17" s="355"/>
      <c r="O17" s="355"/>
      <c r="P17" s="355"/>
      <c r="Q17" s="355"/>
      <c r="R17" s="355"/>
      <c r="S17" s="355"/>
      <c r="T17" s="355"/>
      <c r="U17" s="355"/>
      <c r="V17" s="355"/>
      <c r="W17" s="355"/>
      <c r="X17" s="355"/>
      <c r="Y17" s="355"/>
      <c r="Z17" s="355"/>
      <c r="AA17" s="355"/>
      <c r="AB17" s="355"/>
      <c r="AC17" s="355"/>
      <c r="AD17" s="355"/>
    </row>
    <row r="18" spans="1:30">
      <c r="E18" s="37" t="s">
        <v>35</v>
      </c>
      <c r="G18" s="355"/>
      <c r="H18" s="355"/>
      <c r="I18" s="355"/>
      <c r="J18" s="355"/>
      <c r="K18" s="355"/>
      <c r="L18" s="355"/>
      <c r="M18" s="355"/>
      <c r="N18" s="355"/>
      <c r="O18" s="355"/>
      <c r="P18" s="355"/>
      <c r="Q18" s="355"/>
      <c r="R18" s="355"/>
      <c r="S18" s="355"/>
      <c r="T18" s="355"/>
      <c r="U18" s="355"/>
      <c r="V18" s="355"/>
      <c r="W18" s="355"/>
      <c r="X18" s="355"/>
      <c r="Y18" s="355"/>
      <c r="Z18" s="355"/>
      <c r="AA18" s="355"/>
      <c r="AB18" s="355"/>
      <c r="AC18" s="355"/>
      <c r="AD18" s="355"/>
    </row>
    <row r="19" spans="1:30">
      <c r="A19" s="573"/>
      <c r="B19" s="573"/>
      <c r="C19" s="573"/>
      <c r="D19" s="340"/>
      <c r="E19" s="577"/>
      <c r="F19" s="573" t="s">
        <v>38</v>
      </c>
      <c r="G19" s="579">
        <f>Summary_RealizationSchedule!F23</f>
        <v>1277163.4111527745</v>
      </c>
      <c r="H19" s="579">
        <f>Summary_RealizationSchedule!G23</f>
        <v>2710326.3109337473</v>
      </c>
      <c r="I19" s="579">
        <f>Summary_RealizationSchedule!H23</f>
        <v>0</v>
      </c>
      <c r="J19" s="579">
        <f>Summary_RealizationSchedule!I23</f>
        <v>0</v>
      </c>
      <c r="K19" s="579">
        <f>Summary_RealizationSchedule!J23</f>
        <v>0</v>
      </c>
      <c r="L19" s="579">
        <f>Summary_RealizationSchedule!K23</f>
        <v>0</v>
      </c>
      <c r="M19" s="579">
        <f>Summary_RealizationSchedule!L23</f>
        <v>0</v>
      </c>
      <c r="N19" s="579">
        <f>Summary_RealizationSchedule!M23</f>
        <v>29223.210306401717</v>
      </c>
      <c r="O19" s="579">
        <f>Summary_RealizationSchedule!N23</f>
        <v>50653.564531096301</v>
      </c>
      <c r="P19" s="579">
        <f>Summary_RealizationSchedule!O23</f>
        <v>140479.21896624044</v>
      </c>
      <c r="Q19" s="579">
        <f>Summary_RealizationSchedule!P23</f>
        <v>146098.38772489008</v>
      </c>
      <c r="R19" s="579">
        <f>Summary_RealizationSchedule!Q23</f>
        <v>151942.32323388566</v>
      </c>
      <c r="S19" s="579">
        <f>Summary_RealizationSchedule!R23</f>
        <v>158020.01616324109</v>
      </c>
      <c r="T19" s="579">
        <f>Summary_RealizationSchedule!S23</f>
        <v>164340.81680977077</v>
      </c>
      <c r="U19" s="579">
        <f>Summary_RealizationSchedule!T23</f>
        <v>170914.44948216161</v>
      </c>
      <c r="V19" s="579">
        <f>Summary_RealizationSchedule!U23</f>
        <v>177751.02746144807</v>
      </c>
      <c r="W19" s="579">
        <f>Summary_RealizationSchedule!V23</f>
        <v>184861.06855990598</v>
      </c>
      <c r="X19" s="579">
        <f>Summary_RealizationSchedule!W23</f>
        <v>192255.51130230224</v>
      </c>
      <c r="Y19" s="579">
        <f>Summary_RealizationSchedule!X23</f>
        <v>199945.73175439436</v>
      </c>
      <c r="Z19" s="579">
        <f>Summary_RealizationSchedule!Y23</f>
        <v>207943.56102457014</v>
      </c>
      <c r="AA19" s="579">
        <f>Summary_RealizationSchedule!Z23</f>
        <v>216261.30346555295</v>
      </c>
      <c r="AB19" s="579">
        <f>Summary_RealizationSchedule!AA23</f>
        <v>224911.75560417506</v>
      </c>
      <c r="AC19" s="579">
        <f>Summary_RealizationSchedule!AB23</f>
        <v>233908.22582834214</v>
      </c>
      <c r="AD19" s="579">
        <f>Summary_RealizationSchedule!AC23</f>
        <v>60816.13871536895</v>
      </c>
    </row>
    <row r="20" spans="1:30">
      <c r="A20" s="573"/>
      <c r="B20" s="573"/>
      <c r="C20" s="573"/>
      <c r="D20" s="340"/>
      <c r="E20" s="577"/>
      <c r="F20" s="573" t="s">
        <v>39</v>
      </c>
      <c r="G20" s="579">
        <f>Summary_RealizationSchedule!F24</f>
        <v>2730472.1574196671</v>
      </c>
      <c r="H20" s="579">
        <f>Summary_RealizationSchedule!G24</f>
        <v>5794458.614224514</v>
      </c>
      <c r="I20" s="579">
        <f>Summary_RealizationSchedule!H24</f>
        <v>0</v>
      </c>
      <c r="J20" s="579">
        <f>Summary_RealizationSchedule!I24</f>
        <v>0</v>
      </c>
      <c r="K20" s="579">
        <f>Summary_RealizationSchedule!J24</f>
        <v>0</v>
      </c>
      <c r="L20" s="579">
        <f>Summary_RealizationSchedule!K24</f>
        <v>0</v>
      </c>
      <c r="M20" s="579">
        <f>Summary_RealizationSchedule!L24</f>
        <v>0</v>
      </c>
      <c r="N20" s="579">
        <f>Summary_RealizationSchedule!M24</f>
        <v>62476.861923273886</v>
      </c>
      <c r="O20" s="579">
        <f>Summary_RealizationSchedule!N24</f>
        <v>108293.22733367473</v>
      </c>
      <c r="P20" s="579">
        <f>Summary_RealizationSchedule!O24</f>
        <v>300333.21713872463</v>
      </c>
      <c r="Q20" s="579">
        <f>Summary_RealizationSchedule!P24</f>
        <v>312346.54582427366</v>
      </c>
      <c r="R20" s="579">
        <f>Summary_RealizationSchedule!Q24</f>
        <v>324840.40765724459</v>
      </c>
      <c r="S20" s="579">
        <f>Summary_RealizationSchedule!R24</f>
        <v>337834.02396353433</v>
      </c>
      <c r="T20" s="579">
        <f>Summary_RealizationSchedule!S24</f>
        <v>351347.38492207578</v>
      </c>
      <c r="U20" s="579">
        <f>Summary_RealizationSchedule!T24</f>
        <v>365401.28031895886</v>
      </c>
      <c r="V20" s="579">
        <f>Summary_RealizationSchedule!U24</f>
        <v>380017.33153171721</v>
      </c>
      <c r="W20" s="579">
        <f>Summary_RealizationSchedule!V24</f>
        <v>395218.02479298587</v>
      </c>
      <c r="X20" s="579">
        <f>Summary_RealizationSchedule!W24</f>
        <v>411026.74578470539</v>
      </c>
      <c r="Y20" s="579">
        <f>Summary_RealizationSchedule!X24</f>
        <v>427467.81561609358</v>
      </c>
      <c r="Z20" s="579">
        <f>Summary_RealizationSchedule!Y24</f>
        <v>444566.52824073739</v>
      </c>
      <c r="AA20" s="579">
        <f>Summary_RealizationSchedule!Z24</f>
        <v>462349.18937036686</v>
      </c>
      <c r="AB20" s="579">
        <f>Summary_RealizationSchedule!AA24</f>
        <v>480843.15694518154</v>
      </c>
      <c r="AC20" s="579">
        <f>Summary_RealizationSchedule!AB24</f>
        <v>500076.88322298892</v>
      </c>
      <c r="AD20" s="579">
        <f>Summary_RealizationSchedule!AC24</f>
        <v>130019.98963797711</v>
      </c>
    </row>
    <row r="21" spans="1:30">
      <c r="A21" s="573"/>
      <c r="B21" s="573"/>
      <c r="C21" s="573"/>
      <c r="D21" s="340"/>
      <c r="E21" s="577"/>
      <c r="F21" s="573" t="s">
        <v>40</v>
      </c>
      <c r="G21" s="579">
        <f>Summary_RealizationSchedule!F25</f>
        <v>3032402.763290823</v>
      </c>
      <c r="H21" s="579">
        <f>Summary_RealizationSchedule!G25</f>
        <v>6551326.3219507933</v>
      </c>
      <c r="I21" s="579">
        <f>Summary_RealizationSchedule!H25</f>
        <v>0</v>
      </c>
      <c r="J21" s="579">
        <f>Summary_RealizationSchedule!I25</f>
        <v>0</v>
      </c>
      <c r="K21" s="579">
        <f>Summary_RealizationSchedule!J25</f>
        <v>0</v>
      </c>
      <c r="L21" s="579">
        <f>Summary_RealizationSchedule!K25</f>
        <v>0</v>
      </c>
      <c r="M21" s="579">
        <f>Summary_RealizationSchedule!L25</f>
        <v>0</v>
      </c>
      <c r="N21" s="579">
        <f>Summary_RealizationSchedule!M25</f>
        <v>70637.5413616804</v>
      </c>
      <c r="O21" s="579">
        <f>Summary_RealizationSchedule!N25</f>
        <v>122438.40502691269</v>
      </c>
      <c r="P21" s="579">
        <f>Summary_RealizationSchedule!O25</f>
        <v>339562.50994130457</v>
      </c>
      <c r="Q21" s="579">
        <f>Summary_RealizationSchedule!P25</f>
        <v>353145.01033895678</v>
      </c>
      <c r="R21" s="579">
        <f>Summary_RealizationSchedule!Q25</f>
        <v>367270.81075251504</v>
      </c>
      <c r="S21" s="579">
        <f>Summary_RealizationSchedule!R25</f>
        <v>381961.64318261563</v>
      </c>
      <c r="T21" s="579">
        <f>Summary_RealizationSchedule!S25</f>
        <v>397240.10890992038</v>
      </c>
      <c r="U21" s="579">
        <f>Summary_RealizationSchedule!T25</f>
        <v>413129.71326631721</v>
      </c>
      <c r="V21" s="579">
        <f>Summary_RealizationSchedule!U25</f>
        <v>429654.90179696988</v>
      </c>
      <c r="W21" s="579">
        <f>Summary_RealizationSchedule!V25</f>
        <v>446841.09786884865</v>
      </c>
      <c r="X21" s="579">
        <f>Summary_RealizationSchedule!W25</f>
        <v>464714.74178360269</v>
      </c>
      <c r="Y21" s="579">
        <f>Summary_RealizationSchedule!X25</f>
        <v>483303.33145494678</v>
      </c>
      <c r="Z21" s="579">
        <f>Summary_RealizationSchedule!Y25</f>
        <v>502635.4647131447</v>
      </c>
      <c r="AA21" s="579">
        <f>Summary_RealizationSchedule!Z25</f>
        <v>522740.88330167049</v>
      </c>
      <c r="AB21" s="579">
        <f>Summary_RealizationSchedule!AA25</f>
        <v>543650.51863373735</v>
      </c>
      <c r="AC21" s="579">
        <f>Summary_RealizationSchedule!AB25</f>
        <v>565396.53937908693</v>
      </c>
      <c r="AD21" s="579">
        <f>Summary_RealizationSchedule!AC25</f>
        <v>147003.10023856259</v>
      </c>
    </row>
    <row r="22" spans="1:30">
      <c r="A22" s="437"/>
      <c r="B22" s="437"/>
      <c r="C22" s="437"/>
      <c r="D22" s="437"/>
      <c r="E22" s="575"/>
      <c r="F22" s="437" t="s">
        <v>30</v>
      </c>
      <c r="G22" s="576">
        <f t="shared" ref="G22:H22" si="4">SUM(G19:G21)</f>
        <v>7040038.3318632646</v>
      </c>
      <c r="H22" s="576">
        <f t="shared" si="4"/>
        <v>15056111.247109056</v>
      </c>
      <c r="I22" s="576">
        <f t="shared" ref="I22:AD22" si="5">SUM(I19:I21)</f>
        <v>0</v>
      </c>
      <c r="J22" s="576">
        <f t="shared" si="5"/>
        <v>0</v>
      </c>
      <c r="K22" s="576">
        <f t="shared" si="5"/>
        <v>0</v>
      </c>
      <c r="L22" s="576">
        <f t="shared" si="5"/>
        <v>0</v>
      </c>
      <c r="M22" s="576">
        <f t="shared" si="5"/>
        <v>0</v>
      </c>
      <c r="N22" s="576">
        <f t="shared" si="5"/>
        <v>162337.613591356</v>
      </c>
      <c r="O22" s="576">
        <f t="shared" si="5"/>
        <v>281385.19689168374</v>
      </c>
      <c r="P22" s="576">
        <f t="shared" si="5"/>
        <v>780374.94604626962</v>
      </c>
      <c r="Q22" s="576">
        <f t="shared" si="5"/>
        <v>811589.94388812059</v>
      </c>
      <c r="R22" s="576">
        <f t="shared" si="5"/>
        <v>844053.54164364538</v>
      </c>
      <c r="S22" s="576">
        <f t="shared" si="5"/>
        <v>877815.68330939102</v>
      </c>
      <c r="T22" s="576">
        <f t="shared" si="5"/>
        <v>912928.31064176699</v>
      </c>
      <c r="U22" s="576">
        <f t="shared" si="5"/>
        <v>949445.44306743774</v>
      </c>
      <c r="V22" s="576">
        <f t="shared" si="5"/>
        <v>987423.26079013525</v>
      </c>
      <c r="W22" s="576">
        <f t="shared" si="5"/>
        <v>1026920.1912217406</v>
      </c>
      <c r="X22" s="576">
        <f t="shared" si="5"/>
        <v>1067996.9988706103</v>
      </c>
      <c r="Y22" s="576">
        <f t="shared" si="5"/>
        <v>1110716.8788254347</v>
      </c>
      <c r="Z22" s="576">
        <f t="shared" si="5"/>
        <v>1155145.5539784522</v>
      </c>
      <c r="AA22" s="576">
        <f t="shared" si="5"/>
        <v>1201351.3761375903</v>
      </c>
      <c r="AB22" s="576">
        <f t="shared" si="5"/>
        <v>1249405.4311830939</v>
      </c>
      <c r="AC22" s="576">
        <f t="shared" si="5"/>
        <v>1299381.648430418</v>
      </c>
      <c r="AD22" s="576">
        <f t="shared" si="5"/>
        <v>337839.22859190864</v>
      </c>
    </row>
    <row r="23" spans="1:30">
      <c r="E23" s="37"/>
      <c r="G23" s="355"/>
      <c r="H23" s="355"/>
      <c r="I23" s="355"/>
      <c r="J23" s="355"/>
      <c r="K23" s="355"/>
      <c r="L23" s="355"/>
      <c r="M23" s="355"/>
      <c r="N23" s="355"/>
      <c r="O23" s="355"/>
      <c r="P23" s="355"/>
      <c r="Q23" s="355"/>
      <c r="R23" s="355"/>
      <c r="S23" s="355"/>
      <c r="T23" s="355"/>
      <c r="U23" s="355"/>
      <c r="V23" s="355"/>
      <c r="W23" s="355"/>
      <c r="X23" s="355"/>
      <c r="Y23" s="355"/>
      <c r="Z23" s="355"/>
      <c r="AA23" s="355"/>
      <c r="AB23" s="355"/>
      <c r="AC23" s="355"/>
      <c r="AD23" s="355"/>
    </row>
    <row r="24" spans="1:30">
      <c r="E24" s="37" t="s">
        <v>41</v>
      </c>
      <c r="G24" s="355"/>
      <c r="H24" s="355"/>
      <c r="I24" s="355"/>
      <c r="J24" s="355"/>
      <c r="K24" s="355"/>
      <c r="L24" s="355"/>
      <c r="M24" s="355"/>
      <c r="N24" s="355"/>
      <c r="O24" s="355"/>
      <c r="P24" s="355"/>
      <c r="Q24" s="355"/>
      <c r="R24" s="355"/>
      <c r="S24" s="355"/>
      <c r="T24" s="355"/>
      <c r="U24" s="355"/>
      <c r="V24" s="355"/>
      <c r="W24" s="355"/>
      <c r="X24" s="355"/>
      <c r="Y24" s="355"/>
      <c r="Z24" s="355"/>
      <c r="AA24" s="355"/>
      <c r="AB24" s="355"/>
      <c r="AC24" s="355"/>
      <c r="AD24" s="355"/>
    </row>
    <row r="25" spans="1:30">
      <c r="E25" s="37"/>
      <c r="F25" t="s">
        <v>42</v>
      </c>
      <c r="G25" s="355">
        <f>Summary_RealizationSchedule!F29</f>
        <v>18494601.498745929</v>
      </c>
      <c r="H25" s="355">
        <f>Summary_RealizationSchedule!G29</f>
        <v>43660371.123191208</v>
      </c>
      <c r="I25" s="355">
        <f>Summary_RealizationSchedule!H29</f>
        <v>0</v>
      </c>
      <c r="J25" s="355">
        <f>Summary_RealizationSchedule!I29</f>
        <v>0</v>
      </c>
      <c r="K25" s="355">
        <f>Summary_RealizationSchedule!J29</f>
        <v>0</v>
      </c>
      <c r="L25" s="355">
        <f>Summary_RealizationSchedule!K29</f>
        <v>411450.76252713538</v>
      </c>
      <c r="M25" s="355">
        <f>Summary_RealizationSchedule!L29</f>
        <v>1072567.3384213741</v>
      </c>
      <c r="N25" s="355">
        <f>Summary_RealizationSchedule!M29</f>
        <v>1118468.6866647801</v>
      </c>
      <c r="O25" s="355">
        <f>Summary_RealizationSchedule!N29</f>
        <v>1166308.7566461472</v>
      </c>
      <c r="P25" s="355">
        <f>Summary_RealizationSchedule!O29</f>
        <v>1621401.7821533983</v>
      </c>
      <c r="Q25" s="355">
        <f>Summary_RealizationSchedule!P29</f>
        <v>2254438.0141086793</v>
      </c>
      <c r="R25" s="355">
        <f>Summary_RealizationSchedule!Q29</f>
        <v>2351422.5613030936</v>
      </c>
      <c r="S25" s="355">
        <f>Summary_RealizationSchedule!R29</f>
        <v>2452612.9632785581</v>
      </c>
      <c r="T25" s="355">
        <f>Summary_RealizationSchedule!S29</f>
        <v>2558485.3645669469</v>
      </c>
      <c r="U25" s="355">
        <f>Summary_RealizationSchedule!T29</f>
        <v>2669574.259585219</v>
      </c>
      <c r="V25" s="355">
        <f>Summary_RealizationSchedule!U29</f>
        <v>2785321.1150673544</v>
      </c>
      <c r="W25" s="355">
        <f>Summary_RealizationSchedule!V29</f>
        <v>2906248.9254843667</v>
      </c>
      <c r="X25" s="355">
        <f>Summary_RealizationSchedule!W29</f>
        <v>3032191.5616005543</v>
      </c>
      <c r="Y25" s="355">
        <f>Summary_RealizationSchedule!X29</f>
        <v>3163974.5598842865</v>
      </c>
      <c r="Z25" s="355">
        <f>Summary_RealizationSchedule!Y29</f>
        <v>3301446.130939404</v>
      </c>
      <c r="AA25" s="355">
        <f>Summary_RealizationSchedule!Z29</f>
        <v>3434873.4855394349</v>
      </c>
      <c r="AB25" s="355">
        <f>Summary_RealizationSchedule!AA29</f>
        <v>3584702.0067074941</v>
      </c>
      <c r="AC25" s="355">
        <f>Summary_RealizationSchedule!AB29</f>
        <v>3774882.8487129766</v>
      </c>
      <c r="AD25" s="355">
        <f>Summary_RealizationSchedule!AC29</f>
        <v>0</v>
      </c>
    </row>
    <row r="26" spans="1:30">
      <c r="A26" s="573"/>
      <c r="B26" s="573"/>
      <c r="C26" s="573"/>
      <c r="D26" s="340"/>
      <c r="E26" s="577"/>
      <c r="F26" s="573" t="s">
        <v>45</v>
      </c>
      <c r="G26" s="579">
        <f>Summary_RealizationSchedule!F32</f>
        <v>2609116.0861312477</v>
      </c>
      <c r="H26" s="579">
        <f>Summary_RealizationSchedule!G32</f>
        <v>3123536.5988169089</v>
      </c>
      <c r="I26" s="579">
        <f>Summary_RealizationSchedule!H32</f>
        <v>0</v>
      </c>
      <c r="J26" s="579">
        <f>Summary_RealizationSchedule!I32</f>
        <v>0</v>
      </c>
      <c r="K26" s="579">
        <f>Summary_RealizationSchedule!J32</f>
        <v>0</v>
      </c>
      <c r="L26" s="579">
        <f>Summary_RealizationSchedule!K32</f>
        <v>0</v>
      </c>
      <c r="M26" s="579">
        <f>Summary_RealizationSchedule!L32</f>
        <v>0</v>
      </c>
      <c r="N26" s="579">
        <f>Summary_RealizationSchedule!M32</f>
        <v>4127.8826760424436</v>
      </c>
      <c r="O26" s="579">
        <f>Summary_RealizationSchedule!N32</f>
        <v>8420.8806591265857</v>
      </c>
      <c r="P26" s="579">
        <f>Summary_RealizationSchedule!O32</f>
        <v>12883.947408463675</v>
      </c>
      <c r="Q26" s="579">
        <f>Summary_RealizationSchedule!P32</f>
        <v>17522.1684755106</v>
      </c>
      <c r="R26" s="579">
        <f>Summary_RealizationSchedule!Q32</f>
        <v>22340.764806276013</v>
      </c>
      <c r="S26" s="579">
        <f>Summary_RealizationSchedule!R32</f>
        <v>124275.09612288185</v>
      </c>
      <c r="T26" s="579">
        <f>Summary_RealizationSchedule!S32</f>
        <v>147935.66438622936</v>
      </c>
      <c r="U26" s="579">
        <f>Summary_RealizationSchedule!T32</f>
        <v>172453.11734166168</v>
      </c>
      <c r="V26" s="579">
        <f>Summary_RealizationSchedule!U32</f>
        <v>197833.25214955682</v>
      </c>
      <c r="W26" s="579">
        <f>Summary_RealizationSchedule!V32</f>
        <v>224232.01910283099</v>
      </c>
      <c r="X26" s="579">
        <f>Summary_RealizationSchedule!W32</f>
        <v>251535.5254333764</v>
      </c>
      <c r="Y26" s="579">
        <f>Summary_RealizationSchedule!X32</f>
        <v>279930.03920950257</v>
      </c>
      <c r="Z26" s="579">
        <f>Summary_RealizationSchedule!Y32</f>
        <v>309271.99332650023</v>
      </c>
      <c r="AA26" s="579">
        <f>Summary_RealizationSchedule!Z32</f>
        <v>339777.98959249409</v>
      </c>
      <c r="AB26" s="579">
        <f>Summary_RealizationSchedule!AA32</f>
        <v>404323.74119063822</v>
      </c>
      <c r="AC26" s="579">
        <f>Summary_RealizationSchedule!AB32</f>
        <v>471439.63438404456</v>
      </c>
      <c r="AD26" s="579">
        <f>Summary_RealizationSchedule!AC32</f>
        <v>135232.88255177313</v>
      </c>
    </row>
    <row r="27" spans="1:30">
      <c r="A27" s="437"/>
      <c r="B27" s="437"/>
      <c r="C27" s="437"/>
      <c r="D27" s="437"/>
      <c r="E27" s="575"/>
      <c r="F27" s="437" t="s">
        <v>30</v>
      </c>
      <c r="G27" s="576">
        <f t="shared" ref="G27:H27" si="6">SUM(G25:G26)</f>
        <v>21103717.584877178</v>
      </c>
      <c r="H27" s="576">
        <f t="shared" si="6"/>
        <v>46783907.722008117</v>
      </c>
      <c r="I27" s="576">
        <f t="shared" ref="I27:AD27" si="7">SUM(I25:I26)</f>
        <v>0</v>
      </c>
      <c r="J27" s="576">
        <f t="shared" si="7"/>
        <v>0</v>
      </c>
      <c r="K27" s="576">
        <f t="shared" si="7"/>
        <v>0</v>
      </c>
      <c r="L27" s="576">
        <f t="shared" si="7"/>
        <v>411450.76252713538</v>
      </c>
      <c r="M27" s="576">
        <f t="shared" si="7"/>
        <v>1072567.3384213741</v>
      </c>
      <c r="N27" s="576">
        <f t="shared" si="7"/>
        <v>1122596.5693408225</v>
      </c>
      <c r="O27" s="576">
        <f t="shared" si="7"/>
        <v>1174729.6373052739</v>
      </c>
      <c r="P27" s="576">
        <f t="shared" si="7"/>
        <v>1634285.7295618618</v>
      </c>
      <c r="Q27" s="576">
        <f t="shared" si="7"/>
        <v>2271960.1825841898</v>
      </c>
      <c r="R27" s="576">
        <f t="shared" si="7"/>
        <v>2373763.3261093698</v>
      </c>
      <c r="S27" s="576">
        <f t="shared" si="7"/>
        <v>2576888.05940144</v>
      </c>
      <c r="T27" s="576">
        <f t="shared" si="7"/>
        <v>2706421.028953176</v>
      </c>
      <c r="U27" s="576">
        <f t="shared" si="7"/>
        <v>2842027.3769268808</v>
      </c>
      <c r="V27" s="576">
        <f t="shared" si="7"/>
        <v>2983154.3672169112</v>
      </c>
      <c r="W27" s="576">
        <f t="shared" si="7"/>
        <v>3130480.9445871976</v>
      </c>
      <c r="X27" s="576">
        <f t="shared" si="7"/>
        <v>3283727.0870339307</v>
      </c>
      <c r="Y27" s="576">
        <f t="shared" si="7"/>
        <v>3443904.5990937892</v>
      </c>
      <c r="Z27" s="576">
        <f t="shared" si="7"/>
        <v>3610718.1242659041</v>
      </c>
      <c r="AA27" s="576">
        <f t="shared" si="7"/>
        <v>3774651.4751319289</v>
      </c>
      <c r="AB27" s="576">
        <f t="shared" si="7"/>
        <v>3989025.7478981325</v>
      </c>
      <c r="AC27" s="576">
        <f t="shared" si="7"/>
        <v>4246322.4830970215</v>
      </c>
      <c r="AD27" s="576">
        <f t="shared" si="7"/>
        <v>135232.88255177313</v>
      </c>
    </row>
    <row r="28" spans="1:30">
      <c r="E28" s="37"/>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row>
    <row r="29" spans="1:30">
      <c r="E29" s="37" t="s">
        <v>46</v>
      </c>
      <c r="G29" s="355">
        <v>-2</v>
      </c>
      <c r="H29" s="355">
        <v>-1</v>
      </c>
      <c r="I29" s="355">
        <v>0</v>
      </c>
      <c r="J29" s="355">
        <v>0</v>
      </c>
      <c r="K29" s="355">
        <v>0</v>
      </c>
      <c r="L29" s="355">
        <v>0</v>
      </c>
      <c r="M29" s="355">
        <v>0</v>
      </c>
      <c r="N29" s="355">
        <v>0</v>
      </c>
      <c r="O29" s="355">
        <v>0</v>
      </c>
      <c r="P29" s="355">
        <v>0</v>
      </c>
      <c r="Q29" s="355">
        <v>0</v>
      </c>
      <c r="R29" s="355">
        <v>0</v>
      </c>
      <c r="S29" s="355">
        <v>0</v>
      </c>
      <c r="T29" s="355">
        <v>0</v>
      </c>
      <c r="U29" s="355">
        <v>0</v>
      </c>
      <c r="V29" s="355">
        <v>0</v>
      </c>
      <c r="W29" s="355">
        <v>0</v>
      </c>
      <c r="X29" s="355">
        <v>0</v>
      </c>
      <c r="Y29" s="355">
        <v>0</v>
      </c>
      <c r="Z29" s="355">
        <v>0</v>
      </c>
      <c r="AA29" s="355">
        <v>0</v>
      </c>
      <c r="AB29" s="355">
        <v>0</v>
      </c>
      <c r="AC29" s="355">
        <v>0</v>
      </c>
      <c r="AD29" s="355">
        <v>0</v>
      </c>
    </row>
    <row r="30" spans="1:30">
      <c r="A30" s="573"/>
      <c r="B30" s="573"/>
      <c r="C30" s="573"/>
      <c r="D30" s="340"/>
      <c r="E30" s="577"/>
      <c r="F30" s="573" t="s">
        <v>16</v>
      </c>
      <c r="G30" s="579">
        <f>Summary_RealizationSchedule!F39</f>
        <v>3364422.0268313964</v>
      </c>
      <c r="H30" s="579">
        <f>Summary_RealizationSchedule!G39</f>
        <v>7879091.724524036</v>
      </c>
      <c r="I30" s="579">
        <f>Summary_RealizationSchedule!H39</f>
        <v>0</v>
      </c>
      <c r="J30" s="579">
        <f>Summary_RealizationSchedule!I39</f>
        <v>0</v>
      </c>
      <c r="K30" s="579">
        <f>Summary_RealizationSchedule!J39</f>
        <v>0</v>
      </c>
      <c r="L30" s="579">
        <f>Summary_RealizationSchedule!K39</f>
        <v>103081.20442694836</v>
      </c>
      <c r="M30" s="579">
        <f>Summary_RealizationSchedule!L39</f>
        <v>267238.02247686364</v>
      </c>
      <c r="N30" s="579">
        <f>Summary_RealizationSchedule!M39</f>
        <v>265846.80805565137</v>
      </c>
      <c r="O30" s="579">
        <f>Summary_RealizationSchedule!N39</f>
        <v>275683.13995371043</v>
      </c>
      <c r="P30" s="579">
        <f>Summary_RealizationSchedule!O39</f>
        <v>381177.88817599684</v>
      </c>
      <c r="Q30" s="579">
        <f>Summary_RealizationSchedule!P39</f>
        <v>395281.47003850876</v>
      </c>
      <c r="R30" s="579">
        <f>Summary_RealizationSchedule!Q39</f>
        <v>409906.8844299335</v>
      </c>
      <c r="S30" s="579">
        <f>Summary_RealizationSchedule!R39</f>
        <v>425073.43915384106</v>
      </c>
      <c r="T30" s="579">
        <f>Summary_RealizationSchedule!S39</f>
        <v>440801.15640253312</v>
      </c>
      <c r="U30" s="579">
        <f>Summary_RealizationSchedule!T39</f>
        <v>457110.79918942682</v>
      </c>
      <c r="V30" s="579">
        <f>Summary_RealizationSchedule!U39</f>
        <v>474023.89875943551</v>
      </c>
      <c r="W30" s="579">
        <f>Summary_RealizationSchedule!V39</f>
        <v>491562.78301353467</v>
      </c>
      <c r="X30" s="579">
        <f>Summary_RealizationSchedule!W39</f>
        <v>509750.60598503542</v>
      </c>
      <c r="Y30" s="579">
        <f>Summary_RealizationSchedule!X39</f>
        <v>528611.3784064817</v>
      </c>
      <c r="Z30" s="579">
        <f>Summary_RealizationSchedule!Y39</f>
        <v>548169.99940752145</v>
      </c>
      <c r="AA30" s="579">
        <f>Summary_RealizationSchedule!Z39</f>
        <v>568452.28938559978</v>
      </c>
      <c r="AB30" s="579">
        <f>Summary_RealizationSchedule!AA39</f>
        <v>589485.02409286681</v>
      </c>
      <c r="AC30" s="579">
        <f>Summary_RealizationSchedule!AB39</f>
        <v>611295.969984303</v>
      </c>
      <c r="AD30" s="579">
        <f>Summary_RealizationSchedule!AC39</f>
        <v>136538.96318584325</v>
      </c>
    </row>
    <row r="31" spans="1:30">
      <c r="E31" s="37"/>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c r="AD31" s="355"/>
    </row>
    <row r="32" spans="1:30">
      <c r="E32" s="37" t="s">
        <v>50</v>
      </c>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c r="AD32" s="355"/>
    </row>
    <row r="33" spans="1:30">
      <c r="A33" s="573"/>
      <c r="B33" s="573"/>
      <c r="C33" s="573"/>
      <c r="D33" s="340"/>
      <c r="E33" s="577"/>
      <c r="F33" s="573" t="s">
        <v>10</v>
      </c>
      <c r="G33" s="579">
        <f>Summary_RealizationSchedule!F44</f>
        <v>6528174.400280741</v>
      </c>
      <c r="H33" s="579">
        <f>Summary_RealizationSchedule!G44</f>
        <v>15382656.222365012</v>
      </c>
      <c r="I33" s="579">
        <f>Summary_RealizationSchedule!H44</f>
        <v>0</v>
      </c>
      <c r="J33" s="579">
        <f>Summary_RealizationSchedule!I44</f>
        <v>0</v>
      </c>
      <c r="K33" s="579">
        <f>Summary_RealizationSchedule!J44</f>
        <v>0</v>
      </c>
      <c r="L33" s="579">
        <f>Summary_RealizationSchedule!K44</f>
        <v>194296.65319520229</v>
      </c>
      <c r="M33" s="579">
        <f>Summary_RealizationSchedule!L44</f>
        <v>505317.02079742245</v>
      </c>
      <c r="N33" s="579">
        <f>Summary_RealizationSchedule!M44</f>
        <v>504286.06795842142</v>
      </c>
      <c r="O33" s="579">
        <f>Summary_RealizationSchedule!N44</f>
        <v>524608.79649714578</v>
      </c>
      <c r="P33" s="579">
        <f>Summary_RealizationSchedule!O44</f>
        <v>727667.37466130767</v>
      </c>
      <c r="Q33" s="579">
        <f>Summary_RealizationSchedule!P44</f>
        <v>756992.36986015853</v>
      </c>
      <c r="R33" s="579">
        <f>Summary_RealizationSchedule!Q44</f>
        <v>787499.16236552282</v>
      </c>
      <c r="S33" s="579">
        <f>Summary_RealizationSchedule!R44</f>
        <v>819235.37860885344</v>
      </c>
      <c r="T33" s="579">
        <f>Summary_RealizationSchedule!S44</f>
        <v>852250.56436679023</v>
      </c>
      <c r="U33" s="579">
        <f>Summary_RealizationSchedule!T44</f>
        <v>886596.26211077196</v>
      </c>
      <c r="V33" s="579">
        <f>Summary_RealizationSchedule!U44</f>
        <v>922326.09147383622</v>
      </c>
      <c r="W33" s="579">
        <f>Summary_RealizationSchedule!V44</f>
        <v>959495.83296023181</v>
      </c>
      <c r="X33" s="579">
        <f>Summary_RealizationSchedule!W44</f>
        <v>998163.51502852887</v>
      </c>
      <c r="Y33" s="579">
        <f>Summary_RealizationSchedule!X44</f>
        <v>1038389.5046841785</v>
      </c>
      <c r="Z33" s="579">
        <f>Summary_RealizationSchedule!Y44</f>
        <v>1080236.6017229513</v>
      </c>
      <c r="AA33" s="579">
        <f>Summary_RealizationSchedule!Z44</f>
        <v>1123770.1367723863</v>
      </c>
      <c r="AB33" s="579">
        <f>Summary_RealizationSchedule!AA44</f>
        <v>1169058.0732843135</v>
      </c>
      <c r="AC33" s="579">
        <f>Summary_RealizationSchedule!AB44</f>
        <v>1216171.1136376711</v>
      </c>
      <c r="AD33" s="579">
        <f>Summary_RealizationSchedule!AC44</f>
        <v>316295.70237931743</v>
      </c>
    </row>
    <row r="34" spans="1:30">
      <c r="A34" s="573"/>
      <c r="B34" s="573"/>
      <c r="C34" s="573"/>
      <c r="D34" s="340"/>
      <c r="E34" s="577"/>
      <c r="F34" s="573" t="s">
        <v>12</v>
      </c>
      <c r="G34" s="579">
        <f>Summary_RealizationSchedule!F45</f>
        <v>2379863.5680026547</v>
      </c>
      <c r="H34" s="579">
        <f>Summary_RealizationSchedule!G45</f>
        <v>5607788.7749355333</v>
      </c>
      <c r="I34" s="579">
        <f>Summary_RealizationSchedule!H45</f>
        <v>0</v>
      </c>
      <c r="J34" s="579">
        <f>Summary_RealizationSchedule!I45</f>
        <v>0</v>
      </c>
      <c r="K34" s="579">
        <f>Summary_RealizationSchedule!J45</f>
        <v>0</v>
      </c>
      <c r="L34" s="579">
        <f>Summary_RealizationSchedule!K45</f>
        <v>70831.368461023856</v>
      </c>
      <c r="M34" s="579">
        <f>Summary_RealizationSchedule!L45</f>
        <v>184214.68152500782</v>
      </c>
      <c r="N34" s="579">
        <f>Summary_RealizationSchedule!M45</f>
        <v>183838.84488961374</v>
      </c>
      <c r="O34" s="579">
        <f>Summary_RealizationSchedule!N45</f>
        <v>191247.55033866517</v>
      </c>
      <c r="P34" s="579">
        <f>Summary_RealizationSchedule!O45</f>
        <v>265273.10215641779</v>
      </c>
      <c r="Q34" s="579">
        <f>Summary_RealizationSchedule!P45</f>
        <v>275963.60817332147</v>
      </c>
      <c r="R34" s="579">
        <f>Summary_RealizationSchedule!Q45</f>
        <v>287084.94158270629</v>
      </c>
      <c r="S34" s="579">
        <f>Summary_RealizationSchedule!R45</f>
        <v>298654.4647284894</v>
      </c>
      <c r="T34" s="579">
        <f>Summary_RealizationSchedule!S45</f>
        <v>310690.2396570475</v>
      </c>
      <c r="U34" s="579">
        <f>Summary_RealizationSchedule!T45</f>
        <v>323211.05631522654</v>
      </c>
      <c r="V34" s="579">
        <f>Summary_RealizationSchedule!U45</f>
        <v>336236.4618847302</v>
      </c>
      <c r="W34" s="579">
        <f>Summary_RealizationSchedule!V45</f>
        <v>349786.79129868478</v>
      </c>
      <c r="X34" s="579">
        <f>Summary_RealizationSchedule!W45</f>
        <v>363883.19898802176</v>
      </c>
      <c r="Y34" s="579">
        <f>Summary_RealizationSchedule!X45</f>
        <v>378547.69190723909</v>
      </c>
      <c r="Z34" s="579">
        <f>Summary_RealizationSchedule!Y45</f>
        <v>393803.16389110091</v>
      </c>
      <c r="AA34" s="579">
        <f>Summary_RealizationSchedule!Z45</f>
        <v>409673.43139591225</v>
      </c>
      <c r="AB34" s="579">
        <f>Summary_RealizationSchedule!AA45</f>
        <v>426183.27068116755</v>
      </c>
      <c r="AC34" s="579">
        <f>Summary_RealizationSchedule!AB45</f>
        <v>443358.45648961858</v>
      </c>
      <c r="AD34" s="579">
        <f>Summary_RealizationSchedule!AC45</f>
        <v>115306.45057153756</v>
      </c>
    </row>
    <row r="35" spans="1:30">
      <c r="A35" s="573"/>
      <c r="B35" s="573"/>
      <c r="C35" s="573"/>
      <c r="D35" s="340"/>
      <c r="E35" s="577"/>
      <c r="F35" s="573" t="s">
        <v>13</v>
      </c>
      <c r="G35" s="579">
        <f>Summary_RealizationSchedule!F46</f>
        <v>1096662.0741878629</v>
      </c>
      <c r="H35" s="579">
        <f>Summary_RealizationSchedule!G46</f>
        <v>2466822.7394929137</v>
      </c>
      <c r="I35" s="579">
        <f>Summary_RealizationSchedule!H46</f>
        <v>0</v>
      </c>
      <c r="J35" s="579">
        <f>Summary_RealizationSchedule!I46</f>
        <v>0</v>
      </c>
      <c r="K35" s="579">
        <f>Summary_RealizationSchedule!J46</f>
        <v>0</v>
      </c>
      <c r="L35" s="579">
        <f>Summary_RealizationSchedule!K46</f>
        <v>41714.25156808363</v>
      </c>
      <c r="M35" s="579">
        <f>Summary_RealizationSchedule!L46</f>
        <v>105328.48520941116</v>
      </c>
      <c r="N35" s="579">
        <f>Summary_RealizationSchedule!M46</f>
        <v>102052.03202000202</v>
      </c>
      <c r="O35" s="579">
        <f>Summary_RealizationSchedule!N46</f>
        <v>103072.55234020203</v>
      </c>
      <c r="P35" s="579">
        <f>Summary_RealizationSchedule!O46</f>
        <v>138804.3704848054</v>
      </c>
      <c r="Q35" s="579">
        <f>Summary_RealizationSchedule!P46</f>
        <v>140192.41418965347</v>
      </c>
      <c r="R35" s="579">
        <f>Summary_RealizationSchedule!Q46</f>
        <v>141594.33833155001</v>
      </c>
      <c r="S35" s="579">
        <f>Summary_RealizationSchedule!R46</f>
        <v>143010.2817148655</v>
      </c>
      <c r="T35" s="579">
        <f>Summary_RealizationSchedule!S46</f>
        <v>144440.38453201417</v>
      </c>
      <c r="U35" s="579">
        <f>Summary_RealizationSchedule!T46</f>
        <v>145884.78837733431</v>
      </c>
      <c r="V35" s="579">
        <f>Summary_RealizationSchedule!U46</f>
        <v>147343.63626110763</v>
      </c>
      <c r="W35" s="579">
        <f>Summary_RealizationSchedule!V46</f>
        <v>148817.07262371873</v>
      </c>
      <c r="X35" s="579">
        <f>Summary_RealizationSchedule!W46</f>
        <v>150305.24334995588</v>
      </c>
      <c r="Y35" s="579">
        <f>Summary_RealizationSchedule!X46</f>
        <v>151808.29578345545</v>
      </c>
      <c r="Z35" s="579">
        <f>Summary_RealizationSchedule!Y46</f>
        <v>153326.37874129001</v>
      </c>
      <c r="AA35" s="579">
        <f>Summary_RealizationSchedule!Z46</f>
        <v>154859.64252870294</v>
      </c>
      <c r="AB35" s="579">
        <f>Summary_RealizationSchedule!AA46</f>
        <v>156408.23895398999</v>
      </c>
      <c r="AC35" s="579">
        <f>Summary_RealizationSchedule!AB46</f>
        <v>157972.32134352988</v>
      </c>
      <c r="AD35" s="579">
        <f>Summary_RealizationSchedule!AC46</f>
        <v>39888.011139241295</v>
      </c>
    </row>
    <row r="36" spans="1:30">
      <c r="A36" s="573"/>
      <c r="B36" s="573"/>
      <c r="C36" s="573"/>
      <c r="D36" s="340"/>
      <c r="E36" s="577"/>
      <c r="F36" s="573" t="s">
        <v>14</v>
      </c>
      <c r="G36" s="579">
        <f>Summary_RealizationSchedule!F47</f>
        <v>973755.49224492256</v>
      </c>
      <c r="H36" s="579">
        <f>Summary_RealizationSchedule!G47</f>
        <v>2294507.6315974817</v>
      </c>
      <c r="I36" s="579">
        <f>Summary_RealizationSchedule!H47</f>
        <v>0</v>
      </c>
      <c r="J36" s="579">
        <f>Summary_RealizationSchedule!I47</f>
        <v>0</v>
      </c>
      <c r="K36" s="579">
        <f>Summary_RealizationSchedule!J47</f>
        <v>0</v>
      </c>
      <c r="L36" s="579">
        <f>Summary_RealizationSchedule!K47</f>
        <v>28981.67566808554</v>
      </c>
      <c r="M36" s="579">
        <f>Summary_RealizationSchedule!L47</f>
        <v>75374.092993773476</v>
      </c>
      <c r="N36" s="579">
        <f>Summary_RealizationSchedule!M47</f>
        <v>75220.314015506665</v>
      </c>
      <c r="O36" s="579">
        <f>Summary_RealizationSchedule!N47</f>
        <v>78251.692670331584</v>
      </c>
      <c r="P36" s="579">
        <f>Summary_RealizationSchedule!O47</f>
        <v>108540.31451326128</v>
      </c>
      <c r="Q36" s="579">
        <f>Summary_RealizationSchedule!P47</f>
        <v>112914.48918814572</v>
      </c>
      <c r="R36" s="579">
        <f>Summary_RealizationSchedule!Q47</f>
        <v>117464.94310242798</v>
      </c>
      <c r="S36" s="579">
        <f>Summary_RealizationSchedule!R47</f>
        <v>122198.78030945585</v>
      </c>
      <c r="T36" s="579">
        <f>Summary_RealizationSchedule!S47</f>
        <v>127123.39115592693</v>
      </c>
      <c r="U36" s="579">
        <f>Summary_RealizationSchedule!T47</f>
        <v>132246.4638195108</v>
      </c>
      <c r="V36" s="579">
        <f>Summary_RealizationSchedule!U47</f>
        <v>137575.99631143705</v>
      </c>
      <c r="W36" s="579">
        <f>Summary_RealizationSchedule!V47</f>
        <v>143120.30896278797</v>
      </c>
      <c r="X36" s="579">
        <f>Summary_RealizationSchedule!W47</f>
        <v>148888.05741398834</v>
      </c>
      <c r="Y36" s="579">
        <f>Summary_RealizationSchedule!X47</f>
        <v>154888.24612777209</v>
      </c>
      <c r="Z36" s="579">
        <f>Summary_RealizationSchedule!Y47</f>
        <v>161130.24244672133</v>
      </c>
      <c r="AA36" s="579">
        <f>Summary_RealizationSchedule!Z47</f>
        <v>167623.79121732421</v>
      </c>
      <c r="AB36" s="579">
        <f>Summary_RealizationSchedule!AA47</f>
        <v>174379.03000338239</v>
      </c>
      <c r="AC36" s="579">
        <f>Summary_RealizationSchedule!AB47</f>
        <v>181406.50491251872</v>
      </c>
      <c r="AD36" s="579">
        <f>Summary_RealizationSchedule!AC47</f>
        <v>47179.296765123312</v>
      </c>
    </row>
    <row r="37" spans="1:30">
      <c r="A37" s="437"/>
      <c r="B37" s="437"/>
      <c r="C37" s="437"/>
      <c r="D37" s="437"/>
      <c r="E37" s="575"/>
      <c r="F37" s="437" t="s">
        <v>30</v>
      </c>
      <c r="G37" s="576">
        <f t="shared" ref="G37:H37" si="8">SUM(G33:G36)</f>
        <v>10978455.534716181</v>
      </c>
      <c r="H37" s="576">
        <f t="shared" si="8"/>
        <v>25751775.36839094</v>
      </c>
      <c r="I37" s="576">
        <f t="shared" ref="I37:AD37" si="9">SUM(I33:I36)</f>
        <v>0</v>
      </c>
      <c r="J37" s="576">
        <f t="shared" si="9"/>
        <v>0</v>
      </c>
      <c r="K37" s="576">
        <f t="shared" si="9"/>
        <v>0</v>
      </c>
      <c r="L37" s="576">
        <f t="shared" si="9"/>
        <v>335823.9488923953</v>
      </c>
      <c r="M37" s="576">
        <f t="shared" si="9"/>
        <v>870234.28052561486</v>
      </c>
      <c r="N37" s="576">
        <f t="shared" si="9"/>
        <v>865397.25888354378</v>
      </c>
      <c r="O37" s="576">
        <f t="shared" si="9"/>
        <v>897180.59184634453</v>
      </c>
      <c r="P37" s="576">
        <f t="shared" si="9"/>
        <v>1240285.1618157921</v>
      </c>
      <c r="Q37" s="576">
        <f t="shared" si="9"/>
        <v>1286062.8814112791</v>
      </c>
      <c r="R37" s="576">
        <f t="shared" si="9"/>
        <v>1333643.3853822069</v>
      </c>
      <c r="S37" s="576">
        <f t="shared" si="9"/>
        <v>1383098.9053616642</v>
      </c>
      <c r="T37" s="576">
        <f t="shared" si="9"/>
        <v>1434504.5797117788</v>
      </c>
      <c r="U37" s="576">
        <f t="shared" si="9"/>
        <v>1487938.5706228437</v>
      </c>
      <c r="V37" s="576">
        <f t="shared" si="9"/>
        <v>1543482.1859311112</v>
      </c>
      <c r="W37" s="576">
        <f t="shared" si="9"/>
        <v>1601220.0058454233</v>
      </c>
      <c r="X37" s="576">
        <f t="shared" si="9"/>
        <v>1661240.0147804949</v>
      </c>
      <c r="Y37" s="576">
        <f t="shared" si="9"/>
        <v>1723633.7385026452</v>
      </c>
      <c r="Z37" s="576">
        <f t="shared" si="9"/>
        <v>1788496.3868020636</v>
      </c>
      <c r="AA37" s="576">
        <f t="shared" si="9"/>
        <v>1855927.0019143256</v>
      </c>
      <c r="AB37" s="576">
        <f t="shared" si="9"/>
        <v>1926028.6129228533</v>
      </c>
      <c r="AC37" s="576">
        <f t="shared" si="9"/>
        <v>1998908.3963833384</v>
      </c>
      <c r="AD37" s="576">
        <f t="shared" si="9"/>
        <v>518669.46085521957</v>
      </c>
    </row>
    <row r="38" spans="1:30">
      <c r="E38" s="37"/>
      <c r="G38" s="355"/>
      <c r="H38" s="355"/>
      <c r="I38" s="355"/>
      <c r="J38" s="355"/>
      <c r="K38" s="355"/>
      <c r="L38" s="355"/>
      <c r="M38" s="355"/>
      <c r="N38" s="355"/>
      <c r="O38" s="355"/>
      <c r="P38" s="355"/>
      <c r="Q38" s="355"/>
      <c r="R38" s="355"/>
      <c r="S38" s="355"/>
      <c r="T38" s="355"/>
      <c r="U38" s="355"/>
      <c r="V38" s="355"/>
      <c r="W38" s="355"/>
      <c r="X38" s="355"/>
      <c r="Y38" s="355"/>
      <c r="Z38" s="355"/>
      <c r="AA38" s="355"/>
      <c r="AB38" s="355"/>
      <c r="AC38" s="355"/>
      <c r="AD38" s="355"/>
    </row>
    <row r="39" spans="1:30">
      <c r="E39" s="37" t="s">
        <v>51</v>
      </c>
      <c r="G39" s="355"/>
      <c r="H39" s="355"/>
      <c r="I39" s="355"/>
      <c r="J39" s="355"/>
      <c r="K39" s="355"/>
      <c r="L39" s="355"/>
      <c r="M39" s="355"/>
      <c r="N39" s="355"/>
      <c r="O39" s="355"/>
      <c r="P39" s="355"/>
      <c r="Q39" s="355"/>
      <c r="R39" s="355"/>
      <c r="S39" s="355"/>
      <c r="T39" s="355"/>
      <c r="U39" s="355"/>
      <c r="V39" s="355"/>
      <c r="W39" s="355"/>
      <c r="X39" s="355"/>
      <c r="Y39" s="355"/>
      <c r="Z39" s="355"/>
      <c r="AA39" s="355"/>
      <c r="AB39" s="355"/>
      <c r="AC39" s="355"/>
      <c r="AD39" s="355"/>
    </row>
    <row r="40" spans="1:30">
      <c r="E40" s="37"/>
      <c r="F40" t="s">
        <v>52</v>
      </c>
      <c r="G40" s="355">
        <f>Summary_RealizationSchedule!F51</f>
        <v>979466.95150497009</v>
      </c>
      <c r="H40" s="355">
        <f>Summary_RealizationSchedule!G51</f>
        <v>1761470.572018082</v>
      </c>
      <c r="I40" s="355">
        <f>Summary_RealizationSchedule!H51</f>
        <v>48709.749490769231</v>
      </c>
      <c r="J40" s="355">
        <f>Summary_RealizationSchedule!I51</f>
        <v>50171.041975492306</v>
      </c>
      <c r="K40" s="355">
        <f>Summary_RealizationSchedule!J51</f>
        <v>364576.17323475709</v>
      </c>
      <c r="L40" s="355">
        <f>Summary_RealizationSchedule!K51</f>
        <v>53226.458431799787</v>
      </c>
      <c r="M40" s="355">
        <f>Summary_RealizationSchedule!L51</f>
        <v>54823.252184753779</v>
      </c>
      <c r="N40" s="355">
        <f>Summary_RealizationSchedule!M51</f>
        <v>42350.962312722295</v>
      </c>
      <c r="O40" s="355">
        <f>Summary_RealizationSchedule!N51</f>
        <v>43621.491182103964</v>
      </c>
      <c r="P40" s="355">
        <f>Summary_RealizationSchedule!O51</f>
        <v>88781.847890089441</v>
      </c>
      <c r="Q40" s="355">
        <f>Summary_RealizationSchedule!P51</f>
        <v>61704.053326792127</v>
      </c>
      <c r="R40" s="355">
        <f>Summary_RealizationSchedule!Q51</f>
        <v>63555.174926595893</v>
      </c>
      <c r="S40" s="355">
        <f>Summary_RealizationSchedule!R51</f>
        <v>65461.83017439377</v>
      </c>
      <c r="T40" s="355">
        <f>Summary_RealizationSchedule!S51</f>
        <v>67425.685079625575</v>
      </c>
      <c r="U40" s="355">
        <f>Summary_RealizationSchedule!T51</f>
        <v>69448.455632014331</v>
      </c>
      <c r="V40" s="355">
        <f>Summary_RealizationSchedule!U51</f>
        <v>71531.909300974774</v>
      </c>
      <c r="W40" s="355">
        <f>Summary_RealizationSchedule!V51</f>
        <v>73677.866580004018</v>
      </c>
      <c r="X40" s="355">
        <f>Summary_RealizationSchedule!W51</f>
        <v>75888.202577404125</v>
      </c>
      <c r="Y40" s="355">
        <f>Summary_RealizationSchedule!X51</f>
        <v>78164.848654726258</v>
      </c>
      <c r="Z40" s="355">
        <f>Summary_RealizationSchedule!Y51</f>
        <v>109384.79411436804</v>
      </c>
      <c r="AA40" s="355">
        <f>Summary_RealizationSchedule!Z51</f>
        <v>82925.087937799079</v>
      </c>
      <c r="AB40" s="355">
        <f>Summary_RealizationSchedule!AA51</f>
        <v>85412.840575933049</v>
      </c>
      <c r="AC40" s="355">
        <f>Summary_RealizationSchedule!AB51</f>
        <v>87975.225793211037</v>
      </c>
      <c r="AD40" s="355">
        <f>Summary_RealizationSchedule!AC51</f>
        <v>22653.620641751844</v>
      </c>
    </row>
    <row r="41" spans="1:30">
      <c r="A41" s="573"/>
      <c r="B41" s="573"/>
      <c r="C41" s="573"/>
      <c r="D41" s="340"/>
      <c r="E41" s="577"/>
      <c r="F41" s="573" t="s">
        <v>53</v>
      </c>
      <c r="G41" s="579">
        <f>Summary_RealizationSchedule!F52</f>
        <v>1071164.5580977038</v>
      </c>
      <c r="H41" s="579">
        <f>Summary_RealizationSchedule!G52</f>
        <v>2241199.4727105726</v>
      </c>
      <c r="I41" s="579">
        <f>Summary_RealizationSchedule!H52</f>
        <v>32580</v>
      </c>
      <c r="J41" s="579">
        <f>Summary_RealizationSchedule!I52</f>
        <v>77954.932000000001</v>
      </c>
      <c r="K41" s="579">
        <f>Summary_RealizationSchedule!J52</f>
        <v>80293.579960000003</v>
      </c>
      <c r="L41" s="579">
        <f>Summary_RealizationSchedule!K52</f>
        <v>82702.387358799999</v>
      </c>
      <c r="M41" s="579">
        <f>Summary_RealizationSchedule!L52</f>
        <v>68146.767183651187</v>
      </c>
      <c r="N41" s="579">
        <f>Summary_RealizationSchedule!M52</f>
        <v>52643.377649370545</v>
      </c>
      <c r="O41" s="579">
        <f>Summary_RealizationSchedule!N52</f>
        <v>54222.678978851669</v>
      </c>
      <c r="P41" s="579">
        <f>Summary_RealizationSchedule!O52</f>
        <v>74465.812464289615</v>
      </c>
      <c r="Q41" s="579">
        <f>Summary_RealizationSchedule!P52</f>
        <v>76699.786838218308</v>
      </c>
      <c r="R41" s="579">
        <f>Summary_RealizationSchedule!Q52</f>
        <v>115662.8192718725</v>
      </c>
      <c r="S41" s="579">
        <f>Summary_RealizationSchedule!R52</f>
        <v>119132.70385002867</v>
      </c>
      <c r="T41" s="579">
        <f>Summary_RealizationSchedule!S52</f>
        <v>122706.68496552952</v>
      </c>
      <c r="U41" s="579">
        <f>Summary_RealizationSchedule!T52</f>
        <v>126387.8855144954</v>
      </c>
      <c r="V41" s="579">
        <f>Summary_RealizationSchedule!U52</f>
        <v>130179.52207993028</v>
      </c>
      <c r="W41" s="579">
        <f>Summary_RealizationSchedule!V52</f>
        <v>134084.90774232819</v>
      </c>
      <c r="X41" s="579">
        <f>Summary_RealizationSchedule!W52</f>
        <v>138107.45497459802</v>
      </c>
      <c r="Y41" s="579">
        <f>Summary_RealizationSchedule!X52</f>
        <v>142250.67862383596</v>
      </c>
      <c r="Z41" s="579">
        <f>Summary_RealizationSchedule!Y52</f>
        <v>146518.19898255102</v>
      </c>
      <c r="AA41" s="579">
        <f>Summary_RealizationSchedule!Z52</f>
        <v>150913.74495202757</v>
      </c>
      <c r="AB41" s="579">
        <f>Summary_RealizationSchedule!AA52</f>
        <v>155441.15730058838</v>
      </c>
      <c r="AC41" s="579">
        <f>Summary_RealizationSchedule!AB52</f>
        <v>160104.39201960602</v>
      </c>
      <c r="AD41" s="579">
        <f>Summary_RealizationSchedule!AC52</f>
        <v>0</v>
      </c>
    </row>
    <row r="42" spans="1:30">
      <c r="A42" s="437"/>
      <c r="B42" s="437"/>
      <c r="C42" s="437"/>
      <c r="D42" s="437"/>
      <c r="E42" s="575"/>
      <c r="F42" s="437" t="s">
        <v>30</v>
      </c>
      <c r="G42" s="576">
        <f t="shared" ref="G42:H42" si="10">SUM(G40:G41)</f>
        <v>2050631.5096026738</v>
      </c>
      <c r="H42" s="576">
        <f t="shared" si="10"/>
        <v>4002670.0447286544</v>
      </c>
      <c r="I42" s="576">
        <f t="shared" ref="I42:AD42" si="11">SUM(I40:I41)</f>
        <v>81289.749490769231</v>
      </c>
      <c r="J42" s="576">
        <f t="shared" si="11"/>
        <v>128125.97397549231</v>
      </c>
      <c r="K42" s="576">
        <f t="shared" si="11"/>
        <v>444869.7531947571</v>
      </c>
      <c r="L42" s="576">
        <f t="shared" si="11"/>
        <v>135928.84579059979</v>
      </c>
      <c r="M42" s="576">
        <f t="shared" si="11"/>
        <v>122970.01936840496</v>
      </c>
      <c r="N42" s="576">
        <f t="shared" si="11"/>
        <v>94994.339962092839</v>
      </c>
      <c r="O42" s="576">
        <f t="shared" si="11"/>
        <v>97844.170160955633</v>
      </c>
      <c r="P42" s="576">
        <f t="shared" si="11"/>
        <v>163247.66035437904</v>
      </c>
      <c r="Q42" s="576">
        <f t="shared" si="11"/>
        <v>138403.84016501042</v>
      </c>
      <c r="R42" s="576">
        <f t="shared" si="11"/>
        <v>179217.9941984684</v>
      </c>
      <c r="S42" s="576">
        <f t="shared" si="11"/>
        <v>184594.53402442244</v>
      </c>
      <c r="T42" s="576">
        <f t="shared" si="11"/>
        <v>190132.37004515511</v>
      </c>
      <c r="U42" s="576">
        <f t="shared" si="11"/>
        <v>195836.34114650975</v>
      </c>
      <c r="V42" s="576">
        <f t="shared" si="11"/>
        <v>201711.43138090504</v>
      </c>
      <c r="W42" s="576">
        <f t="shared" si="11"/>
        <v>207762.7743223322</v>
      </c>
      <c r="X42" s="576">
        <f t="shared" si="11"/>
        <v>213995.65755200214</v>
      </c>
      <c r="Y42" s="576">
        <f t="shared" si="11"/>
        <v>220415.52727856222</v>
      </c>
      <c r="Z42" s="576">
        <f t="shared" si="11"/>
        <v>255902.99309691906</v>
      </c>
      <c r="AA42" s="576">
        <f t="shared" si="11"/>
        <v>233838.83288982665</v>
      </c>
      <c r="AB42" s="576">
        <f t="shared" si="11"/>
        <v>240853.99787652143</v>
      </c>
      <c r="AC42" s="576">
        <f t="shared" si="11"/>
        <v>248079.61781281704</v>
      </c>
      <c r="AD42" s="576">
        <f t="shared" si="11"/>
        <v>22653.620641751844</v>
      </c>
    </row>
    <row r="43" spans="1:30">
      <c r="E43" s="37"/>
      <c r="G43" s="355"/>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row>
    <row r="44" spans="1:30">
      <c r="E44" s="37" t="s">
        <v>54</v>
      </c>
      <c r="F44" s="580" t="s">
        <v>900</v>
      </c>
      <c r="G44" s="581">
        <f>SUM(G11,G16,G22,G27,G30,G37,G42)</f>
        <v>126381946.45338751</v>
      </c>
      <c r="H44" s="581">
        <f>SUM(H11,H16,H22,H27,H30,H37,H42)</f>
        <v>280867688.36671168</v>
      </c>
      <c r="I44" s="582">
        <f t="shared" ref="I44:AD44" si="12">SUM(I11,I16,I22,I27,I30,I37,I42)</f>
        <v>361464.74949076923</v>
      </c>
      <c r="J44" s="582">
        <f t="shared" si="12"/>
        <v>497878.7451754926</v>
      </c>
      <c r="K44" s="582">
        <f t="shared" si="12"/>
        <v>1025408.4113118204</v>
      </c>
      <c r="L44" s="582">
        <f t="shared" si="12"/>
        <v>3243142.8209745623</v>
      </c>
      <c r="M44" s="582">
        <f>SUM(M11,M16,M22,M27,M30,M37,M42)</f>
        <v>8190140.9398079664</v>
      </c>
      <c r="N44" s="582">
        <f t="shared" si="12"/>
        <v>8500698.1220863946</v>
      </c>
      <c r="O44" s="582">
        <f t="shared" si="12"/>
        <v>8854580.6055106446</v>
      </c>
      <c r="P44" s="582">
        <f t="shared" si="12"/>
        <v>12754415.927312931</v>
      </c>
      <c r="Q44" s="582">
        <f t="shared" si="12"/>
        <v>13952521.49539957</v>
      </c>
      <c r="R44" s="582">
        <f t="shared" si="12"/>
        <v>14540967.65825218</v>
      </c>
      <c r="S44" s="582">
        <f t="shared" si="12"/>
        <v>15212811.394486992</v>
      </c>
      <c r="T44" s="582">
        <f t="shared" si="12"/>
        <v>15829429.904757665</v>
      </c>
      <c r="U44" s="582">
        <f t="shared" si="12"/>
        <v>16471212.62612965</v>
      </c>
      <c r="V44" s="582">
        <f t="shared" si="12"/>
        <v>17138360.179178424</v>
      </c>
      <c r="W44" s="582">
        <f t="shared" si="12"/>
        <v>17649054.587178882</v>
      </c>
      <c r="X44" s="582">
        <f t="shared" si="12"/>
        <v>18366189.081199676</v>
      </c>
      <c r="Y44" s="582">
        <f t="shared" si="12"/>
        <v>19112429.287298188</v>
      </c>
      <c r="Z44" s="582">
        <f t="shared" si="12"/>
        <v>19917231.184360646</v>
      </c>
      <c r="AA44" s="582">
        <f t="shared" si="12"/>
        <v>20685364.12507049</v>
      </c>
      <c r="AB44" s="582">
        <f t="shared" si="12"/>
        <v>21557721.348049998</v>
      </c>
      <c r="AC44" s="582">
        <f t="shared" si="12"/>
        <v>22498895.591717657</v>
      </c>
      <c r="AD44" s="582">
        <f t="shared" si="12"/>
        <v>4507769.581961127</v>
      </c>
    </row>
    <row r="45" spans="1:30">
      <c r="E45" s="37"/>
      <c r="F45" s="583" t="s">
        <v>901</v>
      </c>
      <c r="G45" s="584">
        <f>SUM(G19:G21,G26,G30,G33:G36,G41)</f>
        <v>25063196.537639797</v>
      </c>
      <c r="H45" s="584">
        <f t="shared" ref="H45:AD45" si="13">SUM(H14,H19:H21,H26,H30,H33:H36,H41)</f>
        <v>78036737.116697103</v>
      </c>
      <c r="I45" s="579">
        <f t="shared" si="13"/>
        <v>32580</v>
      </c>
      <c r="J45" s="579">
        <f t="shared" si="13"/>
        <v>77954.932000000001</v>
      </c>
      <c r="K45" s="579">
        <f t="shared" si="13"/>
        <v>80293.579960000003</v>
      </c>
      <c r="L45" s="579">
        <f t="shared" si="13"/>
        <v>813630.00455878652</v>
      </c>
      <c r="M45" s="579">
        <f>SUM(M14,M19:M21,M26,M30,M33:M36,M41)</f>
        <v>1964877.4762758007</v>
      </c>
      <c r="N45" s="579">
        <f t="shared" si="13"/>
        <v>2139981.6831892226</v>
      </c>
      <c r="O45" s="579">
        <f t="shared" si="13"/>
        <v>2338106.3803563048</v>
      </c>
      <c r="P45" s="579">
        <f t="shared" si="13"/>
        <v>3627937.6861876813</v>
      </c>
      <c r="Q45" s="579">
        <f t="shared" si="13"/>
        <v>3771456.1781395813</v>
      </c>
      <c r="R45" s="579">
        <f t="shared" si="13"/>
        <v>3957279.3201213949</v>
      </c>
      <c r="S45" s="579">
        <f t="shared" si="13"/>
        <v>4210334.6293687671</v>
      </c>
      <c r="T45" s="579">
        <f t="shared" si="13"/>
        <v>4391052.7497416362</v>
      </c>
      <c r="U45" s="579">
        <f t="shared" si="13"/>
        <v>4578799.223515016</v>
      </c>
      <c r="V45" s="579">
        <f t="shared" si="13"/>
        <v>4773824.0638004858</v>
      </c>
      <c r="W45" s="579">
        <f t="shared" si="13"/>
        <v>4976537.1287797866</v>
      </c>
      <c r="X45" s="579">
        <f t="shared" si="13"/>
        <v>5187088.5107722022</v>
      </c>
      <c r="Y45" s="579">
        <f t="shared" si="13"/>
        <v>5405938.9407251095</v>
      </c>
      <c r="Z45" s="579">
        <f t="shared" si="13"/>
        <v>5633230.2087405873</v>
      </c>
      <c r="AA45" s="579">
        <f t="shared" si="13"/>
        <v>5869475.6012752755</v>
      </c>
      <c r="AB45" s="579">
        <f t="shared" si="13"/>
        <v>6147859.2939550094</v>
      </c>
      <c r="AC45" s="579">
        <f t="shared" si="13"/>
        <v>6437232.3815572774</v>
      </c>
      <c r="AD45" s="579">
        <f t="shared" si="13"/>
        <v>1621267.1436771918</v>
      </c>
    </row>
    <row r="46" spans="1:30">
      <c r="F46" s="585" t="s">
        <v>902</v>
      </c>
      <c r="G46" s="586">
        <f>G44-G45</f>
        <v>101318749.91574772</v>
      </c>
      <c r="H46" s="586">
        <f t="shared" ref="H46:AD46" si="14">H44-H45</f>
        <v>202830951.25001457</v>
      </c>
      <c r="I46" s="587">
        <f t="shared" si="14"/>
        <v>328884.74949076923</v>
      </c>
      <c r="J46" s="587">
        <f t="shared" si="14"/>
        <v>419923.81317549257</v>
      </c>
      <c r="K46" s="587">
        <f t="shared" si="14"/>
        <v>945114.83135182038</v>
      </c>
      <c r="L46" s="587">
        <f t="shared" si="14"/>
        <v>2429512.8164157756</v>
      </c>
      <c r="M46" s="587">
        <f t="shared" si="14"/>
        <v>6225263.4635321656</v>
      </c>
      <c r="N46" s="587">
        <f t="shared" si="14"/>
        <v>6360716.438897172</v>
      </c>
      <c r="O46" s="587">
        <f t="shared" si="14"/>
        <v>6516474.2251543403</v>
      </c>
      <c r="P46" s="587">
        <f t="shared" si="14"/>
        <v>9126478.2411252502</v>
      </c>
      <c r="Q46" s="587">
        <f t="shared" si="14"/>
        <v>10181065.31725999</v>
      </c>
      <c r="R46" s="587">
        <f t="shared" si="14"/>
        <v>10583688.338130785</v>
      </c>
      <c r="S46" s="587">
        <f t="shared" si="14"/>
        <v>11002476.765118225</v>
      </c>
      <c r="T46" s="587">
        <f t="shared" si="14"/>
        <v>11438377.155016029</v>
      </c>
      <c r="U46" s="587">
        <f t="shared" si="14"/>
        <v>11892413.402614634</v>
      </c>
      <c r="V46" s="587">
        <f t="shared" si="14"/>
        <v>12364536.115377938</v>
      </c>
      <c r="W46" s="587">
        <f t="shared" si="14"/>
        <v>12672517.458399095</v>
      </c>
      <c r="X46" s="587">
        <f t="shared" si="14"/>
        <v>13179100.570427474</v>
      </c>
      <c r="Y46" s="587">
        <f t="shared" si="14"/>
        <v>13706490.346573077</v>
      </c>
      <c r="Z46" s="587">
        <f t="shared" si="14"/>
        <v>14284000.975620057</v>
      </c>
      <c r="AA46" s="587">
        <f t="shared" si="14"/>
        <v>14815888.523795214</v>
      </c>
      <c r="AB46" s="587">
        <f t="shared" si="14"/>
        <v>15409862.054094989</v>
      </c>
      <c r="AC46" s="587">
        <f t="shared" si="14"/>
        <v>16061663.210160378</v>
      </c>
      <c r="AD46" s="587">
        <f t="shared" si="14"/>
        <v>2886502.4382839352</v>
      </c>
    </row>
    <row r="47" spans="1:30">
      <c r="F47" s="37"/>
      <c r="G47" s="588"/>
      <c r="H47" s="588"/>
      <c r="I47" s="355"/>
      <c r="J47" s="355"/>
      <c r="K47" s="355"/>
      <c r="L47" s="355"/>
      <c r="M47" s="355"/>
      <c r="N47" s="355"/>
      <c r="O47" s="355"/>
      <c r="P47" s="355"/>
      <c r="Q47" s="355"/>
      <c r="R47" s="355"/>
      <c r="S47" s="355"/>
      <c r="T47" s="355"/>
      <c r="U47" s="355"/>
      <c r="V47" s="355"/>
      <c r="W47" s="355"/>
      <c r="X47" s="355"/>
      <c r="Y47" s="355"/>
      <c r="Z47" s="355"/>
      <c r="AA47" s="355"/>
      <c r="AB47" s="355"/>
      <c r="AC47" s="355"/>
      <c r="AD47" s="355"/>
    </row>
    <row r="48" spans="1:30">
      <c r="E48" t="s">
        <v>903</v>
      </c>
      <c r="F48" s="585" t="s">
        <v>904</v>
      </c>
      <c r="G48" s="586">
        <v>90363790.632169619</v>
      </c>
      <c r="H48" s="586">
        <v>208795312.09771231</v>
      </c>
      <c r="I48" s="355"/>
      <c r="J48" s="355"/>
      <c r="K48" s="355"/>
      <c r="L48" s="355"/>
      <c r="M48" s="355"/>
      <c r="N48" s="355"/>
      <c r="O48" s="355"/>
      <c r="P48" s="355"/>
      <c r="Q48" s="355"/>
      <c r="R48" s="355"/>
      <c r="S48" s="355"/>
      <c r="T48" s="355"/>
      <c r="U48" s="355"/>
      <c r="V48" s="355"/>
      <c r="W48" s="355"/>
      <c r="X48" s="355"/>
      <c r="Y48" s="355"/>
      <c r="Z48" s="355"/>
      <c r="AA48" s="355"/>
      <c r="AB48" s="355"/>
      <c r="AC48" s="355"/>
      <c r="AD48" s="355"/>
    </row>
    <row r="50" spans="6:19">
      <c r="F50" s="583" t="s">
        <v>905</v>
      </c>
      <c r="G50" s="584">
        <f>G44+G48</f>
        <v>216745737.08555713</v>
      </c>
      <c r="H50" s="584">
        <f>H44+H48</f>
        <v>489663000.46442401</v>
      </c>
    </row>
    <row r="52" spans="6:19">
      <c r="G52" s="355"/>
    </row>
    <row r="54" spans="6:19">
      <c r="G54" s="355">
        <f>SUM(G14,G19,G20,G21,G26,G30,G33:G36,G41)</f>
        <v>35416113.902249433</v>
      </c>
      <c r="H54" s="355">
        <f t="shared" ref="H54:R54" si="15">SUM(H14,H19,H20,H21,H26,H30,H33:H36,H41)</f>
        <v>78036737.116697103</v>
      </c>
      <c r="I54" s="355">
        <f t="shared" si="15"/>
        <v>32580</v>
      </c>
      <c r="J54" s="355">
        <f t="shared" si="15"/>
        <v>77954.932000000001</v>
      </c>
      <c r="K54" s="355">
        <f t="shared" si="15"/>
        <v>80293.579960000003</v>
      </c>
      <c r="L54" s="355">
        <f>SUM(L14,L19,L20,L21,L26,L30,L33:L36,L41)</f>
        <v>813630.00455878652</v>
      </c>
      <c r="M54" s="355">
        <f t="shared" si="15"/>
        <v>1964877.4762758007</v>
      </c>
      <c r="N54" s="355">
        <f t="shared" si="15"/>
        <v>2139981.6831892226</v>
      </c>
      <c r="O54" s="355">
        <f t="shared" si="15"/>
        <v>2338106.3803563048</v>
      </c>
      <c r="P54" s="355">
        <f t="shared" si="15"/>
        <v>3627937.6861876813</v>
      </c>
      <c r="Q54" s="355">
        <f t="shared" si="15"/>
        <v>3771456.1781395813</v>
      </c>
      <c r="R54" s="355">
        <f t="shared" si="15"/>
        <v>3957279.3201213949</v>
      </c>
      <c r="S54" s="355">
        <f t="shared" ref="S54" si="16">SUM(S14,S19,S20,S21,S26,S30,S33:S36,S41)</f>
        <v>4210334.6293687671</v>
      </c>
    </row>
    <row r="55" spans="6:19">
      <c r="G55" s="355">
        <f>G44-G54</f>
        <v>90965832.551138073</v>
      </c>
      <c r="H55" s="355">
        <f t="shared" ref="H55:R55" si="17">H44-H54</f>
        <v>202830951.25001457</v>
      </c>
      <c r="I55" s="355">
        <f t="shared" si="17"/>
        <v>328884.74949076923</v>
      </c>
      <c r="J55" s="355">
        <f t="shared" si="17"/>
        <v>419923.81317549257</v>
      </c>
      <c r="K55" s="355">
        <f t="shared" si="17"/>
        <v>945114.83135182038</v>
      </c>
      <c r="L55" s="355">
        <f>L44-L54</f>
        <v>2429512.8164157756</v>
      </c>
      <c r="M55" s="355">
        <f t="shared" si="17"/>
        <v>6225263.4635321656</v>
      </c>
      <c r="N55" s="355">
        <f t="shared" si="17"/>
        <v>6360716.438897172</v>
      </c>
      <c r="O55" s="356">
        <f>O44-O54</f>
        <v>6516474.2251543403</v>
      </c>
      <c r="P55" s="356">
        <f t="shared" si="17"/>
        <v>9126478.2411252502</v>
      </c>
      <c r="Q55" s="355">
        <f t="shared" si="17"/>
        <v>10181065.31725999</v>
      </c>
      <c r="R55" s="356">
        <f t="shared" si="17"/>
        <v>10583688.338130785</v>
      </c>
      <c r="S55" s="356">
        <f t="shared" ref="S55" si="18">S44-S54</f>
        <v>11002476.765118225</v>
      </c>
    </row>
    <row r="56" spans="6:19">
      <c r="O56" s="589" t="s">
        <v>723</v>
      </c>
      <c r="P56" s="589" t="s">
        <v>724</v>
      </c>
      <c r="R56" s="589" t="s">
        <v>725</v>
      </c>
      <c r="S56" s="589" t="s">
        <v>909</v>
      </c>
    </row>
  </sheetData>
  <pageMargins left="0.7" right="0.7" top="0.75" bottom="0.75" header="0.3" footer="0.3"/>
  <pageSetup scale="66" orientation="landscape" r:id="rId1"/>
  <headerFooter>
    <oddHeader>&amp;LJANUARY 31, 2025 COMPLIANCE FILING
DOCKET NOS. UE-240006 / UG-240007&amp;CAttachment 4 - AMI O&amp;M Offset</oddHeader>
    <oddFooter>&amp;LAVISTA
&amp;F
&amp;A&amp;RPage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7">
    <tabColor rgb="FF09FF78"/>
  </sheetPr>
  <dimension ref="A1:AA79"/>
  <sheetViews>
    <sheetView workbookViewId="0"/>
  </sheetViews>
  <sheetFormatPr defaultColWidth="9.140625" defaultRowHeight="15"/>
  <cols>
    <col min="1" max="1" width="29.140625" bestFit="1" customWidth="1"/>
    <col min="2" max="2" width="14.7109375" customWidth="1"/>
    <col min="3" max="3" width="14.5703125" bestFit="1" customWidth="1"/>
    <col min="4" max="4" width="16.28515625" bestFit="1" customWidth="1"/>
    <col min="5" max="6" width="12.5703125" customWidth="1"/>
    <col min="7" max="7" width="14.28515625" bestFit="1" customWidth="1"/>
    <col min="8" max="8" width="16" customWidth="1"/>
    <col min="9" max="9" width="17.42578125" bestFit="1" customWidth="1"/>
    <col min="10" max="10" width="17" bestFit="1" customWidth="1"/>
    <col min="11" max="12" width="15.85546875" bestFit="1" customWidth="1"/>
    <col min="13" max="13" width="15.7109375" bestFit="1" customWidth="1"/>
    <col min="14" max="14" width="15.85546875" bestFit="1" customWidth="1"/>
    <col min="15" max="22" width="15.7109375" bestFit="1" customWidth="1"/>
    <col min="23" max="23" width="16.28515625" bestFit="1" customWidth="1"/>
  </cols>
  <sheetData>
    <row r="1" spans="1:27">
      <c r="A1" s="9" t="s">
        <v>55</v>
      </c>
    </row>
    <row r="2" spans="1:27">
      <c r="A2" t="s">
        <v>453</v>
      </c>
      <c r="F2">
        <v>0.3</v>
      </c>
      <c r="G2">
        <v>0.3</v>
      </c>
      <c r="H2">
        <v>0.3</v>
      </c>
      <c r="I2">
        <v>0.3</v>
      </c>
      <c r="J2">
        <v>0.3</v>
      </c>
      <c r="K2">
        <v>0.4</v>
      </c>
      <c r="L2">
        <v>0.4</v>
      </c>
      <c r="M2">
        <v>0.4</v>
      </c>
      <c r="N2">
        <v>0.4</v>
      </c>
      <c r="O2">
        <v>0.4</v>
      </c>
      <c r="P2">
        <v>0.4</v>
      </c>
      <c r="Q2">
        <v>0.4</v>
      </c>
      <c r="R2">
        <v>0.4</v>
      </c>
      <c r="S2">
        <v>0.4</v>
      </c>
      <c r="T2">
        <v>0.4</v>
      </c>
      <c r="U2">
        <v>0.4</v>
      </c>
      <c r="V2">
        <v>0.4</v>
      </c>
      <c r="W2">
        <v>0.4</v>
      </c>
      <c r="X2">
        <v>0.4</v>
      </c>
      <c r="Y2">
        <v>0.4</v>
      </c>
      <c r="Z2">
        <v>0.4</v>
      </c>
      <c r="AA2">
        <v>0.4</v>
      </c>
    </row>
    <row r="3" spans="1:27">
      <c r="B3" t="s">
        <v>4</v>
      </c>
      <c r="C3" s="19">
        <v>2016</v>
      </c>
      <c r="D3" s="19">
        <v>2017</v>
      </c>
      <c r="E3" s="19">
        <v>2018</v>
      </c>
      <c r="F3" s="19">
        <v>2019</v>
      </c>
      <c r="G3" s="19">
        <v>2020</v>
      </c>
      <c r="H3" s="19">
        <v>2021</v>
      </c>
      <c r="I3" s="19">
        <v>2022</v>
      </c>
      <c r="J3" s="19">
        <v>2023</v>
      </c>
      <c r="K3" s="19">
        <v>2024</v>
      </c>
      <c r="L3" s="19">
        <v>2025</v>
      </c>
      <c r="M3" s="19">
        <v>2026</v>
      </c>
      <c r="N3" s="19">
        <v>2027</v>
      </c>
      <c r="O3" s="19">
        <v>2028</v>
      </c>
      <c r="P3" s="19">
        <v>2029</v>
      </c>
      <c r="Q3" s="19">
        <v>2030</v>
      </c>
      <c r="R3" s="19">
        <v>2031</v>
      </c>
      <c r="S3" s="19">
        <v>2032</v>
      </c>
      <c r="T3" s="19">
        <v>2033</v>
      </c>
      <c r="U3" s="19">
        <v>2034</v>
      </c>
      <c r="V3" s="19">
        <v>2035</v>
      </c>
      <c r="W3" s="19">
        <v>2036</v>
      </c>
      <c r="X3" s="19">
        <v>2037</v>
      </c>
      <c r="Y3" s="19">
        <v>2038</v>
      </c>
      <c r="Z3" s="19">
        <v>2039</v>
      </c>
      <c r="AA3" s="19">
        <v>2040</v>
      </c>
    </row>
    <row r="4" spans="1:27">
      <c r="A4" s="184" t="s">
        <v>454</v>
      </c>
      <c r="B4" s="13">
        <v>11058455.855448365</v>
      </c>
      <c r="C4" s="13">
        <v>0</v>
      </c>
      <c r="D4" s="13">
        <v>0</v>
      </c>
      <c r="E4" s="13">
        <v>0</v>
      </c>
      <c r="F4" s="13">
        <v>310551.03385759273</v>
      </c>
      <c r="G4" s="13">
        <v>808985.44319902896</v>
      </c>
      <c r="H4" s="18">
        <v>842962.83181338804</v>
      </c>
      <c r="I4" s="18">
        <v>878367.2707495502</v>
      </c>
      <c r="J4" s="18">
        <v>1220344.9281613748</v>
      </c>
      <c r="K4" s="18">
        <v>1271599.4151441522</v>
      </c>
      <c r="L4" s="18">
        <v>1325006.5905802064</v>
      </c>
      <c r="M4" s="18">
        <v>1380656.8673845748</v>
      </c>
      <c r="N4" s="18">
        <v>1438644.4558147267</v>
      </c>
      <c r="O4" s="18">
        <v>1499067.522958945</v>
      </c>
      <c r="P4" s="18">
        <v>1562028.3589232205</v>
      </c>
      <c r="Q4" s="18">
        <v>1627633.5499979956</v>
      </c>
      <c r="R4" s="18">
        <v>1695994.1590979111</v>
      </c>
      <c r="S4" s="18">
        <v>1767225.9137800231</v>
      </c>
      <c r="T4" s="18">
        <v>1841449.4021587837</v>
      </c>
      <c r="U4" s="18">
        <v>1918790.2770494523</v>
      </c>
      <c r="V4" s="18">
        <v>1999379.468685529</v>
      </c>
      <c r="W4" s="18">
        <v>2083353.4063703208</v>
      </c>
      <c r="X4">
        <v>0</v>
      </c>
      <c r="Y4">
        <v>0</v>
      </c>
      <c r="Z4">
        <v>0</v>
      </c>
      <c r="AA4">
        <v>0</v>
      </c>
    </row>
    <row r="5" spans="1:27">
      <c r="A5" s="184" t="s">
        <v>455</v>
      </c>
      <c r="B5" s="13">
        <v>26740173.177853823</v>
      </c>
      <c r="C5" s="13">
        <v>0</v>
      </c>
      <c r="D5" s="13">
        <v>0</v>
      </c>
      <c r="E5" s="13">
        <v>0</v>
      </c>
      <c r="F5" s="13">
        <v>750935.6219767523</v>
      </c>
      <c r="G5" s="13">
        <v>1956187.2952494393</v>
      </c>
      <c r="H5" s="18">
        <v>2038347.1616499154</v>
      </c>
      <c r="I5" s="18">
        <v>2123957.7424392118</v>
      </c>
      <c r="J5" s="18">
        <v>2950885.2901622108</v>
      </c>
      <c r="K5" s="18">
        <v>3074822.472349023</v>
      </c>
      <c r="L5" s="18">
        <v>3203965.0161876814</v>
      </c>
      <c r="M5" s="18">
        <v>3338531.5468675634</v>
      </c>
      <c r="N5" s="18">
        <v>3478749.8718360006</v>
      </c>
      <c r="O5" s="18">
        <v>3624857.3664531121</v>
      </c>
      <c r="P5" s="18">
        <v>3777101.3758441419</v>
      </c>
      <c r="Q5" s="18">
        <v>3935739.6336295954</v>
      </c>
      <c r="R5" s="18">
        <v>4101040.6982420376</v>
      </c>
      <c r="S5" s="18">
        <v>4273284.4075682024</v>
      </c>
      <c r="T5" s="18">
        <v>4452762.3526860662</v>
      </c>
      <c r="U5" s="18">
        <v>4639778.37149888</v>
      </c>
      <c r="V5" s="18">
        <v>4834649.0631018318</v>
      </c>
      <c r="W5" s="18">
        <v>5037704.323752108</v>
      </c>
      <c r="X5">
        <v>0</v>
      </c>
      <c r="Y5">
        <v>0</v>
      </c>
      <c r="Z5">
        <v>0</v>
      </c>
      <c r="AA5">
        <v>0</v>
      </c>
    </row>
    <row r="6" spans="1:27">
      <c r="A6" s="184" t="s">
        <v>456</v>
      </c>
      <c r="B6" s="13">
        <v>11449965.263187455</v>
      </c>
      <c r="C6" s="13">
        <v>0</v>
      </c>
      <c r="D6" s="13">
        <v>0</v>
      </c>
      <c r="E6" s="13">
        <v>0</v>
      </c>
      <c r="F6" s="13">
        <v>310015.88592277287</v>
      </c>
      <c r="G6" s="13">
        <v>810051.72295611247</v>
      </c>
      <c r="H6" s="18">
        <v>846918.96208596427</v>
      </c>
      <c r="I6" s="18">
        <v>885370.84229839547</v>
      </c>
      <c r="J6" s="18">
        <v>1233442.3888544089</v>
      </c>
      <c r="K6" s="18">
        <v>1289673.147778522</v>
      </c>
      <c r="L6" s="18">
        <v>1349584.7964898467</v>
      </c>
      <c r="M6" s="18">
        <v>1412343.993944257</v>
      </c>
      <c r="N6" s="18">
        <v>1478819.083766639</v>
      </c>
      <c r="O6" s="18">
        <v>1550010.7595509905</v>
      </c>
      <c r="P6" s="18">
        <v>1624173.0529010231</v>
      </c>
      <c r="Q6" s="18">
        <v>1702249.130083326</v>
      </c>
      <c r="R6" s="18">
        <v>1783444.046661437</v>
      </c>
      <c r="S6" s="18">
        <v>1869426.0783624898</v>
      </c>
      <c r="T6" s="18">
        <v>1959403.5725036599</v>
      </c>
      <c r="U6" s="18">
        <v>2028615.065300256</v>
      </c>
      <c r="V6" s="18">
        <v>2127726.4849813748</v>
      </c>
      <c r="W6" s="18">
        <v>2316149.3916600114</v>
      </c>
      <c r="X6">
        <v>0</v>
      </c>
      <c r="Y6">
        <v>0</v>
      </c>
      <c r="Z6">
        <v>0</v>
      </c>
      <c r="AA6">
        <v>0</v>
      </c>
    </row>
    <row r="7" spans="1:27">
      <c r="A7" t="s">
        <v>457</v>
      </c>
      <c r="B7" s="13">
        <v>0</v>
      </c>
      <c r="C7" s="13">
        <v>0</v>
      </c>
      <c r="D7" s="13">
        <v>0</v>
      </c>
      <c r="E7" s="13">
        <v>0</v>
      </c>
      <c r="F7" s="13">
        <v>0</v>
      </c>
      <c r="G7" s="13">
        <v>0</v>
      </c>
      <c r="H7" s="18">
        <v>0</v>
      </c>
      <c r="I7" s="18">
        <v>0</v>
      </c>
      <c r="J7" s="18">
        <v>0</v>
      </c>
      <c r="K7" s="18">
        <v>0</v>
      </c>
      <c r="L7" s="18">
        <v>0</v>
      </c>
      <c r="M7" s="18">
        <v>0</v>
      </c>
      <c r="N7" s="18">
        <v>0</v>
      </c>
      <c r="O7" s="18">
        <v>0</v>
      </c>
      <c r="P7" s="18">
        <v>0</v>
      </c>
      <c r="Q7" s="18">
        <v>0</v>
      </c>
      <c r="R7" s="18">
        <v>0</v>
      </c>
      <c r="S7" s="18">
        <v>0</v>
      </c>
      <c r="T7" s="18">
        <v>0</v>
      </c>
      <c r="U7" s="18">
        <v>0</v>
      </c>
      <c r="V7" s="18">
        <v>0</v>
      </c>
      <c r="W7" s="18">
        <v>0</v>
      </c>
      <c r="X7">
        <v>0</v>
      </c>
      <c r="Y7">
        <v>0</v>
      </c>
      <c r="Z7">
        <v>0</v>
      </c>
      <c r="AA7">
        <v>0</v>
      </c>
    </row>
    <row r="8" spans="1:27">
      <c r="A8" t="s">
        <v>458</v>
      </c>
      <c r="B8" s="13">
        <v>0</v>
      </c>
      <c r="C8" s="13">
        <v>0</v>
      </c>
      <c r="D8" s="13">
        <v>0</v>
      </c>
      <c r="E8" s="13">
        <v>0</v>
      </c>
      <c r="F8" s="13">
        <v>0</v>
      </c>
      <c r="G8" s="13">
        <v>0</v>
      </c>
      <c r="H8" s="18">
        <v>0</v>
      </c>
      <c r="I8" s="18">
        <v>0</v>
      </c>
      <c r="J8" s="18">
        <v>0</v>
      </c>
      <c r="K8" s="18">
        <v>0</v>
      </c>
      <c r="L8" s="18">
        <v>0</v>
      </c>
      <c r="M8" s="18">
        <v>0</v>
      </c>
      <c r="N8" s="18">
        <v>0</v>
      </c>
      <c r="O8" s="18">
        <v>0</v>
      </c>
      <c r="P8" s="18">
        <v>0</v>
      </c>
      <c r="Q8" s="18">
        <v>0</v>
      </c>
      <c r="R8" s="18">
        <v>0</v>
      </c>
      <c r="S8" s="18">
        <v>0</v>
      </c>
      <c r="T8" s="18">
        <v>0</v>
      </c>
      <c r="U8" s="18">
        <v>0</v>
      </c>
      <c r="V8" s="18">
        <v>0</v>
      </c>
      <c r="W8" s="18">
        <v>0</v>
      </c>
      <c r="X8">
        <v>0</v>
      </c>
      <c r="Y8">
        <v>0</v>
      </c>
      <c r="Z8">
        <v>0</v>
      </c>
      <c r="AA8">
        <v>0</v>
      </c>
    </row>
    <row r="9" spans="1:27">
      <c r="A9" t="s">
        <v>459</v>
      </c>
      <c r="B9" s="13">
        <v>-828689.75685778563</v>
      </c>
      <c r="C9" s="13">
        <v>0</v>
      </c>
      <c r="D9" s="13">
        <v>0</v>
      </c>
      <c r="E9" s="13">
        <v>0</v>
      </c>
      <c r="F9" s="13">
        <v>-32812.5</v>
      </c>
      <c r="G9" s="13">
        <v>-83125</v>
      </c>
      <c r="H9" s="18">
        <v>-95000</v>
      </c>
      <c r="I9" s="18">
        <v>-100000</v>
      </c>
      <c r="J9" s="18">
        <v>-100000</v>
      </c>
      <c r="K9" s="18">
        <v>-100000</v>
      </c>
      <c r="L9" s="18">
        <v>-100000</v>
      </c>
      <c r="M9" s="18">
        <v>-100000</v>
      </c>
      <c r="N9" s="18">
        <v>-100000</v>
      </c>
      <c r="O9" s="18">
        <v>-100000</v>
      </c>
      <c r="P9" s="18">
        <v>-100000</v>
      </c>
      <c r="Q9" s="18">
        <v>-100000</v>
      </c>
      <c r="R9" s="18">
        <v>-100000</v>
      </c>
      <c r="S9" s="18">
        <v>-100000</v>
      </c>
      <c r="T9" s="18">
        <v>-100000</v>
      </c>
      <c r="U9" s="18">
        <v>-100000</v>
      </c>
      <c r="V9" s="18">
        <v>-100000</v>
      </c>
      <c r="W9" s="18">
        <v>-200000</v>
      </c>
      <c r="X9">
        <v>0</v>
      </c>
      <c r="Y9">
        <v>0</v>
      </c>
      <c r="Z9">
        <v>0</v>
      </c>
      <c r="AA9">
        <v>0</v>
      </c>
    </row>
    <row r="10" spans="1:27">
      <c r="A10" t="s">
        <v>460</v>
      </c>
      <c r="B10" s="13">
        <v>-2904385.8703221255</v>
      </c>
      <c r="C10" s="13">
        <v>0</v>
      </c>
      <c r="D10" s="13">
        <v>0</v>
      </c>
      <c r="E10" s="13">
        <v>0</v>
      </c>
      <c r="F10" s="13">
        <v>-83410.597519200004</v>
      </c>
      <c r="G10" s="13">
        <v>-217646.05246009922</v>
      </c>
      <c r="H10" s="18">
        <v>-256200.49603874533</v>
      </c>
      <c r="I10" s="18">
        <v>-277775.27465253446</v>
      </c>
      <c r="J10" s="18">
        <v>-286108.53289211052</v>
      </c>
      <c r="K10" s="18">
        <v>-294691.78887887386</v>
      </c>
      <c r="L10" s="18">
        <v>-303532.54254524008</v>
      </c>
      <c r="M10" s="18">
        <v>-312638.51882159727</v>
      </c>
      <c r="N10" s="18">
        <v>-322017.6743862452</v>
      </c>
      <c r="O10" s="18">
        <v>-331678.20461783255</v>
      </c>
      <c r="P10" s="18">
        <v>-341628.55075636756</v>
      </c>
      <c r="Q10" s="18">
        <v>-351877.40727905859</v>
      </c>
      <c r="R10" s="18">
        <v>-362433.72949743038</v>
      </c>
      <c r="S10" s="18">
        <v>-373306.7413823533</v>
      </c>
      <c r="T10" s="18">
        <v>-384505.94362382393</v>
      </c>
      <c r="U10" s="18">
        <v>-396041.12193253863</v>
      </c>
      <c r="V10" s="18">
        <v>-407922.35559051478</v>
      </c>
      <c r="W10" s="18">
        <v>-1680640.1050329208</v>
      </c>
      <c r="X10">
        <v>0</v>
      </c>
      <c r="Y10">
        <v>0</v>
      </c>
      <c r="Z10">
        <v>0</v>
      </c>
      <c r="AA10">
        <v>0</v>
      </c>
    </row>
    <row r="11" spans="1:27">
      <c r="A11" s="184" t="s">
        <v>30</v>
      </c>
      <c r="B11" s="14">
        <v>18494601.498745929</v>
      </c>
      <c r="C11" s="14">
        <v>0</v>
      </c>
      <c r="D11" s="14">
        <v>0</v>
      </c>
      <c r="E11" s="14">
        <v>0</v>
      </c>
      <c r="F11" s="93">
        <v>411450.76252713538</v>
      </c>
      <c r="G11" s="14">
        <v>1072567.3384213741</v>
      </c>
      <c r="H11" s="14">
        <v>1118468.6866647801</v>
      </c>
      <c r="I11" s="14">
        <v>1166308.7566461472</v>
      </c>
      <c r="J11" s="14">
        <v>1621401.7821533983</v>
      </c>
      <c r="K11" s="14">
        <v>2254438.0141086793</v>
      </c>
      <c r="L11" s="14">
        <v>2351422.5613030936</v>
      </c>
      <c r="M11" s="14">
        <v>2452612.9632785581</v>
      </c>
      <c r="N11" s="14">
        <v>2558485.3645669469</v>
      </c>
      <c r="O11" s="14">
        <v>2669574.259585219</v>
      </c>
      <c r="P11" s="14">
        <v>2785321.1150673544</v>
      </c>
      <c r="Q11" s="14">
        <v>2906248.9254843667</v>
      </c>
      <c r="R11" s="14">
        <v>3032191.5616005543</v>
      </c>
      <c r="S11" s="14">
        <v>3163974.5598842865</v>
      </c>
      <c r="T11" s="14">
        <v>3301446.130939404</v>
      </c>
      <c r="U11" s="14">
        <v>3434873.4855394349</v>
      </c>
      <c r="V11" s="14">
        <v>3584702.0067074941</v>
      </c>
      <c r="W11" s="14">
        <v>3774882.8487129766</v>
      </c>
      <c r="X11" s="14">
        <v>0</v>
      </c>
      <c r="Y11" s="14">
        <v>0</v>
      </c>
      <c r="Z11" s="14">
        <v>0</v>
      </c>
      <c r="AA11" s="14">
        <v>0</v>
      </c>
    </row>
    <row r="12" spans="1:27" ht="15.75" thickBot="1"/>
    <row r="13" spans="1:27" ht="45.75" thickBot="1">
      <c r="A13" s="175" t="s">
        <v>177</v>
      </c>
      <c r="B13" s="176" t="s">
        <v>454</v>
      </c>
      <c r="C13" s="177" t="s">
        <v>455</v>
      </c>
      <c r="D13" s="177" t="s">
        <v>456</v>
      </c>
      <c r="E13" s="178" t="s">
        <v>457</v>
      </c>
      <c r="F13" s="177" t="s">
        <v>458</v>
      </c>
      <c r="G13" s="177" t="s">
        <v>459</v>
      </c>
      <c r="H13" s="179" t="s">
        <v>460</v>
      </c>
      <c r="I13" s="176" t="s">
        <v>454</v>
      </c>
      <c r="J13" s="177" t="s">
        <v>455</v>
      </c>
      <c r="K13" s="177" t="s">
        <v>456</v>
      </c>
      <c r="L13" s="178" t="s">
        <v>457</v>
      </c>
      <c r="M13" s="177" t="s">
        <v>458</v>
      </c>
      <c r="N13" s="177" t="s">
        <v>459</v>
      </c>
      <c r="O13" s="179" t="s">
        <v>460</v>
      </c>
      <c r="P13" t="s">
        <v>454</v>
      </c>
      <c r="Q13" t="s">
        <v>455</v>
      </c>
      <c r="R13" t="s">
        <v>456</v>
      </c>
      <c r="S13" t="s">
        <v>457</v>
      </c>
      <c r="T13" t="s">
        <v>458</v>
      </c>
      <c r="U13" t="s">
        <v>459</v>
      </c>
      <c r="V13" t="s">
        <v>460</v>
      </c>
    </row>
    <row r="14" spans="1:27">
      <c r="A14" s="180">
        <v>2016</v>
      </c>
      <c r="B14" s="19">
        <v>0</v>
      </c>
      <c r="C14" s="19">
        <v>0</v>
      </c>
      <c r="D14" s="19">
        <v>0</v>
      </c>
      <c r="E14" s="181">
        <v>0</v>
      </c>
      <c r="F14" s="19">
        <v>1</v>
      </c>
      <c r="G14" s="19">
        <v>1</v>
      </c>
      <c r="H14" s="19">
        <v>0</v>
      </c>
      <c r="I14" s="13">
        <v>0</v>
      </c>
      <c r="J14" s="13">
        <v>0</v>
      </c>
      <c r="K14" s="13">
        <v>0</v>
      </c>
      <c r="L14" s="13">
        <v>0</v>
      </c>
      <c r="M14" s="13">
        <v>-599028.47999999998</v>
      </c>
      <c r="N14" s="13">
        <v>-580000</v>
      </c>
      <c r="O14" s="13">
        <v>0</v>
      </c>
      <c r="P14" s="14">
        <v>0</v>
      </c>
      <c r="Q14" s="14">
        <v>0</v>
      </c>
      <c r="R14" s="14">
        <v>0</v>
      </c>
      <c r="S14" s="14">
        <v>0</v>
      </c>
      <c r="T14" s="14">
        <v>-599028.47999999998</v>
      </c>
      <c r="U14" s="14">
        <v>-580000</v>
      </c>
      <c r="V14" s="14">
        <v>0</v>
      </c>
    </row>
    <row r="15" spans="1:27">
      <c r="A15" s="182">
        <v>2017</v>
      </c>
      <c r="B15" s="19">
        <v>0</v>
      </c>
      <c r="C15" s="19">
        <v>0</v>
      </c>
      <c r="D15" s="19">
        <v>0</v>
      </c>
      <c r="E15" s="19">
        <v>0</v>
      </c>
      <c r="F15" s="19">
        <v>0</v>
      </c>
      <c r="G15" s="19">
        <v>0</v>
      </c>
      <c r="H15" s="19">
        <v>0</v>
      </c>
      <c r="I15" s="13">
        <v>0</v>
      </c>
      <c r="J15" s="13">
        <v>0</v>
      </c>
      <c r="K15" s="13">
        <v>0</v>
      </c>
      <c r="L15" s="13">
        <v>0</v>
      </c>
      <c r="M15" s="13">
        <v>0</v>
      </c>
      <c r="N15" s="13">
        <v>-100000</v>
      </c>
      <c r="O15" s="13">
        <v>-239611.39199999999</v>
      </c>
      <c r="P15" s="14">
        <v>0</v>
      </c>
      <c r="Q15" s="14">
        <v>0</v>
      </c>
      <c r="R15" s="14">
        <v>0</v>
      </c>
      <c r="S15" s="14">
        <v>0</v>
      </c>
      <c r="T15" s="14">
        <v>0</v>
      </c>
      <c r="U15" s="14">
        <v>-100000</v>
      </c>
      <c r="V15" s="14">
        <v>-239611.39199999999</v>
      </c>
    </row>
    <row r="16" spans="1:27">
      <c r="A16" s="182">
        <v>2018</v>
      </c>
      <c r="B16" s="19">
        <v>0</v>
      </c>
      <c r="C16" s="19">
        <v>0</v>
      </c>
      <c r="D16" s="19">
        <v>0</v>
      </c>
      <c r="E16" s="19">
        <v>0</v>
      </c>
      <c r="F16" s="19">
        <v>0</v>
      </c>
      <c r="G16" s="19">
        <v>0</v>
      </c>
      <c r="H16" s="19">
        <v>0</v>
      </c>
      <c r="I16" s="13">
        <v>0</v>
      </c>
      <c r="J16" s="13">
        <v>0</v>
      </c>
      <c r="K16" s="13">
        <v>0</v>
      </c>
      <c r="L16" s="13">
        <v>0</v>
      </c>
      <c r="M16" s="13">
        <v>0</v>
      </c>
      <c r="N16" s="13">
        <v>-100000</v>
      </c>
      <c r="O16" s="13">
        <v>-246799.73376</v>
      </c>
      <c r="P16" s="14">
        <v>0</v>
      </c>
      <c r="Q16" s="14">
        <v>0</v>
      </c>
      <c r="R16" s="14">
        <v>0</v>
      </c>
      <c r="S16" s="14">
        <v>0</v>
      </c>
      <c r="T16" s="14">
        <v>0</v>
      </c>
      <c r="U16" s="14">
        <v>-100000</v>
      </c>
      <c r="V16" s="14">
        <v>-246799.73376</v>
      </c>
    </row>
    <row r="17" spans="1:22">
      <c r="A17" s="182">
        <v>2019</v>
      </c>
      <c r="B17" s="19">
        <v>0.3</v>
      </c>
      <c r="C17" s="19">
        <v>0.3</v>
      </c>
      <c r="D17" s="19">
        <v>0.3</v>
      </c>
      <c r="E17" s="19">
        <v>0.3</v>
      </c>
      <c r="F17" s="19">
        <v>0.3</v>
      </c>
      <c r="G17" s="19">
        <v>0.3</v>
      </c>
      <c r="H17" s="19">
        <v>0.3</v>
      </c>
      <c r="I17" s="13">
        <v>310551.03385759273</v>
      </c>
      <c r="J17" s="13">
        <v>750935.6219767523</v>
      </c>
      <c r="K17" s="13">
        <v>310015.88592277287</v>
      </c>
      <c r="L17" s="13">
        <v>0</v>
      </c>
      <c r="M17" s="13">
        <v>0</v>
      </c>
      <c r="N17" s="13">
        <v>-100000</v>
      </c>
      <c r="O17" s="13">
        <v>-254203.72577280001</v>
      </c>
      <c r="P17" s="14">
        <v>310551.03385759273</v>
      </c>
      <c r="Q17" s="14">
        <v>750935.6219767523</v>
      </c>
      <c r="R17" s="14">
        <v>310015.88592277287</v>
      </c>
      <c r="S17" s="14">
        <v>0</v>
      </c>
      <c r="T17" s="14">
        <v>0</v>
      </c>
      <c r="U17" s="14">
        <v>-100000</v>
      </c>
      <c r="V17" s="14">
        <v>-254203.72577280001</v>
      </c>
    </row>
    <row r="18" spans="1:22">
      <c r="A18" s="182">
        <v>2020</v>
      </c>
      <c r="B18" s="19">
        <v>0.75</v>
      </c>
      <c r="C18" s="19">
        <v>0.75</v>
      </c>
      <c r="D18" s="19">
        <v>0.75</v>
      </c>
      <c r="E18" s="19">
        <v>0.75</v>
      </c>
      <c r="F18" s="19">
        <v>0.75</v>
      </c>
      <c r="G18" s="19">
        <v>0.75</v>
      </c>
      <c r="H18" s="19">
        <v>0.75</v>
      </c>
      <c r="I18" s="13">
        <v>808985.44319902896</v>
      </c>
      <c r="J18" s="13">
        <v>1956187.2952494393</v>
      </c>
      <c r="K18" s="13">
        <v>810051.72295611247</v>
      </c>
      <c r="L18" s="13">
        <v>0</v>
      </c>
      <c r="M18" s="13">
        <v>0</v>
      </c>
      <c r="N18" s="13">
        <v>-100000</v>
      </c>
      <c r="O18" s="13">
        <v>-261829.83754598402</v>
      </c>
      <c r="P18" s="14">
        <v>808985.44319902896</v>
      </c>
      <c r="Q18" s="14">
        <v>1956187.2952494393</v>
      </c>
      <c r="R18" s="14">
        <v>810051.72295611247</v>
      </c>
      <c r="S18" s="14">
        <v>0</v>
      </c>
      <c r="T18" s="14">
        <v>0</v>
      </c>
      <c r="U18" s="14">
        <v>-100000</v>
      </c>
      <c r="V18" s="14">
        <v>-261829.83754598402</v>
      </c>
    </row>
    <row r="19" spans="1:22">
      <c r="A19" s="182">
        <v>2021</v>
      </c>
      <c r="B19" s="19">
        <v>0.75</v>
      </c>
      <c r="C19" s="19">
        <v>0.75</v>
      </c>
      <c r="D19" s="19">
        <v>0.75</v>
      </c>
      <c r="E19" s="19">
        <v>0.75</v>
      </c>
      <c r="F19" s="19">
        <v>0.75</v>
      </c>
      <c r="G19" s="19">
        <v>0.75</v>
      </c>
      <c r="H19" s="19">
        <v>0.75</v>
      </c>
      <c r="I19" s="13">
        <v>842962.83181338804</v>
      </c>
      <c r="J19" s="13">
        <v>2038347.1616499154</v>
      </c>
      <c r="K19" s="13">
        <v>846918.96208596427</v>
      </c>
      <c r="L19" s="13">
        <v>0</v>
      </c>
      <c r="M19" s="13">
        <v>0</v>
      </c>
      <c r="N19" s="13">
        <v>-100000</v>
      </c>
      <c r="O19" s="13">
        <v>-269684.73267236352</v>
      </c>
      <c r="P19" s="14">
        <v>842962.83181338804</v>
      </c>
      <c r="Q19" s="14">
        <v>2038347.1616499154</v>
      </c>
      <c r="R19" s="14">
        <v>846918.96208596427</v>
      </c>
      <c r="S19" s="14">
        <v>0</v>
      </c>
      <c r="T19" s="14">
        <v>0</v>
      </c>
      <c r="U19" s="14">
        <v>-100000</v>
      </c>
      <c r="V19" s="14">
        <v>-269684.73267236352</v>
      </c>
    </row>
    <row r="20" spans="1:22">
      <c r="A20" s="182">
        <v>2022</v>
      </c>
      <c r="B20" s="19">
        <v>0.75</v>
      </c>
      <c r="C20" s="19">
        <v>0.75</v>
      </c>
      <c r="D20" s="19">
        <v>0.75</v>
      </c>
      <c r="E20" s="19">
        <v>1</v>
      </c>
      <c r="F20" s="19">
        <v>1</v>
      </c>
      <c r="G20" s="19">
        <v>1</v>
      </c>
      <c r="H20" s="19">
        <v>1</v>
      </c>
      <c r="I20" s="13">
        <v>878367.2707495502</v>
      </c>
      <c r="J20" s="13">
        <v>2123957.7424392118</v>
      </c>
      <c r="K20" s="13">
        <v>885370.84229839547</v>
      </c>
      <c r="L20" s="13">
        <v>0</v>
      </c>
      <c r="M20" s="13">
        <v>0</v>
      </c>
      <c r="N20" s="13">
        <v>-100000</v>
      </c>
      <c r="O20" s="13">
        <v>-277775.27465253446</v>
      </c>
      <c r="P20" s="14">
        <v>878367.2707495502</v>
      </c>
      <c r="Q20" s="14">
        <v>2123957.7424392118</v>
      </c>
      <c r="R20" s="14">
        <v>885370.84229839547</v>
      </c>
      <c r="S20" s="14">
        <v>0</v>
      </c>
      <c r="T20" s="14">
        <v>0</v>
      </c>
      <c r="U20" s="14">
        <v>-100000</v>
      </c>
      <c r="V20" s="14">
        <v>-277775.27465253446</v>
      </c>
    </row>
    <row r="21" spans="1:22">
      <c r="A21" s="182">
        <v>2023</v>
      </c>
      <c r="B21" s="19">
        <v>1</v>
      </c>
      <c r="C21" s="19">
        <v>1</v>
      </c>
      <c r="D21" s="19">
        <v>1</v>
      </c>
      <c r="E21" s="19">
        <v>1</v>
      </c>
      <c r="F21" s="19">
        <v>1</v>
      </c>
      <c r="G21" s="19">
        <v>1</v>
      </c>
      <c r="H21" s="19">
        <v>1</v>
      </c>
      <c r="I21" s="13">
        <v>1220344.9281613748</v>
      </c>
      <c r="J21" s="13">
        <v>2950885.2901622108</v>
      </c>
      <c r="K21" s="13">
        <v>1233442.3888544089</v>
      </c>
      <c r="L21" s="13">
        <v>0</v>
      </c>
      <c r="M21" s="13">
        <v>0</v>
      </c>
      <c r="N21" s="13">
        <v>-100000</v>
      </c>
      <c r="O21" s="13">
        <v>-286108.53289211052</v>
      </c>
      <c r="P21" s="14">
        <v>1220344.9281613748</v>
      </c>
      <c r="Q21" s="14">
        <v>2950885.2901622108</v>
      </c>
      <c r="R21" s="14">
        <v>1233442.3888544089</v>
      </c>
      <c r="S21" s="14">
        <v>0</v>
      </c>
      <c r="T21" s="14">
        <v>0</v>
      </c>
      <c r="U21" s="14">
        <v>-100000</v>
      </c>
      <c r="V21" s="14">
        <v>-286108.53289211052</v>
      </c>
    </row>
    <row r="22" spans="1:22">
      <c r="A22" s="182">
        <v>2024</v>
      </c>
      <c r="B22" s="19">
        <v>1</v>
      </c>
      <c r="C22" s="19">
        <v>1</v>
      </c>
      <c r="D22" s="19">
        <v>1</v>
      </c>
      <c r="E22" s="19">
        <v>1</v>
      </c>
      <c r="F22" s="19">
        <v>1</v>
      </c>
      <c r="G22" s="19">
        <v>1</v>
      </c>
      <c r="H22" s="19">
        <v>1</v>
      </c>
      <c r="I22" s="13">
        <v>1271599.4151441522</v>
      </c>
      <c r="J22" s="13">
        <v>3074822.472349023</v>
      </c>
      <c r="K22" s="13">
        <v>1289673.147778522</v>
      </c>
      <c r="L22" s="13">
        <v>0</v>
      </c>
      <c r="M22" s="13">
        <v>0</v>
      </c>
      <c r="N22" s="13">
        <v>-100000</v>
      </c>
      <c r="O22" s="13">
        <v>-294691.78887887386</v>
      </c>
      <c r="P22" s="14">
        <v>1271599.4151441522</v>
      </c>
      <c r="Q22" s="14">
        <v>3074822.472349023</v>
      </c>
      <c r="R22" s="14">
        <v>1289673.147778522</v>
      </c>
      <c r="S22" s="14">
        <v>0</v>
      </c>
      <c r="T22" s="14">
        <v>0</v>
      </c>
      <c r="U22" s="14">
        <v>-100000</v>
      </c>
      <c r="V22" s="14">
        <v>-294691.78887887386</v>
      </c>
    </row>
    <row r="23" spans="1:22">
      <c r="A23" s="182">
        <v>2025</v>
      </c>
      <c r="B23" s="19">
        <v>1</v>
      </c>
      <c r="C23" s="19">
        <v>1</v>
      </c>
      <c r="D23" s="19">
        <v>1</v>
      </c>
      <c r="E23" s="19">
        <v>1</v>
      </c>
      <c r="F23" s="19">
        <v>1</v>
      </c>
      <c r="G23" s="19">
        <v>1</v>
      </c>
      <c r="H23" s="19">
        <v>1</v>
      </c>
      <c r="I23" s="13">
        <v>1325006.5905802064</v>
      </c>
      <c r="J23" s="13">
        <v>3203965.0161876814</v>
      </c>
      <c r="K23" s="13">
        <v>1349584.7964898467</v>
      </c>
      <c r="L23" s="13">
        <v>0</v>
      </c>
      <c r="M23" s="13">
        <v>0</v>
      </c>
      <c r="N23" s="13">
        <v>-100000</v>
      </c>
      <c r="O23" s="13">
        <v>-303532.54254524008</v>
      </c>
      <c r="P23" s="14">
        <v>1325006.5905802064</v>
      </c>
      <c r="Q23" s="14">
        <v>3203965.0161876814</v>
      </c>
      <c r="R23" s="14">
        <v>1349584.7964898467</v>
      </c>
      <c r="S23" s="14">
        <v>0</v>
      </c>
      <c r="T23" s="14">
        <v>0</v>
      </c>
      <c r="U23" s="14">
        <v>-100000</v>
      </c>
      <c r="V23" s="14">
        <v>-303532.54254524008</v>
      </c>
    </row>
    <row r="24" spans="1:22">
      <c r="A24" s="182">
        <v>2026</v>
      </c>
      <c r="B24" s="19">
        <v>1</v>
      </c>
      <c r="C24" s="19">
        <v>1</v>
      </c>
      <c r="D24" s="19">
        <v>1</v>
      </c>
      <c r="E24" s="19">
        <v>1</v>
      </c>
      <c r="F24" s="19">
        <v>1</v>
      </c>
      <c r="G24" s="19">
        <v>1</v>
      </c>
      <c r="H24" s="19">
        <v>1</v>
      </c>
      <c r="I24" s="13">
        <v>1380656.8673845748</v>
      </c>
      <c r="J24" s="13">
        <v>3338531.5468675634</v>
      </c>
      <c r="K24" s="13">
        <v>1412343.993944257</v>
      </c>
      <c r="L24" s="13">
        <v>0</v>
      </c>
      <c r="M24" s="13">
        <v>0</v>
      </c>
      <c r="N24" s="13">
        <v>-100000</v>
      </c>
      <c r="O24" s="13">
        <v>-312638.51882159727</v>
      </c>
      <c r="P24" s="14">
        <v>1380656.8673845748</v>
      </c>
      <c r="Q24" s="14">
        <v>3338531.5468675634</v>
      </c>
      <c r="R24" s="14">
        <v>1412343.993944257</v>
      </c>
      <c r="S24" s="14">
        <v>0</v>
      </c>
      <c r="T24" s="14">
        <v>0</v>
      </c>
      <c r="U24" s="14">
        <v>-100000</v>
      </c>
      <c r="V24" s="14">
        <v>-312638.51882159727</v>
      </c>
    </row>
    <row r="25" spans="1:22">
      <c r="A25" s="182">
        <v>2027</v>
      </c>
      <c r="B25" s="19">
        <v>1</v>
      </c>
      <c r="C25" s="19">
        <v>1</v>
      </c>
      <c r="D25" s="19">
        <v>1</v>
      </c>
      <c r="E25" s="19">
        <v>1</v>
      </c>
      <c r="F25" s="19">
        <v>1</v>
      </c>
      <c r="G25" s="19">
        <v>1</v>
      </c>
      <c r="H25" s="19">
        <v>1</v>
      </c>
      <c r="I25" s="13">
        <v>1438644.4558147267</v>
      </c>
      <c r="J25" s="13">
        <v>3478749.8718360006</v>
      </c>
      <c r="K25" s="13">
        <v>1478819.083766639</v>
      </c>
      <c r="L25" s="13">
        <v>0</v>
      </c>
      <c r="M25" s="13">
        <v>0</v>
      </c>
      <c r="N25" s="13">
        <v>-100000</v>
      </c>
      <c r="O25" s="13">
        <v>-322017.6743862452</v>
      </c>
      <c r="P25" s="14">
        <v>1438644.4558147267</v>
      </c>
      <c r="Q25" s="14">
        <v>3478749.8718360006</v>
      </c>
      <c r="R25" s="14">
        <v>1478819.083766639</v>
      </c>
      <c r="S25" s="14">
        <v>0</v>
      </c>
      <c r="T25" s="14">
        <v>0</v>
      </c>
      <c r="U25" s="14">
        <v>-100000</v>
      </c>
      <c r="V25" s="14">
        <v>-322017.6743862452</v>
      </c>
    </row>
    <row r="26" spans="1:22">
      <c r="A26" s="182">
        <v>2028</v>
      </c>
      <c r="B26" s="19">
        <v>1</v>
      </c>
      <c r="C26" s="19">
        <v>1</v>
      </c>
      <c r="D26" s="19">
        <v>1</v>
      </c>
      <c r="E26" s="19">
        <v>1</v>
      </c>
      <c r="F26" s="19">
        <v>1</v>
      </c>
      <c r="G26" s="19">
        <v>1</v>
      </c>
      <c r="H26" s="19">
        <v>1</v>
      </c>
      <c r="I26" s="13">
        <v>1499067.522958945</v>
      </c>
      <c r="J26" s="13">
        <v>3624857.3664531121</v>
      </c>
      <c r="K26" s="13">
        <v>1550010.7595509905</v>
      </c>
      <c r="L26" s="13">
        <v>0</v>
      </c>
      <c r="M26" s="13">
        <v>0</v>
      </c>
      <c r="N26" s="13">
        <v>-100000</v>
      </c>
      <c r="O26" s="13">
        <v>-331678.20461783255</v>
      </c>
      <c r="P26" s="14">
        <v>1499067.522958945</v>
      </c>
      <c r="Q26" s="14">
        <v>3624857.3664531121</v>
      </c>
      <c r="R26" s="14">
        <v>1550010.7595509905</v>
      </c>
      <c r="S26" s="14">
        <v>0</v>
      </c>
      <c r="T26" s="14">
        <v>0</v>
      </c>
      <c r="U26" s="14">
        <v>-100000</v>
      </c>
      <c r="V26" s="14">
        <v>-331678.20461783255</v>
      </c>
    </row>
    <row r="27" spans="1:22">
      <c r="A27" s="182">
        <v>2029</v>
      </c>
      <c r="B27" s="19">
        <v>1</v>
      </c>
      <c r="C27" s="19">
        <v>1</v>
      </c>
      <c r="D27" s="19">
        <v>1</v>
      </c>
      <c r="E27" s="19">
        <v>1</v>
      </c>
      <c r="F27" s="19">
        <v>1</v>
      </c>
      <c r="G27" s="19">
        <v>1</v>
      </c>
      <c r="H27" s="19">
        <v>1</v>
      </c>
      <c r="I27" s="13">
        <v>1562028.3589232205</v>
      </c>
      <c r="J27" s="13">
        <v>3777101.3758441419</v>
      </c>
      <c r="K27" s="13">
        <v>1624173.0529010231</v>
      </c>
      <c r="L27" s="13">
        <v>0</v>
      </c>
      <c r="M27" s="13">
        <v>0</v>
      </c>
      <c r="N27" s="13">
        <v>-100000</v>
      </c>
      <c r="O27" s="13">
        <v>-341628.55075636756</v>
      </c>
      <c r="P27" s="14">
        <v>1562028.3589232205</v>
      </c>
      <c r="Q27" s="14">
        <v>3777101.3758441419</v>
      </c>
      <c r="R27" s="14">
        <v>1624173.0529010231</v>
      </c>
      <c r="S27" s="14">
        <v>0</v>
      </c>
      <c r="T27" s="14">
        <v>0</v>
      </c>
      <c r="U27" s="14">
        <v>-100000</v>
      </c>
      <c r="V27" s="14">
        <v>-341628.55075636756</v>
      </c>
    </row>
    <row r="28" spans="1:22">
      <c r="A28" s="182">
        <v>2030</v>
      </c>
      <c r="B28" s="19">
        <v>1</v>
      </c>
      <c r="C28" s="19">
        <v>1</v>
      </c>
      <c r="D28" s="19">
        <v>1</v>
      </c>
      <c r="E28" s="19">
        <v>1</v>
      </c>
      <c r="F28" s="19">
        <v>1</v>
      </c>
      <c r="G28" s="19">
        <v>1</v>
      </c>
      <c r="H28" s="19">
        <v>1</v>
      </c>
      <c r="I28" s="13">
        <v>1627633.5499979956</v>
      </c>
      <c r="J28" s="13">
        <v>3935739.6336295954</v>
      </c>
      <c r="K28" s="13">
        <v>1702249.130083326</v>
      </c>
      <c r="L28" s="13">
        <v>0</v>
      </c>
      <c r="M28" s="13">
        <v>0</v>
      </c>
      <c r="N28" s="13">
        <v>-100000</v>
      </c>
      <c r="O28" s="13">
        <v>-351877.40727905859</v>
      </c>
      <c r="P28" s="14">
        <v>1627633.5499979956</v>
      </c>
      <c r="Q28" s="14">
        <v>3935739.6336295954</v>
      </c>
      <c r="R28" s="14">
        <v>1702249.130083326</v>
      </c>
      <c r="S28" s="14">
        <v>0</v>
      </c>
      <c r="T28" s="14">
        <v>0</v>
      </c>
      <c r="U28" s="14">
        <v>-100000</v>
      </c>
      <c r="V28" s="14">
        <v>-351877.40727905859</v>
      </c>
    </row>
    <row r="29" spans="1:22">
      <c r="A29" s="182">
        <v>2031</v>
      </c>
      <c r="B29" s="19">
        <v>1</v>
      </c>
      <c r="C29" s="19">
        <v>1</v>
      </c>
      <c r="D29" s="19">
        <v>1</v>
      </c>
      <c r="E29" s="19">
        <v>1</v>
      </c>
      <c r="F29" s="19">
        <v>1</v>
      </c>
      <c r="G29" s="19">
        <v>1</v>
      </c>
      <c r="H29" s="19">
        <v>1</v>
      </c>
      <c r="I29" s="13">
        <v>1695994.1590979111</v>
      </c>
      <c r="J29" s="13">
        <v>4101040.6982420376</v>
      </c>
      <c r="K29" s="13">
        <v>1783444.046661437</v>
      </c>
      <c r="L29" s="13">
        <v>0</v>
      </c>
      <c r="M29" s="13">
        <v>0</v>
      </c>
      <c r="N29" s="13">
        <v>-100000</v>
      </c>
      <c r="O29" s="13">
        <v>-362433.72949743038</v>
      </c>
      <c r="P29" s="14">
        <v>1695994.1590979111</v>
      </c>
      <c r="Q29" s="14">
        <v>4101040.6982420376</v>
      </c>
      <c r="R29" s="14">
        <v>1783444.046661437</v>
      </c>
      <c r="S29" s="14">
        <v>0</v>
      </c>
      <c r="T29" s="14">
        <v>0</v>
      </c>
      <c r="U29" s="14">
        <v>-100000</v>
      </c>
      <c r="V29" s="14">
        <v>-362433.72949743038</v>
      </c>
    </row>
    <row r="30" spans="1:22">
      <c r="A30" s="182">
        <v>2032</v>
      </c>
      <c r="B30" s="19">
        <v>1</v>
      </c>
      <c r="C30" s="19">
        <v>1</v>
      </c>
      <c r="D30" s="19">
        <v>1</v>
      </c>
      <c r="E30" s="19">
        <v>1</v>
      </c>
      <c r="F30" s="19">
        <v>1</v>
      </c>
      <c r="G30" s="19">
        <v>1</v>
      </c>
      <c r="H30" s="19">
        <v>1</v>
      </c>
      <c r="I30" s="13">
        <v>1767225.9137800231</v>
      </c>
      <c r="J30" s="13">
        <v>4273284.4075682024</v>
      </c>
      <c r="K30" s="13">
        <v>1869426.0783624898</v>
      </c>
      <c r="L30" s="13">
        <v>0</v>
      </c>
      <c r="M30" s="13">
        <v>0</v>
      </c>
      <c r="N30" s="13">
        <v>-100000</v>
      </c>
      <c r="O30" s="13">
        <v>-373306.7413823533</v>
      </c>
      <c r="P30" s="14">
        <v>1767225.9137800231</v>
      </c>
      <c r="Q30" s="14">
        <v>4273284.4075682024</v>
      </c>
      <c r="R30" s="14">
        <v>1869426.0783624898</v>
      </c>
      <c r="S30" s="14">
        <v>0</v>
      </c>
      <c r="T30" s="14">
        <v>0</v>
      </c>
      <c r="U30" s="14">
        <v>-100000</v>
      </c>
      <c r="V30" s="14">
        <v>-373306.7413823533</v>
      </c>
    </row>
    <row r="31" spans="1:22">
      <c r="A31" s="182">
        <v>2033</v>
      </c>
      <c r="B31" s="19">
        <v>1</v>
      </c>
      <c r="C31" s="19">
        <v>1</v>
      </c>
      <c r="D31" s="19">
        <v>1</v>
      </c>
      <c r="E31" s="19">
        <v>1</v>
      </c>
      <c r="F31" s="19">
        <v>1</v>
      </c>
      <c r="G31" s="19">
        <v>1</v>
      </c>
      <c r="H31" s="19">
        <v>1</v>
      </c>
      <c r="I31" s="13">
        <v>1841449.4021587837</v>
      </c>
      <c r="J31" s="13">
        <v>4452762.3526860662</v>
      </c>
      <c r="K31" s="13">
        <v>1959403.5725036599</v>
      </c>
      <c r="L31" s="13">
        <v>0</v>
      </c>
      <c r="M31" s="13">
        <v>0</v>
      </c>
      <c r="N31" s="13">
        <v>-100000</v>
      </c>
      <c r="O31" s="13">
        <v>-384505.94362382393</v>
      </c>
      <c r="P31" s="14">
        <v>1841449.4021587837</v>
      </c>
      <c r="Q31" s="14">
        <v>4452762.3526860662</v>
      </c>
      <c r="R31" s="14">
        <v>1959403.5725036599</v>
      </c>
      <c r="S31" s="14">
        <v>0</v>
      </c>
      <c r="T31" s="14">
        <v>0</v>
      </c>
      <c r="U31" s="14">
        <v>-100000</v>
      </c>
      <c r="V31" s="14">
        <v>-384505.94362382393</v>
      </c>
    </row>
    <row r="32" spans="1:22">
      <c r="A32" s="182">
        <v>2034</v>
      </c>
      <c r="B32" s="19">
        <v>1</v>
      </c>
      <c r="C32" s="19">
        <v>1</v>
      </c>
      <c r="D32" s="19">
        <v>1</v>
      </c>
      <c r="E32" s="19">
        <v>1</v>
      </c>
      <c r="F32" s="19">
        <v>1</v>
      </c>
      <c r="G32" s="19">
        <v>1</v>
      </c>
      <c r="H32" s="19">
        <v>1</v>
      </c>
      <c r="I32" s="13">
        <v>1918790.2770494523</v>
      </c>
      <c r="J32" s="13">
        <v>4639778.37149888</v>
      </c>
      <c r="K32" s="13">
        <v>2028615.065300256</v>
      </c>
      <c r="L32" s="13">
        <v>0</v>
      </c>
      <c r="M32" s="13">
        <v>0</v>
      </c>
      <c r="N32" s="13">
        <v>-100000</v>
      </c>
      <c r="O32" s="13">
        <v>-396041.12193253863</v>
      </c>
      <c r="P32" s="14">
        <v>1918790.2770494523</v>
      </c>
      <c r="Q32" s="14">
        <v>4639778.37149888</v>
      </c>
      <c r="R32" s="14">
        <v>2028615.065300256</v>
      </c>
      <c r="S32" s="14">
        <v>0</v>
      </c>
      <c r="T32" s="14">
        <v>0</v>
      </c>
      <c r="U32" s="14">
        <v>-100000</v>
      </c>
      <c r="V32" s="14">
        <v>-396041.12193253863</v>
      </c>
    </row>
    <row r="33" spans="1:23">
      <c r="A33" s="182">
        <v>2035</v>
      </c>
      <c r="B33" s="19">
        <v>1</v>
      </c>
      <c r="C33" s="19">
        <v>1</v>
      </c>
      <c r="D33" s="19">
        <v>1</v>
      </c>
      <c r="E33" s="19">
        <v>1</v>
      </c>
      <c r="F33" s="19">
        <v>1</v>
      </c>
      <c r="G33" s="19">
        <v>1</v>
      </c>
      <c r="H33" s="19">
        <v>1</v>
      </c>
      <c r="I33" s="13">
        <v>1999379.468685529</v>
      </c>
      <c r="J33" s="13">
        <v>4834649.0631018318</v>
      </c>
      <c r="K33" s="13">
        <v>2127726.4849813748</v>
      </c>
      <c r="L33" s="13">
        <v>0</v>
      </c>
      <c r="M33" s="13">
        <v>0</v>
      </c>
      <c r="N33" s="13">
        <v>-100000</v>
      </c>
      <c r="O33" s="13">
        <v>-407922.35559051478</v>
      </c>
      <c r="P33" s="14">
        <v>1999379.468685529</v>
      </c>
      <c r="Q33" s="14">
        <v>4834649.0631018318</v>
      </c>
      <c r="R33" s="14">
        <v>2127726.4849813748</v>
      </c>
      <c r="S33" s="14">
        <v>0</v>
      </c>
      <c r="T33" s="14">
        <v>0</v>
      </c>
      <c r="U33" s="14">
        <v>-100000</v>
      </c>
      <c r="V33" s="14">
        <v>-407922.35559051478</v>
      </c>
    </row>
    <row r="34" spans="1:23">
      <c r="A34" s="182">
        <v>2036</v>
      </c>
      <c r="B34" s="19">
        <v>1</v>
      </c>
      <c r="C34" s="19">
        <v>1</v>
      </c>
      <c r="D34" s="19">
        <v>1</v>
      </c>
      <c r="E34" s="19">
        <v>1</v>
      </c>
      <c r="F34" s="19">
        <v>1</v>
      </c>
      <c r="G34" s="19">
        <v>1</v>
      </c>
      <c r="H34" s="19">
        <v>1</v>
      </c>
      <c r="I34" s="13">
        <v>2083353.4063703208</v>
      </c>
      <c r="J34" s="13">
        <v>5037704.323752108</v>
      </c>
      <c r="K34" s="13">
        <v>2316149.3916600114</v>
      </c>
      <c r="L34" s="13">
        <v>0</v>
      </c>
      <c r="M34" s="13">
        <v>0</v>
      </c>
      <c r="N34" s="13">
        <v>-50000</v>
      </c>
      <c r="O34" s="13">
        <v>-420160.02625823021</v>
      </c>
      <c r="P34" s="14">
        <v>2083353.4063703208</v>
      </c>
      <c r="Q34" s="14">
        <v>5037704.323752108</v>
      </c>
      <c r="R34" s="14">
        <v>2316149.3916600114</v>
      </c>
      <c r="S34" s="14">
        <v>0</v>
      </c>
      <c r="T34" s="14">
        <v>0</v>
      </c>
      <c r="U34" s="14">
        <v>-50000</v>
      </c>
      <c r="V34" s="14">
        <v>-420160.02625823021</v>
      </c>
    </row>
    <row r="35" spans="1:23">
      <c r="A35" s="182">
        <v>2037</v>
      </c>
      <c r="B35" s="19">
        <v>0.25</v>
      </c>
      <c r="C35" s="19">
        <v>0.25</v>
      </c>
      <c r="D35" s="19">
        <v>0.25</v>
      </c>
      <c r="E35" s="199">
        <v>0.25</v>
      </c>
      <c r="F35" s="19">
        <v>0.25</v>
      </c>
      <c r="G35" s="19">
        <v>0.25</v>
      </c>
      <c r="H35" s="19">
        <v>0.25</v>
      </c>
      <c r="I35" s="13">
        <v>540579.60990842502</v>
      </c>
      <c r="J35" s="13">
        <v>1307161.9197399975</v>
      </c>
      <c r="K35" s="13">
        <v>600077.71197471744</v>
      </c>
      <c r="L35" s="13">
        <v>0</v>
      </c>
      <c r="M35" s="13">
        <v>0</v>
      </c>
      <c r="N35" s="13">
        <v>-25000</v>
      </c>
      <c r="O35" s="13">
        <v>0</v>
      </c>
      <c r="P35" s="14">
        <v>1143234.8687669274</v>
      </c>
      <c r="Q35" s="14">
        <v>2764427.4004789749</v>
      </c>
      <c r="R35" s="14">
        <v>0</v>
      </c>
      <c r="S35" s="14">
        <v>0</v>
      </c>
      <c r="T35" s="14">
        <v>0</v>
      </c>
      <c r="U35" s="14">
        <v>-53387.087914225252</v>
      </c>
      <c r="V35" s="14">
        <v>-199101.5970720505</v>
      </c>
    </row>
    <row r="36" spans="1:23">
      <c r="A36" s="182">
        <v>2038</v>
      </c>
      <c r="B36" s="19">
        <v>0</v>
      </c>
      <c r="C36" s="19">
        <v>0</v>
      </c>
      <c r="D36" s="19">
        <v>0</v>
      </c>
      <c r="E36" s="19">
        <v>0</v>
      </c>
      <c r="F36" s="19">
        <v>0</v>
      </c>
      <c r="G36" s="19">
        <v>0</v>
      </c>
      <c r="H36" s="19">
        <v>0</v>
      </c>
      <c r="I36" s="13">
        <v>0</v>
      </c>
      <c r="J36" s="13">
        <v>0</v>
      </c>
      <c r="K36" s="13">
        <v>0</v>
      </c>
      <c r="L36" s="13">
        <v>0</v>
      </c>
      <c r="M36" s="13">
        <v>0</v>
      </c>
      <c r="N36" s="13">
        <v>0</v>
      </c>
      <c r="O36" s="13">
        <v>0</v>
      </c>
      <c r="P36" s="14">
        <v>0</v>
      </c>
      <c r="Q36" s="14">
        <v>0</v>
      </c>
      <c r="R36" s="14">
        <v>0</v>
      </c>
      <c r="S36" s="14">
        <v>0</v>
      </c>
      <c r="T36" s="14">
        <v>0</v>
      </c>
      <c r="U36" s="14">
        <v>0</v>
      </c>
      <c r="V36" s="14">
        <v>0</v>
      </c>
    </row>
    <row r="37" spans="1:23">
      <c r="A37" s="182">
        <v>2039</v>
      </c>
      <c r="B37" s="19">
        <v>0</v>
      </c>
      <c r="C37" s="19">
        <v>0</v>
      </c>
      <c r="D37" s="19">
        <v>0</v>
      </c>
      <c r="E37" s="19">
        <v>0</v>
      </c>
      <c r="F37" s="19">
        <v>0</v>
      </c>
      <c r="G37" s="19">
        <v>0</v>
      </c>
      <c r="H37" s="19">
        <v>0</v>
      </c>
      <c r="I37" s="13">
        <v>0</v>
      </c>
      <c r="J37" s="13">
        <v>0</v>
      </c>
      <c r="K37" s="13">
        <v>0</v>
      </c>
      <c r="L37" s="13">
        <v>0</v>
      </c>
      <c r="M37" s="13">
        <v>0</v>
      </c>
      <c r="N37" s="13">
        <v>0</v>
      </c>
      <c r="O37" s="13">
        <v>0</v>
      </c>
      <c r="P37" s="14">
        <v>0</v>
      </c>
      <c r="Q37" s="14">
        <v>0</v>
      </c>
      <c r="R37" s="14">
        <v>0</v>
      </c>
      <c r="S37" s="14">
        <v>0</v>
      </c>
      <c r="T37" s="14">
        <v>0</v>
      </c>
      <c r="U37" s="14">
        <v>0</v>
      </c>
      <c r="V37" s="14">
        <v>0</v>
      </c>
    </row>
    <row r="38" spans="1:23">
      <c r="A38" s="183">
        <v>2040</v>
      </c>
      <c r="B38" s="19">
        <v>0</v>
      </c>
      <c r="C38" s="19">
        <v>0</v>
      </c>
      <c r="D38" s="19">
        <v>0</v>
      </c>
      <c r="E38" s="19">
        <v>0</v>
      </c>
      <c r="F38" s="19">
        <v>0</v>
      </c>
      <c r="G38" s="19">
        <v>0</v>
      </c>
      <c r="H38" s="19">
        <v>0</v>
      </c>
      <c r="I38" s="13">
        <v>0</v>
      </c>
      <c r="J38" s="13">
        <v>0</v>
      </c>
      <c r="K38" s="13">
        <v>0</v>
      </c>
      <c r="L38" s="13">
        <v>0</v>
      </c>
      <c r="M38" s="13">
        <v>0</v>
      </c>
      <c r="N38" s="13">
        <v>0</v>
      </c>
      <c r="O38" s="13">
        <v>0</v>
      </c>
      <c r="P38" s="14">
        <v>0</v>
      </c>
      <c r="Q38" s="14">
        <v>0</v>
      </c>
      <c r="R38" s="14">
        <v>0</v>
      </c>
      <c r="S38" s="14">
        <v>0</v>
      </c>
      <c r="T38" s="14">
        <v>0</v>
      </c>
      <c r="U38" s="14">
        <v>0</v>
      </c>
      <c r="V38" s="14">
        <v>0</v>
      </c>
    </row>
    <row r="39" spans="1:23">
      <c r="I39" s="43">
        <v>12366159.026515964</v>
      </c>
      <c r="J39" s="43">
        <v>29902297.23176029</v>
      </c>
      <c r="K39" s="43">
        <v>12746387.248247676</v>
      </c>
      <c r="L39" s="43">
        <v>0</v>
      </c>
      <c r="M39" s="43">
        <v>-582259.40902021772</v>
      </c>
      <c r="N39" s="43">
        <v>-1998495.0285897448</v>
      </c>
      <c r="O39" s="43">
        <v>-4578201.6220995663</v>
      </c>
      <c r="P39" s="14">
        <v>41213359.937876575</v>
      </c>
      <c r="Q39" s="14">
        <v>99656986.145771414</v>
      </c>
      <c r="R39" s="14">
        <v>42907457.637279272</v>
      </c>
      <c r="S39" s="14">
        <v>0</v>
      </c>
      <c r="T39" s="14">
        <v>-599028.47999999998</v>
      </c>
      <c r="U39" s="14">
        <v>-2890208.8572716727</v>
      </c>
      <c r="V39" s="14">
        <v>-9167000.4075604267</v>
      </c>
    </row>
    <row r="40" spans="1:23">
      <c r="K40" s="43">
        <v>55014843.50652393</v>
      </c>
      <c r="O40" s="43">
        <v>-7158956.0597095285</v>
      </c>
    </row>
    <row r="41" spans="1:23">
      <c r="K41" s="43"/>
    </row>
    <row r="43" spans="1:23">
      <c r="C43" s="14">
        <v>0</v>
      </c>
      <c r="D43" s="14">
        <v>0</v>
      </c>
      <c r="E43" s="14">
        <v>0</v>
      </c>
      <c r="F43" s="14">
        <v>116456.63769659727</v>
      </c>
      <c r="G43" s="14">
        <v>707862.26279915031</v>
      </c>
      <c r="H43" s="93">
        <v>800814.69022271864</v>
      </c>
      <c r="I43" s="93">
        <v>878367.2707495502</v>
      </c>
      <c r="J43" s="93">
        <v>1220344.9281613748</v>
      </c>
      <c r="K43" s="93">
        <v>1271599.4151441522</v>
      </c>
      <c r="L43" s="93">
        <v>1325006.5905802064</v>
      </c>
      <c r="M43" s="93">
        <v>1380656.8673845748</v>
      </c>
      <c r="N43" s="93">
        <v>1438644.4558147267</v>
      </c>
      <c r="O43" s="93">
        <v>1499067.522958945</v>
      </c>
      <c r="P43" s="93">
        <v>1562028.3589232205</v>
      </c>
      <c r="Q43" s="93">
        <v>1627633.5499979956</v>
      </c>
      <c r="R43" s="93">
        <v>1695994.1590979111</v>
      </c>
      <c r="S43" s="93">
        <v>1767225.9137800231</v>
      </c>
      <c r="T43" s="93">
        <v>1841449.4021587837</v>
      </c>
      <c r="U43" s="93">
        <v>1918790.2770494523</v>
      </c>
      <c r="V43" s="93">
        <v>1999379.468685529</v>
      </c>
      <c r="W43" s="93">
        <v>2083353.4063703208</v>
      </c>
    </row>
    <row r="44" spans="1:23">
      <c r="C44" s="14">
        <v>0</v>
      </c>
      <c r="D44" s="14">
        <v>0</v>
      </c>
      <c r="E44" s="14">
        <v>0</v>
      </c>
      <c r="F44" s="14">
        <v>281600.85824128211</v>
      </c>
      <c r="G44" s="14">
        <v>1711663.8833432593</v>
      </c>
      <c r="H44" s="93">
        <v>1936429.8035674195</v>
      </c>
      <c r="I44" s="93">
        <v>2123957.7424392118</v>
      </c>
      <c r="J44" s="93">
        <v>2950885.2901622108</v>
      </c>
      <c r="K44" s="93">
        <v>3074822.472349023</v>
      </c>
      <c r="L44" s="93">
        <v>3203965.0161876814</v>
      </c>
      <c r="M44" s="93">
        <v>3338531.5468675634</v>
      </c>
      <c r="N44" s="93">
        <v>3478749.8718360006</v>
      </c>
      <c r="O44" s="93">
        <v>3624857.3664531121</v>
      </c>
      <c r="P44" s="93">
        <v>3777101.3758441419</v>
      </c>
      <c r="Q44" s="93">
        <v>3935739.6336295954</v>
      </c>
      <c r="R44" s="93">
        <v>4101040.6982420376</v>
      </c>
      <c r="S44" s="93">
        <v>4273284.4075682024</v>
      </c>
      <c r="T44" s="93">
        <v>4452762.3526860662</v>
      </c>
      <c r="U44" s="93">
        <v>4639778.37149888</v>
      </c>
      <c r="V44" s="93">
        <v>4834649.0631018318</v>
      </c>
      <c r="W44" s="93">
        <v>5037704.323752108</v>
      </c>
    </row>
    <row r="45" spans="1:23">
      <c r="C45" s="14">
        <v>0</v>
      </c>
      <c r="D45" s="14">
        <v>0</v>
      </c>
      <c r="E45" s="14">
        <v>0</v>
      </c>
      <c r="F45" s="14">
        <v>116255.95722103983</v>
      </c>
      <c r="G45" s="14">
        <v>708795.2575865984</v>
      </c>
      <c r="H45" s="93">
        <v>804573.01398166607</v>
      </c>
      <c r="I45" s="93">
        <v>885370.84229839547</v>
      </c>
      <c r="J45" s="93">
        <v>1233442.3888544089</v>
      </c>
      <c r="K45" s="93">
        <v>1289673.147778522</v>
      </c>
      <c r="L45" s="93">
        <v>1349584.7964898467</v>
      </c>
      <c r="M45" s="93">
        <v>1412343.993944257</v>
      </c>
      <c r="N45" s="93">
        <v>1478819.083766639</v>
      </c>
      <c r="O45" s="93">
        <v>1550010.7595509905</v>
      </c>
      <c r="P45" s="93">
        <v>1624173.0529010231</v>
      </c>
      <c r="Q45" s="93">
        <v>1702249.130083326</v>
      </c>
      <c r="R45" s="93">
        <v>1783444.046661437</v>
      </c>
      <c r="S45" s="93">
        <v>1869426.0783624898</v>
      </c>
      <c r="T45" s="93">
        <v>1959403.5725036599</v>
      </c>
      <c r="U45" s="93">
        <v>2028615.065300256</v>
      </c>
      <c r="V45" s="93">
        <v>2127726.4849813748</v>
      </c>
      <c r="W45" s="93">
        <v>2316149.3916600114</v>
      </c>
    </row>
    <row r="46" spans="1:23">
      <c r="C46" s="14">
        <v>0</v>
      </c>
      <c r="D46" s="14">
        <v>0</v>
      </c>
      <c r="E46" s="14">
        <v>0</v>
      </c>
      <c r="F46" s="14">
        <v>0</v>
      </c>
      <c r="G46" s="14">
        <v>0</v>
      </c>
      <c r="H46" s="93">
        <v>0</v>
      </c>
      <c r="I46" s="93">
        <v>0</v>
      </c>
      <c r="J46" s="93">
        <v>0</v>
      </c>
      <c r="K46" s="93">
        <v>0</v>
      </c>
      <c r="L46" s="93">
        <v>0</v>
      </c>
      <c r="M46" s="93">
        <v>0</v>
      </c>
      <c r="N46" s="93">
        <v>0</v>
      </c>
      <c r="O46" s="93">
        <v>0</v>
      </c>
      <c r="P46" s="93">
        <v>0</v>
      </c>
      <c r="Q46" s="93">
        <v>0</v>
      </c>
      <c r="R46" s="93">
        <v>0</v>
      </c>
      <c r="S46" s="93">
        <v>0</v>
      </c>
      <c r="T46" s="93">
        <v>0</v>
      </c>
      <c r="U46" s="93">
        <v>0</v>
      </c>
      <c r="V46" s="93">
        <v>0</v>
      </c>
      <c r="W46" s="93">
        <v>0</v>
      </c>
    </row>
    <row r="47" spans="1:23">
      <c r="C47" s="14">
        <v>0</v>
      </c>
      <c r="D47" s="14">
        <v>0</v>
      </c>
      <c r="E47" s="14">
        <v>0</v>
      </c>
      <c r="F47" s="14">
        <v>0</v>
      </c>
      <c r="G47" s="14">
        <v>0</v>
      </c>
      <c r="H47" s="93">
        <v>0</v>
      </c>
      <c r="I47" s="93">
        <v>0</v>
      </c>
      <c r="J47" s="93">
        <v>0</v>
      </c>
      <c r="K47" s="93">
        <v>0</v>
      </c>
      <c r="L47" s="93">
        <v>0</v>
      </c>
      <c r="M47" s="93">
        <v>0</v>
      </c>
      <c r="N47" s="93">
        <v>0</v>
      </c>
      <c r="O47" s="93">
        <v>0</v>
      </c>
      <c r="P47" s="93">
        <v>0</v>
      </c>
      <c r="Q47" s="93">
        <v>0</v>
      </c>
      <c r="R47" s="93">
        <v>0</v>
      </c>
      <c r="S47" s="93">
        <v>0</v>
      </c>
      <c r="T47" s="93">
        <v>0</v>
      </c>
      <c r="U47" s="93">
        <v>0</v>
      </c>
      <c r="V47" s="93">
        <v>0</v>
      </c>
      <c r="W47" s="93">
        <v>0</v>
      </c>
    </row>
    <row r="48" spans="1:23">
      <c r="C48" s="14">
        <v>0</v>
      </c>
      <c r="D48" s="14">
        <v>0</v>
      </c>
      <c r="E48" s="14">
        <v>0</v>
      </c>
      <c r="F48" s="14">
        <v>-12304.6875</v>
      </c>
      <c r="G48" s="14">
        <v>-72734.375</v>
      </c>
      <c r="H48" s="93">
        <v>-90250</v>
      </c>
      <c r="I48" s="93">
        <v>-100000</v>
      </c>
      <c r="J48" s="93">
        <v>-100000</v>
      </c>
      <c r="K48" s="93">
        <v>-100000</v>
      </c>
      <c r="L48" s="93">
        <v>-100000</v>
      </c>
      <c r="M48" s="93">
        <v>-100000</v>
      </c>
      <c r="N48" s="93">
        <v>-100000</v>
      </c>
      <c r="O48" s="93">
        <v>-100000</v>
      </c>
      <c r="P48" s="93">
        <v>-100000</v>
      </c>
      <c r="Q48" s="93">
        <v>-100000</v>
      </c>
      <c r="R48" s="93">
        <v>-100000</v>
      </c>
      <c r="S48" s="93">
        <v>-100000</v>
      </c>
      <c r="T48" s="93">
        <v>-100000</v>
      </c>
      <c r="U48" s="93">
        <v>-100000</v>
      </c>
      <c r="V48" s="93">
        <v>-100000</v>
      </c>
      <c r="W48" s="93">
        <v>-200000</v>
      </c>
    </row>
    <row r="49" spans="3:23">
      <c r="C49" s="14">
        <v>0</v>
      </c>
      <c r="D49" s="14">
        <v>0</v>
      </c>
      <c r="E49" s="14">
        <v>0</v>
      </c>
      <c r="F49" s="14">
        <v>-31278.974069700002</v>
      </c>
      <c r="G49" s="14">
        <v>-190440.29590258683</v>
      </c>
      <c r="H49" s="93">
        <v>-243390.47123680805</v>
      </c>
      <c r="I49" s="93">
        <v>-277775.27465253446</v>
      </c>
      <c r="J49" s="93">
        <v>-286108.53289211052</v>
      </c>
      <c r="K49" s="93">
        <v>-294691.78887887386</v>
      </c>
      <c r="L49" s="93">
        <v>-303532.54254524008</v>
      </c>
      <c r="M49" s="93">
        <v>-312638.51882159727</v>
      </c>
      <c r="N49" s="93">
        <v>-322017.6743862452</v>
      </c>
      <c r="O49" s="93">
        <v>-331678.20461783255</v>
      </c>
      <c r="P49" s="93">
        <v>-341628.55075636756</v>
      </c>
      <c r="Q49" s="93">
        <v>-351877.40727905859</v>
      </c>
      <c r="R49" s="93">
        <v>-362433.72949743038</v>
      </c>
      <c r="S49" s="93">
        <v>-373306.7413823533</v>
      </c>
      <c r="T49" s="93">
        <v>-384505.94362382393</v>
      </c>
      <c r="U49" s="93">
        <v>-396041.12193253863</v>
      </c>
      <c r="V49" s="93">
        <v>-407922.35559051478</v>
      </c>
      <c r="W49" s="93">
        <v>-1680640.1050329208</v>
      </c>
    </row>
    <row r="50" spans="3:23">
      <c r="C50" s="14">
        <v>0</v>
      </c>
      <c r="D50" s="14">
        <v>0</v>
      </c>
      <c r="E50" s="14">
        <v>0</v>
      </c>
      <c r="F50" s="14">
        <v>154294.03594767576</v>
      </c>
      <c r="G50" s="14">
        <v>938496.42111870227</v>
      </c>
      <c r="H50" s="93">
        <v>1062545.2523315412</v>
      </c>
      <c r="I50" s="93">
        <v>1166308.7566461472</v>
      </c>
      <c r="J50" s="93">
        <v>1621401.7821533983</v>
      </c>
      <c r="K50" s="93">
        <v>2254438.0141086793</v>
      </c>
      <c r="L50" s="93">
        <v>2351422.5613030936</v>
      </c>
      <c r="M50" s="93">
        <v>2452612.9632785581</v>
      </c>
      <c r="N50" s="93">
        <v>2558485.3645669469</v>
      </c>
      <c r="O50" s="93">
        <v>2669574.259585219</v>
      </c>
      <c r="P50" s="93">
        <v>2785321.1150673544</v>
      </c>
      <c r="Q50" s="93">
        <v>2906248.9254843667</v>
      </c>
      <c r="R50" s="93">
        <v>3032191.5616005543</v>
      </c>
      <c r="S50" s="93">
        <v>3163974.5598842865</v>
      </c>
      <c r="T50" s="93">
        <v>3301446.130939404</v>
      </c>
      <c r="U50" s="93">
        <v>3434873.4855394349</v>
      </c>
      <c r="V50" s="93">
        <v>3584702.0067074941</v>
      </c>
      <c r="W50" s="93">
        <v>3774882.8487129766</v>
      </c>
    </row>
    <row r="53" spans="3:23" ht="15.75" thickBot="1"/>
    <row r="54" spans="3:23">
      <c r="H54" s="175"/>
      <c r="I54" s="2" t="s">
        <v>461</v>
      </c>
      <c r="J54" s="2"/>
      <c r="K54" s="2"/>
      <c r="L54" s="2" t="s">
        <v>462</v>
      </c>
      <c r="M54" s="2"/>
      <c r="N54" s="2"/>
      <c r="O54" s="3"/>
    </row>
    <row r="55" spans="3:23">
      <c r="H55" s="4" t="s">
        <v>177</v>
      </c>
      <c r="I55" t="s">
        <v>454</v>
      </c>
      <c r="J55" t="s">
        <v>455</v>
      </c>
      <c r="K55" t="s">
        <v>456</v>
      </c>
      <c r="L55" t="s">
        <v>457</v>
      </c>
      <c r="M55" t="s">
        <v>458</v>
      </c>
      <c r="N55" t="s">
        <v>459</v>
      </c>
      <c r="O55" s="5" t="s">
        <v>460</v>
      </c>
    </row>
    <row r="56" spans="3:23">
      <c r="H56" s="4">
        <v>1</v>
      </c>
      <c r="I56" s="386">
        <v>914973.60919540224</v>
      </c>
      <c r="J56" s="105">
        <v>2212474.6061175107</v>
      </c>
      <c r="K56" s="387">
        <v>920665.09195402276</v>
      </c>
      <c r="L56">
        <v>0</v>
      </c>
      <c r="M56" s="14">
        <v>599028.47999999998</v>
      </c>
      <c r="N56" s="14">
        <v>580000</v>
      </c>
      <c r="O56" s="5"/>
    </row>
    <row r="57" spans="3:23">
      <c r="H57" s="4">
        <v>2</v>
      </c>
      <c r="I57" s="386">
        <v>953402.50078160898</v>
      </c>
      <c r="J57" s="105">
        <v>2305398.5395744457</v>
      </c>
      <c r="K57" s="387">
        <v>952799.04880086414</v>
      </c>
      <c r="L57" s="14">
        <v>0</v>
      </c>
      <c r="M57" s="14">
        <v>0</v>
      </c>
      <c r="N57" s="14">
        <v>100000</v>
      </c>
      <c r="O57" s="390">
        <v>239611.39199999999</v>
      </c>
    </row>
    <row r="58" spans="3:23">
      <c r="H58" s="4">
        <v>3</v>
      </c>
      <c r="I58" s="386">
        <v>993445.40581443638</v>
      </c>
      <c r="J58" s="105">
        <v>2402225.2782365722</v>
      </c>
      <c r="K58" s="387">
        <v>1110048.2353586662</v>
      </c>
      <c r="L58" s="14">
        <v>0</v>
      </c>
      <c r="M58" s="14">
        <v>0</v>
      </c>
      <c r="N58" s="14">
        <v>100000</v>
      </c>
      <c r="O58" s="390">
        <v>246799.73376</v>
      </c>
    </row>
    <row r="59" spans="3:23">
      <c r="H59" s="4">
        <v>4</v>
      </c>
      <c r="I59" s="386">
        <v>1035170.1128586425</v>
      </c>
      <c r="J59" s="105">
        <v>2503118.7399225077</v>
      </c>
      <c r="K59" s="387">
        <v>1033386.2864092429</v>
      </c>
      <c r="L59" s="14">
        <v>0</v>
      </c>
      <c r="M59" s="14">
        <v>0</v>
      </c>
      <c r="N59" s="14">
        <v>100000</v>
      </c>
      <c r="O59" s="390">
        <v>254203.72577280001</v>
      </c>
    </row>
    <row r="60" spans="3:23">
      <c r="H60" s="4">
        <v>5</v>
      </c>
      <c r="I60" s="386">
        <v>1078647.2575987054</v>
      </c>
      <c r="J60" s="105">
        <v>2608249.7269992526</v>
      </c>
      <c r="K60" s="387">
        <v>1080068.9639414833</v>
      </c>
      <c r="L60" s="14">
        <v>0</v>
      </c>
      <c r="M60" s="14">
        <v>0</v>
      </c>
      <c r="N60" s="14">
        <v>100000</v>
      </c>
      <c r="O60" s="390">
        <v>261829.83754598402</v>
      </c>
    </row>
    <row r="61" spans="3:23">
      <c r="H61" s="4">
        <v>6</v>
      </c>
      <c r="I61" s="386">
        <v>1123950.4424178507</v>
      </c>
      <c r="J61" s="105">
        <v>2717796.2155332207</v>
      </c>
      <c r="K61" s="387">
        <v>1129225.2827812857</v>
      </c>
      <c r="L61" s="14">
        <v>0</v>
      </c>
      <c r="M61" s="14">
        <v>0</v>
      </c>
      <c r="N61" s="14">
        <v>100000</v>
      </c>
      <c r="O61" s="390">
        <v>269684.73267236352</v>
      </c>
    </row>
    <row r="62" spans="3:23">
      <c r="H62" s="4">
        <v>7</v>
      </c>
      <c r="I62" s="386">
        <v>1171156.3609994003</v>
      </c>
      <c r="J62" s="105">
        <v>2831943.6565856156</v>
      </c>
      <c r="K62" s="387">
        <v>1180494.4563978605</v>
      </c>
      <c r="L62" s="14">
        <v>0</v>
      </c>
      <c r="M62" s="14">
        <v>0</v>
      </c>
      <c r="N62" s="14">
        <v>100000</v>
      </c>
      <c r="O62" s="390">
        <v>277775.27465253446</v>
      </c>
    </row>
    <row r="63" spans="3:23">
      <c r="H63" s="4">
        <v>8</v>
      </c>
      <c r="I63" s="386">
        <v>1220344.9281613748</v>
      </c>
      <c r="J63" s="105">
        <v>2950885.2901622108</v>
      </c>
      <c r="K63" s="387">
        <v>1233442.3888544089</v>
      </c>
      <c r="L63" s="14">
        <v>0</v>
      </c>
      <c r="M63" s="14">
        <v>0</v>
      </c>
      <c r="N63" s="14">
        <v>100000</v>
      </c>
      <c r="O63" s="390">
        <v>286108.53289211052</v>
      </c>
    </row>
    <row r="64" spans="3:23">
      <c r="H64" s="4">
        <v>9</v>
      </c>
      <c r="I64" s="386">
        <v>1271599.4151441522</v>
      </c>
      <c r="J64" s="105">
        <v>3074822.472349023</v>
      </c>
      <c r="K64" s="387">
        <v>1289673.147778522</v>
      </c>
      <c r="L64" s="14">
        <v>0</v>
      </c>
      <c r="M64" s="14">
        <v>0</v>
      </c>
      <c r="N64" s="14">
        <v>100000</v>
      </c>
      <c r="O64" s="390">
        <v>294691.78887887386</v>
      </c>
    </row>
    <row r="65" spans="8:15">
      <c r="H65" s="4">
        <v>10</v>
      </c>
      <c r="I65" s="386">
        <v>1325006.5905802064</v>
      </c>
      <c r="J65" s="105">
        <v>3203965.0161876814</v>
      </c>
      <c r="K65" s="387">
        <v>1349584.7964898467</v>
      </c>
      <c r="L65" s="14">
        <v>0</v>
      </c>
      <c r="M65" s="14">
        <v>0</v>
      </c>
      <c r="N65" s="14">
        <v>100000</v>
      </c>
      <c r="O65" s="390">
        <v>303532.54254524008</v>
      </c>
    </row>
    <row r="66" spans="8:15">
      <c r="H66" s="4">
        <v>11</v>
      </c>
      <c r="I66" s="386">
        <v>1380656.8673845748</v>
      </c>
      <c r="J66" s="105">
        <v>3338531.5468675634</v>
      </c>
      <c r="K66" s="387">
        <v>1412343.993944257</v>
      </c>
      <c r="L66" s="14">
        <v>0</v>
      </c>
      <c r="M66" s="14">
        <v>0</v>
      </c>
      <c r="N66" s="14">
        <v>100000</v>
      </c>
      <c r="O66" s="390">
        <v>312638.51882159727</v>
      </c>
    </row>
    <row r="67" spans="8:15">
      <c r="H67" s="4">
        <v>12</v>
      </c>
      <c r="I67" s="386">
        <v>1438644.4558147267</v>
      </c>
      <c r="J67" s="105">
        <v>3478749.8718360006</v>
      </c>
      <c r="K67" s="387">
        <v>1478819.083766639</v>
      </c>
      <c r="L67" s="14">
        <v>0</v>
      </c>
      <c r="M67" s="14">
        <v>0</v>
      </c>
      <c r="N67" s="14">
        <v>100000</v>
      </c>
      <c r="O67" s="390">
        <v>322017.6743862452</v>
      </c>
    </row>
    <row r="68" spans="8:15">
      <c r="H68" s="4">
        <v>13</v>
      </c>
      <c r="I68" s="386">
        <v>1499067.522958945</v>
      </c>
      <c r="J68" s="105">
        <v>3624857.3664531121</v>
      </c>
      <c r="K68" s="387">
        <v>1550010.7595509905</v>
      </c>
      <c r="L68" s="14">
        <v>0</v>
      </c>
      <c r="M68" s="14">
        <v>0</v>
      </c>
      <c r="N68" s="14">
        <v>100000</v>
      </c>
      <c r="O68" s="390">
        <v>331678.20461783255</v>
      </c>
    </row>
    <row r="69" spans="8:15">
      <c r="H69" s="4">
        <v>14</v>
      </c>
      <c r="I69" s="386">
        <v>1562028.3589232205</v>
      </c>
      <c r="J69" s="105">
        <v>3777101.3758441419</v>
      </c>
      <c r="K69" s="387">
        <v>1624173.0529010231</v>
      </c>
      <c r="L69" s="14">
        <v>0</v>
      </c>
      <c r="M69" s="14">
        <v>0</v>
      </c>
      <c r="N69" s="14">
        <v>100000</v>
      </c>
      <c r="O69" s="390">
        <v>341628.55075636756</v>
      </c>
    </row>
    <row r="70" spans="8:15">
      <c r="H70" s="4">
        <v>15</v>
      </c>
      <c r="I70" s="386">
        <v>1627633.5499979956</v>
      </c>
      <c r="J70" s="105">
        <v>3935739.6336295954</v>
      </c>
      <c r="K70" s="387">
        <v>1702249.130083326</v>
      </c>
      <c r="L70" s="14">
        <v>0</v>
      </c>
      <c r="M70" s="14">
        <v>0</v>
      </c>
      <c r="N70" s="14">
        <v>100000</v>
      </c>
      <c r="O70" s="390">
        <v>351877.40727905859</v>
      </c>
    </row>
    <row r="71" spans="8:15">
      <c r="H71" s="4">
        <v>16</v>
      </c>
      <c r="I71" s="386">
        <v>1695994.1590979111</v>
      </c>
      <c r="J71" s="105">
        <v>4101040.6982420376</v>
      </c>
      <c r="K71" s="387">
        <v>1783444.046661437</v>
      </c>
      <c r="L71" s="14">
        <v>0</v>
      </c>
      <c r="M71" s="14">
        <v>0</v>
      </c>
      <c r="N71" s="14">
        <v>100000</v>
      </c>
      <c r="O71" s="390">
        <v>362433.72949743038</v>
      </c>
    </row>
    <row r="72" spans="8:15">
      <c r="H72" s="4">
        <v>17</v>
      </c>
      <c r="I72" s="386">
        <v>1767225.9137800231</v>
      </c>
      <c r="J72" s="105">
        <v>4273284.4075682024</v>
      </c>
      <c r="K72" s="387">
        <v>1869426.0783624898</v>
      </c>
      <c r="L72" s="14">
        <v>0</v>
      </c>
      <c r="M72" s="14">
        <v>0</v>
      </c>
      <c r="N72" s="14">
        <v>100000</v>
      </c>
      <c r="O72" s="390">
        <v>373306.7413823533</v>
      </c>
    </row>
    <row r="73" spans="8:15">
      <c r="H73" s="4">
        <v>18</v>
      </c>
      <c r="I73" s="386">
        <v>1841449.4021587837</v>
      </c>
      <c r="J73" s="105">
        <v>4452762.3526860662</v>
      </c>
      <c r="K73" s="387">
        <v>1959403.5725036599</v>
      </c>
      <c r="L73" s="14">
        <v>0</v>
      </c>
      <c r="M73" s="14">
        <v>0</v>
      </c>
      <c r="N73" s="14">
        <v>100000</v>
      </c>
      <c r="O73" s="390">
        <v>384505.94362382393</v>
      </c>
    </row>
    <row r="74" spans="8:15">
      <c r="H74" s="4">
        <v>19</v>
      </c>
      <c r="I74" s="386">
        <v>1918790.2770494523</v>
      </c>
      <c r="J74" s="105">
        <v>4639778.37149888</v>
      </c>
      <c r="K74" s="387">
        <v>2028615.065300256</v>
      </c>
      <c r="L74" s="14">
        <v>0</v>
      </c>
      <c r="M74" s="14">
        <v>0</v>
      </c>
      <c r="N74" s="14">
        <v>100000</v>
      </c>
      <c r="O74" s="390">
        <v>396041.12193253863</v>
      </c>
    </row>
    <row r="75" spans="8:15" ht="15.75" thickBot="1">
      <c r="H75" s="4">
        <v>20</v>
      </c>
      <c r="I75" s="388">
        <v>1999379.468685529</v>
      </c>
      <c r="J75" s="198">
        <v>4834649.0631018318</v>
      </c>
      <c r="K75" s="389">
        <v>2127726.4849813748</v>
      </c>
      <c r="L75" s="14">
        <v>0</v>
      </c>
      <c r="M75" s="14">
        <v>0</v>
      </c>
      <c r="N75" s="14">
        <v>100000</v>
      </c>
      <c r="O75" s="390">
        <v>407922.35559051478</v>
      </c>
    </row>
    <row r="76" spans="8:15" ht="15.75" thickBot="1">
      <c r="H76" s="6">
        <v>21</v>
      </c>
      <c r="I76" s="391">
        <v>2083353.4063703208</v>
      </c>
      <c r="J76" s="391">
        <v>5037704.323752108</v>
      </c>
      <c r="K76" s="391">
        <v>2316149.3916600114</v>
      </c>
      <c r="L76" s="391">
        <v>0</v>
      </c>
      <c r="M76" s="391">
        <v>0</v>
      </c>
      <c r="N76" s="391">
        <v>50000</v>
      </c>
      <c r="O76" s="392">
        <v>420160.02625823021</v>
      </c>
    </row>
    <row r="77" spans="8:15">
      <c r="H77" t="s">
        <v>463</v>
      </c>
      <c r="I77" s="14">
        <v>29901920.005773261</v>
      </c>
      <c r="J77" s="14">
        <v>72305078.553147584</v>
      </c>
      <c r="K77" s="14">
        <v>31131748.358481668</v>
      </c>
      <c r="L77" s="14">
        <v>0</v>
      </c>
      <c r="M77" s="14">
        <v>599028.47999999998</v>
      </c>
      <c r="N77" s="14">
        <v>2530000</v>
      </c>
      <c r="O77" s="14">
        <v>6438447.8348658979</v>
      </c>
    </row>
    <row r="78" spans="8:15">
      <c r="H78" t="s">
        <v>464</v>
      </c>
      <c r="I78" s="97">
        <v>7.0000000000000001E-3</v>
      </c>
      <c r="J78" s="97">
        <v>7.0000000000000001E-3</v>
      </c>
      <c r="K78" s="97">
        <v>7.0000000000000001E-3</v>
      </c>
      <c r="N78" t="s">
        <v>465</v>
      </c>
      <c r="O78" s="38">
        <v>0.03</v>
      </c>
    </row>
    <row r="79" spans="8:15">
      <c r="H79" t="s">
        <v>466</v>
      </c>
      <c r="I79" s="104">
        <v>3.5000000000000003E-2</v>
      </c>
      <c r="J79" s="104">
        <v>3.5000000000000003E-2</v>
      </c>
      <c r="K79" s="104">
        <v>3.5000000000000003E-2</v>
      </c>
      <c r="O79" s="38"/>
    </row>
  </sheetData>
  <hyperlinks>
    <hyperlink ref="A1" location="Summary_RealizationSchedule!A1" display="Back to Summary" xr:uid="{00000000-0004-0000-13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4">
    <tabColor rgb="FF09FF78"/>
  </sheetPr>
  <dimension ref="A1:AA52"/>
  <sheetViews>
    <sheetView workbookViewId="0"/>
  </sheetViews>
  <sheetFormatPr defaultRowHeight="15"/>
  <cols>
    <col min="1" max="1" width="24.85546875" customWidth="1"/>
    <col min="2" max="2" width="19.85546875" customWidth="1"/>
    <col min="4" max="4" width="20.85546875" bestFit="1" customWidth="1"/>
    <col min="5" max="5" width="25.28515625" bestFit="1" customWidth="1"/>
    <col min="6" max="6" width="11.5703125" bestFit="1" customWidth="1"/>
    <col min="7" max="7" width="16.5703125" customWidth="1"/>
    <col min="8" max="9" width="10.5703125" customWidth="1"/>
  </cols>
  <sheetData>
    <row r="1" spans="1:27">
      <c r="A1" s="9" t="s">
        <v>55</v>
      </c>
    </row>
    <row r="3" spans="1:27">
      <c r="A3" t="s">
        <v>408</v>
      </c>
      <c r="B3" s="44"/>
      <c r="C3" s="61">
        <v>0</v>
      </c>
      <c r="D3" s="61">
        <v>0</v>
      </c>
      <c r="E3" s="61">
        <v>0</v>
      </c>
      <c r="F3" s="61">
        <v>0.3</v>
      </c>
      <c r="G3" s="61">
        <v>0.75</v>
      </c>
      <c r="H3" s="61">
        <v>0.75</v>
      </c>
      <c r="I3" s="61">
        <v>0.75</v>
      </c>
      <c r="J3" s="61">
        <v>1</v>
      </c>
      <c r="K3" s="61">
        <v>1</v>
      </c>
      <c r="L3" s="61">
        <v>1</v>
      </c>
      <c r="M3" s="61">
        <v>1</v>
      </c>
      <c r="N3" s="61">
        <v>1</v>
      </c>
      <c r="O3" s="61">
        <v>1</v>
      </c>
      <c r="P3" s="61">
        <v>1</v>
      </c>
      <c r="Q3" s="61">
        <v>1</v>
      </c>
      <c r="R3" s="61">
        <v>1</v>
      </c>
      <c r="S3" s="61">
        <v>1</v>
      </c>
      <c r="T3" s="61">
        <v>1</v>
      </c>
      <c r="U3" s="61">
        <v>1</v>
      </c>
      <c r="V3" s="61">
        <v>1</v>
      </c>
      <c r="W3" s="61">
        <v>1</v>
      </c>
      <c r="X3" s="61">
        <v>0.25</v>
      </c>
      <c r="Y3" s="61">
        <v>0</v>
      </c>
      <c r="Z3" s="61">
        <v>0</v>
      </c>
      <c r="AA3" s="61">
        <v>0</v>
      </c>
    </row>
    <row r="4" spans="1:27">
      <c r="A4" s="44" t="s">
        <v>177</v>
      </c>
      <c r="B4" s="44"/>
      <c r="C4" s="61">
        <v>2016</v>
      </c>
      <c r="D4" s="61">
        <v>2017</v>
      </c>
      <c r="E4" s="61">
        <v>2018</v>
      </c>
      <c r="F4" s="61">
        <v>2019</v>
      </c>
      <c r="G4" s="61">
        <v>2020</v>
      </c>
      <c r="H4" s="61">
        <v>2021</v>
      </c>
      <c r="I4" s="61">
        <v>2022</v>
      </c>
      <c r="J4" s="61">
        <v>2023</v>
      </c>
      <c r="K4" s="61">
        <v>2024</v>
      </c>
      <c r="L4" s="61">
        <v>2025</v>
      </c>
      <c r="M4" s="61">
        <v>2026</v>
      </c>
      <c r="N4" s="61">
        <v>2027</v>
      </c>
      <c r="O4" s="61">
        <v>2028</v>
      </c>
      <c r="P4" s="61">
        <v>2029</v>
      </c>
      <c r="Q4" s="61">
        <v>2030</v>
      </c>
      <c r="R4" s="61">
        <v>2031</v>
      </c>
      <c r="S4" s="61">
        <v>2032</v>
      </c>
      <c r="T4" s="61">
        <v>2033</v>
      </c>
      <c r="U4" s="61">
        <v>2034</v>
      </c>
      <c r="V4" s="61">
        <v>2035</v>
      </c>
      <c r="W4" s="61">
        <v>2036</v>
      </c>
      <c r="X4" s="61">
        <v>2037</v>
      </c>
      <c r="Y4" s="61">
        <v>2038</v>
      </c>
      <c r="Z4" s="61">
        <v>2039</v>
      </c>
      <c r="AA4" s="61">
        <v>2040</v>
      </c>
    </row>
    <row r="5" spans="1:27">
      <c r="A5" s="44" t="s">
        <v>179</v>
      </c>
      <c r="B5" s="63">
        <v>3655286.3609425626</v>
      </c>
      <c r="C5" s="64">
        <v>0</v>
      </c>
      <c r="D5" s="64">
        <v>0</v>
      </c>
      <c r="E5" s="64">
        <v>0</v>
      </c>
      <c r="F5" s="64">
        <v>106780.99183796665</v>
      </c>
      <c r="G5" s="393">
        <v>226829.72133992857</v>
      </c>
      <c r="H5" s="64">
        <v>287072.4210295059</v>
      </c>
      <c r="I5" s="64">
        <v>297694.10060759756</v>
      </c>
      <c r="J5" s="64">
        <v>411611.70977343817</v>
      </c>
      <c r="K5" s="64">
        <v>426841.34303505538</v>
      </c>
      <c r="L5" s="64">
        <v>442634.4727273524</v>
      </c>
      <c r="M5" s="64">
        <v>459011.94821826444</v>
      </c>
      <c r="N5" s="64">
        <v>475995.39030234015</v>
      </c>
      <c r="O5" s="64">
        <v>493607.21974352672</v>
      </c>
      <c r="P5" s="64">
        <v>511870.68687403708</v>
      </c>
      <c r="Q5" s="64">
        <v>530809.90228837647</v>
      </c>
      <c r="R5" s="64">
        <v>550449.86867304635</v>
      </c>
      <c r="S5" s="64">
        <v>570816.51381394907</v>
      </c>
      <c r="T5" s="64">
        <v>591936.72482506512</v>
      </c>
      <c r="U5" s="64">
        <v>613838.38364359247</v>
      </c>
      <c r="V5" s="64">
        <v>636550.40383840527</v>
      </c>
      <c r="W5" s="64">
        <v>660102.76878042636</v>
      </c>
      <c r="X5" s="64">
        <v>171131.64280632552</v>
      </c>
      <c r="Y5" s="64">
        <v>0</v>
      </c>
      <c r="Z5" s="64">
        <v>0</v>
      </c>
      <c r="AA5" s="64">
        <v>0</v>
      </c>
    </row>
    <row r="7" spans="1:27">
      <c r="A7" t="s">
        <v>467</v>
      </c>
      <c r="B7" s="63">
        <v>50000</v>
      </c>
    </row>
    <row r="8" spans="1:27">
      <c r="A8" t="s">
        <v>407</v>
      </c>
      <c r="B8" s="38">
        <v>0.03</v>
      </c>
    </row>
    <row r="9" spans="1:27">
      <c r="A9" t="s">
        <v>468</v>
      </c>
      <c r="B9" s="38">
        <v>7.0000000000000001E-3</v>
      </c>
    </row>
    <row r="10" spans="1:27">
      <c r="B10" s="38"/>
    </row>
    <row r="11" spans="1:27" ht="15.75">
      <c r="A11" s="67" t="s">
        <v>469</v>
      </c>
      <c r="B11" s="68"/>
      <c r="C11" s="68"/>
      <c r="D11" s="68"/>
      <c r="E11" s="68"/>
      <c r="F11" s="68"/>
      <c r="G11" s="68"/>
      <c r="H11" s="68"/>
      <c r="I11" s="68"/>
      <c r="J11" s="68"/>
      <c r="K11" s="68"/>
      <c r="L11" s="68"/>
      <c r="M11" s="68"/>
      <c r="N11" s="68"/>
      <c r="O11" s="68"/>
    </row>
    <row r="12" spans="1:27" ht="46.5" customHeight="1">
      <c r="A12" s="613" t="s">
        <v>470</v>
      </c>
      <c r="B12" s="613"/>
      <c r="C12" s="613"/>
      <c r="D12" s="613"/>
      <c r="E12" s="613"/>
      <c r="F12" s="613"/>
      <c r="G12" s="613"/>
      <c r="H12" s="343"/>
      <c r="I12" s="343"/>
      <c r="J12" s="343"/>
      <c r="K12" s="343"/>
      <c r="L12" s="343"/>
      <c r="M12" s="343"/>
      <c r="N12" s="343"/>
      <c r="O12" s="343"/>
    </row>
    <row r="13" spans="1:27" ht="15.75">
      <c r="A13" s="67"/>
      <c r="B13" s="68"/>
      <c r="C13" s="68"/>
      <c r="D13" s="78" t="s">
        <v>471</v>
      </c>
      <c r="E13" s="78" t="s">
        <v>472</v>
      </c>
      <c r="F13" s="78" t="s">
        <v>473</v>
      </c>
      <c r="G13" s="68"/>
      <c r="H13" s="68"/>
      <c r="I13" s="68"/>
      <c r="J13" s="68"/>
      <c r="K13" s="68"/>
      <c r="L13" s="68"/>
      <c r="M13" s="68"/>
      <c r="N13" s="68"/>
      <c r="O13" s="68"/>
    </row>
    <row r="14" spans="1:27" ht="15.75">
      <c r="A14" s="68" t="s">
        <v>474</v>
      </c>
      <c r="B14" s="68"/>
      <c r="C14" s="68"/>
      <c r="D14" s="70">
        <v>23385</v>
      </c>
      <c r="E14" s="70">
        <v>1804801283</v>
      </c>
      <c r="F14" s="71">
        <v>77177.73286294633</v>
      </c>
      <c r="G14" s="68"/>
      <c r="H14" s="68"/>
      <c r="I14" s="68"/>
      <c r="J14" s="68"/>
      <c r="K14" s="68"/>
      <c r="L14" s="68"/>
      <c r="M14" s="68"/>
      <c r="N14" s="68"/>
      <c r="O14" s="68"/>
    </row>
    <row r="15" spans="1:27" ht="15.75">
      <c r="A15" s="68" t="s">
        <v>475</v>
      </c>
      <c r="B15" s="68"/>
      <c r="C15" s="68"/>
      <c r="D15" s="70">
        <v>212659</v>
      </c>
      <c r="E15" s="70">
        <v>2482493050</v>
      </c>
      <c r="F15" s="71">
        <v>11673.585646504498</v>
      </c>
      <c r="G15" s="68"/>
      <c r="H15" s="68"/>
      <c r="I15" s="68"/>
      <c r="J15" s="68"/>
      <c r="K15" s="68"/>
      <c r="L15" s="68"/>
      <c r="M15" s="68"/>
      <c r="N15" s="68"/>
      <c r="O15" s="68"/>
    </row>
    <row r="16" spans="1:27" ht="15.75">
      <c r="A16" s="68"/>
      <c r="B16" s="68" t="s">
        <v>476</v>
      </c>
      <c r="C16" s="68"/>
      <c r="D16" s="70">
        <v>46061</v>
      </c>
      <c r="E16" s="70">
        <v>154446492</v>
      </c>
      <c r="F16" s="71">
        <v>3353.085951238575</v>
      </c>
      <c r="G16" s="71">
        <v>33.530859512385753</v>
      </c>
      <c r="H16" s="68"/>
      <c r="I16" s="68"/>
      <c r="J16" s="68"/>
      <c r="K16" s="68"/>
      <c r="L16" s="68"/>
      <c r="M16" s="68"/>
      <c r="N16" s="68"/>
      <c r="O16" s="68"/>
    </row>
    <row r="17" spans="1:15" ht="15.75">
      <c r="A17" s="68"/>
      <c r="B17" s="68" t="s">
        <v>477</v>
      </c>
      <c r="C17" s="68"/>
      <c r="D17" s="70">
        <v>85416</v>
      </c>
      <c r="E17" s="70">
        <v>762768267</v>
      </c>
      <c r="F17" s="71">
        <v>8930.0396529924128</v>
      </c>
      <c r="G17" s="71">
        <v>178.60079305984826</v>
      </c>
      <c r="H17" s="68"/>
      <c r="I17" s="68"/>
      <c r="J17" s="68"/>
      <c r="K17" s="68"/>
      <c r="L17" s="68"/>
      <c r="M17" s="68"/>
      <c r="N17" s="68"/>
      <c r="O17" s="68"/>
    </row>
    <row r="18" spans="1:15" ht="15.75">
      <c r="A18" s="68"/>
      <c r="B18" s="68" t="s">
        <v>478</v>
      </c>
      <c r="C18" s="68"/>
      <c r="D18" s="70">
        <v>81121</v>
      </c>
      <c r="E18" s="70">
        <v>1564546291</v>
      </c>
      <c r="F18" s="71">
        <v>19286.575498329657</v>
      </c>
      <c r="G18" s="71">
        <v>578.59726494988968</v>
      </c>
      <c r="H18" s="68"/>
      <c r="I18" s="68"/>
      <c r="J18" s="68"/>
      <c r="K18" s="68"/>
      <c r="L18" s="68"/>
      <c r="M18" s="68"/>
      <c r="N18" s="68"/>
      <c r="O18" s="68"/>
    </row>
    <row r="19" spans="1:15" ht="15.75">
      <c r="A19" s="68"/>
      <c r="B19" s="68"/>
      <c r="C19" s="68"/>
      <c r="D19" s="70"/>
      <c r="E19" s="70">
        <v>6769055383</v>
      </c>
      <c r="F19" s="71"/>
      <c r="G19" s="72">
        <v>17261091.22665</v>
      </c>
      <c r="H19" s="614" t="s">
        <v>479</v>
      </c>
      <c r="I19" s="614"/>
      <c r="J19" s="68"/>
      <c r="K19" s="68"/>
      <c r="L19" s="68"/>
      <c r="M19" s="68"/>
      <c r="N19" s="68"/>
      <c r="O19" s="68"/>
    </row>
    <row r="20" spans="1:15" ht="15.75">
      <c r="A20" s="68"/>
      <c r="B20" s="68"/>
      <c r="C20" s="68"/>
      <c r="D20" s="70"/>
      <c r="E20" s="70"/>
      <c r="F20" s="71"/>
      <c r="G20" s="68"/>
      <c r="H20" s="614"/>
      <c r="I20" s="614"/>
      <c r="J20" s="68"/>
      <c r="K20" s="68"/>
      <c r="L20" s="68"/>
      <c r="M20" s="68"/>
      <c r="N20" s="68"/>
      <c r="O20" s="68"/>
    </row>
    <row r="21" spans="1:15" ht="15.75">
      <c r="A21" s="68"/>
      <c r="B21" s="68"/>
      <c r="C21" s="68"/>
      <c r="D21" s="68"/>
      <c r="E21" s="68"/>
      <c r="F21" s="68"/>
      <c r="G21" s="68"/>
      <c r="H21" s="68"/>
      <c r="I21" s="68"/>
      <c r="J21" s="68"/>
      <c r="K21" s="68"/>
      <c r="L21" s="68"/>
      <c r="M21" s="68"/>
      <c r="N21" s="68"/>
      <c r="O21" s="68"/>
    </row>
    <row r="22" spans="1:15" ht="15.75">
      <c r="A22" s="67"/>
      <c r="B22" s="68"/>
      <c r="C22" s="68"/>
      <c r="D22" s="78" t="s">
        <v>471</v>
      </c>
      <c r="E22" s="78" t="s">
        <v>480</v>
      </c>
      <c r="F22" s="78" t="s">
        <v>481</v>
      </c>
      <c r="G22" s="78" t="s">
        <v>482</v>
      </c>
      <c r="H22" s="73">
        <v>0.03</v>
      </c>
      <c r="I22" s="68"/>
      <c r="J22" s="68"/>
      <c r="K22" s="68"/>
      <c r="L22" s="68"/>
      <c r="M22" s="68"/>
      <c r="N22" s="68"/>
      <c r="O22" s="68"/>
    </row>
    <row r="23" spans="1:15" ht="15.75">
      <c r="A23" s="68" t="s">
        <v>474</v>
      </c>
      <c r="B23" s="68"/>
      <c r="C23" s="68"/>
      <c r="D23" s="70">
        <v>23385</v>
      </c>
      <c r="E23" s="74">
        <v>0.01</v>
      </c>
      <c r="F23" s="74">
        <v>0.03</v>
      </c>
      <c r="G23" s="70">
        <v>541440.38490000006</v>
      </c>
      <c r="H23" s="68"/>
      <c r="I23" s="68"/>
      <c r="J23" s="68"/>
      <c r="K23" s="68"/>
      <c r="L23" s="68"/>
      <c r="M23" s="68"/>
      <c r="N23" s="68"/>
      <c r="O23" s="68"/>
    </row>
    <row r="24" spans="1:15" ht="15.75">
      <c r="A24" s="68" t="s">
        <v>475</v>
      </c>
      <c r="B24" s="68"/>
      <c r="C24" s="68"/>
      <c r="D24" s="70">
        <v>212659</v>
      </c>
      <c r="E24" s="69"/>
      <c r="F24" s="74"/>
      <c r="G24" s="70"/>
      <c r="H24" s="68"/>
      <c r="I24" s="68"/>
      <c r="J24" s="68"/>
      <c r="K24" s="68"/>
      <c r="L24" s="68"/>
      <c r="M24" s="68"/>
      <c r="N24" s="68"/>
      <c r="O24" s="68"/>
    </row>
    <row r="25" spans="1:15" ht="15.75">
      <c r="A25" s="68"/>
      <c r="B25" s="68" t="s">
        <v>476</v>
      </c>
      <c r="C25" s="68"/>
      <c r="D25" s="70">
        <v>46061</v>
      </c>
      <c r="E25" s="75">
        <v>0.01</v>
      </c>
      <c r="F25" s="74">
        <v>0.03</v>
      </c>
      <c r="G25" s="70">
        <v>46333.9476</v>
      </c>
      <c r="H25" s="68"/>
      <c r="I25" s="68"/>
      <c r="J25" s="68"/>
      <c r="K25" s="68"/>
      <c r="L25" s="68"/>
      <c r="M25" s="68"/>
      <c r="N25" s="68"/>
      <c r="O25" s="68"/>
    </row>
    <row r="26" spans="1:15" ht="15.75">
      <c r="A26" s="68"/>
      <c r="B26" s="68" t="s">
        <v>477</v>
      </c>
      <c r="C26" s="68"/>
      <c r="D26" s="70">
        <v>85416</v>
      </c>
      <c r="E26" s="75">
        <v>0.03</v>
      </c>
      <c r="F26" s="74">
        <v>0.03</v>
      </c>
      <c r="G26" s="70">
        <v>686491.4402999999</v>
      </c>
      <c r="H26" s="68"/>
      <c r="I26" s="68"/>
      <c r="J26" s="68"/>
      <c r="K26" s="68"/>
      <c r="L26" s="68"/>
      <c r="M26" s="68"/>
      <c r="N26" s="68"/>
      <c r="O26" s="68"/>
    </row>
    <row r="27" spans="1:15" ht="15.75">
      <c r="A27" s="68"/>
      <c r="B27" s="68" t="s">
        <v>478</v>
      </c>
      <c r="C27" s="68"/>
      <c r="D27" s="70">
        <v>81121</v>
      </c>
      <c r="E27" s="75">
        <v>0.05</v>
      </c>
      <c r="F27" s="74">
        <v>0.03</v>
      </c>
      <c r="G27" s="70">
        <v>2346819.4364999998</v>
      </c>
      <c r="H27" s="68"/>
      <c r="I27" s="68"/>
      <c r="J27" s="68"/>
      <c r="K27" s="68"/>
      <c r="L27" s="68"/>
      <c r="M27" s="68"/>
      <c r="N27" s="68"/>
      <c r="O27" s="68"/>
    </row>
    <row r="28" spans="1:15" ht="15.75">
      <c r="A28" s="67"/>
      <c r="B28" s="68" t="s">
        <v>30</v>
      </c>
      <c r="C28" s="68"/>
      <c r="D28" s="68"/>
      <c r="E28" s="68"/>
      <c r="G28" s="70">
        <v>3621085.2092999998</v>
      </c>
      <c r="H28" s="72">
        <v>307792.24279049999</v>
      </c>
      <c r="I28" s="76"/>
      <c r="J28" s="68"/>
      <c r="K28" s="68"/>
      <c r="L28" s="68"/>
      <c r="M28" s="68"/>
      <c r="N28" s="68"/>
      <c r="O28" s="68"/>
    </row>
    <row r="29" spans="1:15" ht="15.75">
      <c r="A29" s="67"/>
      <c r="B29" s="68"/>
      <c r="C29" s="68"/>
      <c r="D29" s="68"/>
      <c r="E29" s="68"/>
      <c r="G29" s="70"/>
      <c r="H29" s="72"/>
      <c r="I29" s="76"/>
      <c r="J29" s="68"/>
      <c r="K29" s="68"/>
      <c r="L29" s="68"/>
      <c r="M29" s="68"/>
      <c r="N29" s="68"/>
      <c r="O29" s="68"/>
    </row>
    <row r="30" spans="1:15" ht="15.75">
      <c r="A30" s="67"/>
      <c r="B30" s="68"/>
      <c r="C30" s="68"/>
      <c r="D30" s="68"/>
      <c r="E30" s="68"/>
      <c r="G30" s="70"/>
      <c r="H30" s="72"/>
      <c r="I30" s="76"/>
      <c r="J30" s="68"/>
      <c r="K30" s="68"/>
      <c r="L30" s="68"/>
      <c r="M30" s="68"/>
      <c r="N30" s="68"/>
      <c r="O30" s="68"/>
    </row>
    <row r="31" spans="1:15" ht="15.75">
      <c r="A31" s="67"/>
      <c r="B31" s="68"/>
      <c r="C31" s="68"/>
      <c r="D31" s="68"/>
      <c r="E31" s="68">
        <v>233.85</v>
      </c>
      <c r="F31" s="68"/>
      <c r="G31" s="68"/>
      <c r="H31" s="68"/>
      <c r="I31" s="68"/>
      <c r="J31" s="68"/>
      <c r="K31" s="68"/>
      <c r="L31" s="68"/>
      <c r="M31" s="68"/>
      <c r="N31" s="68"/>
      <c r="O31" s="68"/>
    </row>
    <row r="32" spans="1:15" ht="15.75">
      <c r="A32" s="67"/>
      <c r="B32" s="68"/>
      <c r="C32" s="68"/>
      <c r="D32" s="68"/>
      <c r="E32" s="68">
        <v>7079.14</v>
      </c>
      <c r="F32" s="68"/>
      <c r="G32" s="68"/>
      <c r="H32" s="68"/>
      <c r="I32" s="68"/>
      <c r="J32" s="68"/>
      <c r="K32" s="68"/>
      <c r="L32" s="68"/>
      <c r="M32" s="68"/>
      <c r="N32" s="68"/>
      <c r="O32" s="68"/>
    </row>
    <row r="33" spans="1:15" ht="15.75">
      <c r="A33" s="67"/>
      <c r="B33" s="68"/>
      <c r="C33" s="68"/>
      <c r="D33" s="68"/>
      <c r="E33" s="68">
        <v>7312.9900000000007</v>
      </c>
      <c r="F33" s="68"/>
      <c r="G33" s="68"/>
      <c r="H33" s="68"/>
      <c r="I33" s="68"/>
      <c r="J33" s="68"/>
      <c r="K33" s="68"/>
      <c r="L33" s="68"/>
      <c r="M33" s="68"/>
      <c r="N33" s="68"/>
      <c r="O33" s="68"/>
    </row>
    <row r="34" spans="1:15" ht="15.75">
      <c r="A34" s="80">
        <v>0.06</v>
      </c>
      <c r="B34" s="68" t="s">
        <v>483</v>
      </c>
      <c r="C34" s="68"/>
      <c r="D34" s="68"/>
      <c r="E34" s="68"/>
      <c r="F34" s="68"/>
      <c r="G34" s="68"/>
      <c r="H34" s="68"/>
      <c r="I34" s="68"/>
      <c r="J34" s="68"/>
      <c r="K34" s="68"/>
      <c r="L34" s="68"/>
      <c r="M34" s="68"/>
      <c r="N34" s="68"/>
      <c r="O34" s="68"/>
    </row>
    <row r="35" spans="1:15" ht="15.75">
      <c r="A35" s="78"/>
      <c r="B35" s="77" t="s">
        <v>484</v>
      </c>
      <c r="C35" s="68"/>
      <c r="D35" s="68"/>
      <c r="E35" s="68"/>
      <c r="F35" s="68"/>
      <c r="G35" s="68"/>
      <c r="H35" s="68"/>
      <c r="I35" s="68"/>
      <c r="J35" s="68"/>
      <c r="K35" s="68"/>
      <c r="L35" s="68"/>
      <c r="M35" s="68"/>
      <c r="N35" s="68"/>
      <c r="O35" s="68"/>
    </row>
    <row r="36" spans="1:15" ht="15.75">
      <c r="A36" s="78" t="s">
        <v>485</v>
      </c>
      <c r="B36" s="79" t="s">
        <v>486</v>
      </c>
      <c r="C36" s="68"/>
      <c r="D36" s="68"/>
      <c r="E36" s="68"/>
      <c r="F36" s="68"/>
      <c r="G36" s="68"/>
      <c r="H36" s="68"/>
      <c r="I36" s="68"/>
      <c r="J36" s="68"/>
      <c r="K36" s="68"/>
      <c r="L36" s="68"/>
      <c r="M36" s="68"/>
      <c r="N36" s="68"/>
      <c r="O36" s="68"/>
    </row>
    <row r="37" spans="1:15" ht="15.75">
      <c r="A37" s="78"/>
      <c r="B37" s="68" t="s">
        <v>487</v>
      </c>
      <c r="C37" s="68"/>
      <c r="D37" s="68"/>
      <c r="E37" s="68"/>
      <c r="F37" s="68"/>
      <c r="G37" s="68"/>
      <c r="H37" s="68"/>
      <c r="I37" s="68"/>
      <c r="J37" s="68"/>
      <c r="K37" s="68"/>
      <c r="L37" s="68"/>
      <c r="M37" s="68"/>
      <c r="N37" s="68"/>
      <c r="O37" s="68"/>
    </row>
    <row r="38" spans="1:15" ht="15.75">
      <c r="A38" s="78"/>
      <c r="B38" s="68" t="s">
        <v>488</v>
      </c>
      <c r="C38" s="68"/>
      <c r="D38" s="68"/>
      <c r="E38" s="68"/>
      <c r="F38" s="68"/>
      <c r="G38" s="68"/>
      <c r="H38" s="68"/>
      <c r="I38" s="68"/>
      <c r="J38" s="68"/>
      <c r="K38" s="68"/>
      <c r="L38" s="68"/>
      <c r="M38" s="68"/>
      <c r="N38" s="68"/>
      <c r="O38" s="68"/>
    </row>
    <row r="39" spans="1:15" ht="15.75">
      <c r="A39" s="78"/>
      <c r="B39" s="68" t="s">
        <v>489</v>
      </c>
      <c r="C39" s="68"/>
      <c r="D39" s="68"/>
      <c r="E39" s="68"/>
      <c r="F39" s="68"/>
      <c r="G39" s="68"/>
      <c r="H39" s="68"/>
      <c r="I39" s="68"/>
      <c r="J39" s="68"/>
      <c r="K39" s="68"/>
      <c r="L39" s="68"/>
      <c r="M39" s="68"/>
      <c r="N39" s="68"/>
      <c r="O39" s="68"/>
    </row>
    <row r="40" spans="1:15" ht="15.75">
      <c r="A40" s="80">
        <v>0.02</v>
      </c>
      <c r="B40" s="68" t="s">
        <v>490</v>
      </c>
      <c r="C40" s="68"/>
      <c r="D40" s="68"/>
      <c r="E40" s="68"/>
      <c r="F40" s="68"/>
      <c r="G40" s="68"/>
      <c r="H40" s="68"/>
      <c r="I40" s="68"/>
      <c r="J40" s="68"/>
      <c r="K40" s="68"/>
      <c r="L40" s="68"/>
      <c r="M40" s="68"/>
      <c r="N40" s="68"/>
      <c r="O40" s="68"/>
    </row>
    <row r="41" spans="1:15" ht="15.75">
      <c r="A41" s="80">
        <v>0.02</v>
      </c>
      <c r="B41" s="68" t="s">
        <v>491</v>
      </c>
      <c r="C41" s="68"/>
      <c r="D41" s="68"/>
      <c r="E41" s="68"/>
      <c r="F41" s="68"/>
      <c r="G41" s="68"/>
      <c r="H41" s="68"/>
      <c r="I41" s="68"/>
      <c r="J41" s="68"/>
      <c r="K41" s="68"/>
      <c r="L41" s="68"/>
      <c r="M41" s="68"/>
      <c r="N41" s="68"/>
      <c r="O41" s="68"/>
    </row>
    <row r="42" spans="1:15" ht="15.75">
      <c r="A42" s="80">
        <v>0.04</v>
      </c>
      <c r="B42" s="68" t="s">
        <v>492</v>
      </c>
      <c r="C42" s="68"/>
      <c r="D42" s="68"/>
      <c r="E42" s="68"/>
      <c r="F42" s="68"/>
      <c r="G42" s="68"/>
      <c r="H42" s="68"/>
      <c r="I42" s="68"/>
      <c r="J42" s="68"/>
      <c r="K42" s="68"/>
      <c r="L42" s="68"/>
      <c r="M42" s="68"/>
      <c r="N42" s="68"/>
      <c r="O42" s="68"/>
    </row>
    <row r="43" spans="1:15" ht="15.75">
      <c r="A43" s="80">
        <v>0.03</v>
      </c>
      <c r="B43" s="68" t="s">
        <v>493</v>
      </c>
      <c r="C43" s="68"/>
      <c r="D43" s="68"/>
      <c r="E43" s="68"/>
      <c r="F43" s="68"/>
      <c r="G43" s="68"/>
      <c r="H43" s="68"/>
      <c r="I43" s="68"/>
      <c r="J43" s="68"/>
      <c r="K43" s="68"/>
      <c r="L43" s="68"/>
      <c r="M43" s="68"/>
      <c r="N43" s="68"/>
      <c r="O43" s="68"/>
    </row>
    <row r="44" spans="1:15" ht="15.75">
      <c r="A44" s="67"/>
      <c r="B44" s="68"/>
      <c r="C44" s="68"/>
      <c r="D44" s="68"/>
      <c r="E44" s="68"/>
      <c r="F44" s="68"/>
      <c r="G44" s="68"/>
      <c r="H44" s="68"/>
      <c r="I44" s="68"/>
      <c r="J44" s="68"/>
      <c r="K44" s="68"/>
      <c r="L44" s="68"/>
      <c r="M44" s="68"/>
      <c r="N44" s="68"/>
      <c r="O44" s="68"/>
    </row>
    <row r="45" spans="1:15" ht="15.75">
      <c r="A45" s="67"/>
      <c r="B45" s="68"/>
      <c r="C45" s="81" t="s">
        <v>494</v>
      </c>
      <c r="D45" s="81" t="s">
        <v>495</v>
      </c>
      <c r="E45" s="81" t="s">
        <v>496</v>
      </c>
      <c r="F45" s="68"/>
      <c r="G45" s="68"/>
      <c r="H45" s="68"/>
      <c r="I45" s="68"/>
      <c r="J45" s="68"/>
      <c r="K45" s="68"/>
      <c r="L45" s="68"/>
      <c r="M45" s="68"/>
      <c r="N45" s="68"/>
      <c r="O45" s="68"/>
    </row>
    <row r="46" spans="1:15" ht="15.75">
      <c r="A46" s="67"/>
      <c r="B46" s="68"/>
      <c r="C46" s="82" t="s">
        <v>497</v>
      </c>
      <c r="D46" s="83">
        <v>212659</v>
      </c>
      <c r="E46" s="83">
        <v>2482493050</v>
      </c>
      <c r="F46" s="68"/>
      <c r="G46" s="68"/>
      <c r="H46" s="68"/>
      <c r="I46" s="68"/>
      <c r="J46" s="68"/>
      <c r="K46" s="68"/>
      <c r="L46" s="68"/>
      <c r="M46" s="68"/>
      <c r="N46" s="68"/>
      <c r="O46" s="68"/>
    </row>
    <row r="47" spans="1:15" ht="15.75">
      <c r="A47" s="67"/>
      <c r="B47" s="68"/>
      <c r="C47" s="82" t="s">
        <v>498</v>
      </c>
      <c r="D47" s="83">
        <v>23385</v>
      </c>
      <c r="E47" s="83">
        <v>1804801283</v>
      </c>
      <c r="F47" s="68"/>
      <c r="G47" s="68"/>
      <c r="H47" s="68"/>
      <c r="I47" s="68"/>
      <c r="J47" s="68"/>
      <c r="K47" s="68"/>
      <c r="L47" s="68"/>
      <c r="M47" s="68"/>
      <c r="N47" s="68"/>
      <c r="O47" s="68"/>
    </row>
    <row r="48" spans="1:15" ht="15.75">
      <c r="A48" s="67"/>
      <c r="B48" s="68"/>
      <c r="C48" s="82" t="s">
        <v>499</v>
      </c>
      <c r="D48" s="83">
        <v>570</v>
      </c>
      <c r="E48" s="83">
        <v>80159</v>
      </c>
      <c r="F48" s="68"/>
      <c r="G48" s="68"/>
      <c r="H48" s="68"/>
      <c r="I48" s="68"/>
      <c r="J48" s="68"/>
      <c r="K48" s="68"/>
      <c r="L48" s="68"/>
      <c r="M48" s="68"/>
      <c r="N48" s="68"/>
      <c r="O48" s="68"/>
    </row>
    <row r="49" spans="1:15" ht="15.75">
      <c r="A49" s="67"/>
      <c r="B49" s="68"/>
      <c r="C49" s="82" t="s">
        <v>500</v>
      </c>
      <c r="D49" s="83">
        <v>359</v>
      </c>
      <c r="E49" s="83">
        <v>205546579</v>
      </c>
      <c r="F49" s="68"/>
      <c r="G49" s="68"/>
      <c r="H49" s="68"/>
      <c r="I49" s="68"/>
      <c r="J49" s="68"/>
      <c r="K49" s="68"/>
      <c r="L49" s="68"/>
      <c r="M49" s="68"/>
      <c r="N49" s="68"/>
      <c r="O49" s="68"/>
    </row>
    <row r="50" spans="1:15" ht="15.75">
      <c r="A50" s="67"/>
      <c r="B50" s="68"/>
      <c r="C50" s="82" t="s">
        <v>501</v>
      </c>
      <c r="D50" s="83">
        <v>56</v>
      </c>
      <c r="E50" s="83">
        <v>12095526</v>
      </c>
      <c r="F50" s="68"/>
      <c r="G50" s="68"/>
      <c r="H50" s="68"/>
      <c r="I50" s="68"/>
      <c r="J50" s="68"/>
      <c r="K50" s="68"/>
      <c r="L50" s="68"/>
      <c r="M50" s="68"/>
      <c r="N50" s="68"/>
      <c r="O50" s="68"/>
    </row>
    <row r="51" spans="1:15" ht="15.75">
      <c r="A51" s="67"/>
      <c r="B51" s="68"/>
      <c r="C51" s="82" t="s">
        <v>502</v>
      </c>
      <c r="D51" s="83">
        <v>1</v>
      </c>
      <c r="E51" s="83">
        <v>2875</v>
      </c>
      <c r="F51" s="68"/>
      <c r="G51" s="68"/>
      <c r="H51" s="68"/>
      <c r="I51" s="68"/>
      <c r="J51" s="68"/>
      <c r="K51" s="68"/>
      <c r="L51" s="68"/>
      <c r="M51" s="68"/>
      <c r="N51" s="68"/>
      <c r="O51" s="68"/>
    </row>
    <row r="52" spans="1:15" ht="15.75">
      <c r="A52" s="67"/>
      <c r="B52" s="68"/>
      <c r="C52" s="68"/>
      <c r="D52" s="68"/>
      <c r="E52" s="68"/>
      <c r="F52" s="68"/>
      <c r="G52" s="68"/>
      <c r="H52" s="68"/>
      <c r="I52" s="68"/>
      <c r="J52" s="68"/>
      <c r="K52" s="68"/>
      <c r="L52" s="68"/>
      <c r="M52" s="68"/>
      <c r="N52" s="68"/>
      <c r="O52" s="68"/>
    </row>
  </sheetData>
  <mergeCells count="2">
    <mergeCell ref="A12:G12"/>
    <mergeCell ref="H19:I20"/>
  </mergeCells>
  <hyperlinks>
    <hyperlink ref="B36" r:id="rId1" xr:uid="{00000000-0004-0000-1400-000000000000}"/>
    <hyperlink ref="A1" location="Summary_RealizationSchedule!A1" display="Back to Summary" xr:uid="{00000000-0004-0000-1400-000001000000}"/>
  </hyperlinks>
  <pageMargins left="0.7" right="0.7" top="0.75" bottom="0.75" header="0.3" footer="0.3"/>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35">
    <tabColor rgb="FF09FF78"/>
  </sheetPr>
  <dimension ref="A1:AB67"/>
  <sheetViews>
    <sheetView topLeftCell="A25" workbookViewId="0">
      <selection activeCell="L39" sqref="L39"/>
    </sheetView>
  </sheetViews>
  <sheetFormatPr defaultColWidth="9.140625" defaultRowHeight="15"/>
  <cols>
    <col min="1" max="1" width="29.42578125" customWidth="1"/>
    <col min="2" max="3" width="19.85546875" customWidth="1"/>
    <col min="5" max="5" width="12.140625" customWidth="1"/>
    <col min="6" max="6" width="16.28515625" customWidth="1"/>
    <col min="7" max="7" width="12.140625" customWidth="1"/>
    <col min="8" max="8" width="15.28515625" customWidth="1"/>
    <col min="9" max="11" width="11.140625" customWidth="1"/>
    <col min="12" max="12" width="12.42578125" customWidth="1"/>
    <col min="13" max="28" width="10.85546875" bestFit="1" customWidth="1"/>
  </cols>
  <sheetData>
    <row r="1" spans="1:28">
      <c r="A1" s="9" t="s">
        <v>55</v>
      </c>
    </row>
    <row r="3" spans="1:28">
      <c r="A3" t="s">
        <v>408</v>
      </c>
      <c r="B3" s="44"/>
      <c r="C3" s="44"/>
      <c r="D3" s="61">
        <v>0</v>
      </c>
      <c r="E3" s="61">
        <v>0</v>
      </c>
      <c r="F3" s="61">
        <v>0</v>
      </c>
      <c r="G3" s="61">
        <v>0.3</v>
      </c>
      <c r="H3" s="61">
        <v>0.75</v>
      </c>
      <c r="I3" s="61">
        <v>0.75</v>
      </c>
      <c r="J3" s="61">
        <v>0.75</v>
      </c>
      <c r="K3" s="61">
        <v>1</v>
      </c>
      <c r="L3" s="61">
        <v>1</v>
      </c>
      <c r="M3" s="61">
        <v>1</v>
      </c>
      <c r="N3" s="61">
        <v>1</v>
      </c>
      <c r="O3" s="61">
        <v>1</v>
      </c>
      <c r="P3" s="61">
        <v>1</v>
      </c>
      <c r="Q3" s="61">
        <v>1</v>
      </c>
      <c r="R3" s="61">
        <v>1</v>
      </c>
      <c r="S3" s="61">
        <v>1</v>
      </c>
      <c r="T3" s="61">
        <v>1</v>
      </c>
      <c r="U3" s="61">
        <v>1</v>
      </c>
      <c r="V3" s="61">
        <v>1</v>
      </c>
      <c r="W3" s="61">
        <v>1</v>
      </c>
      <c r="X3" s="61">
        <v>1</v>
      </c>
      <c r="Y3" s="61">
        <v>0.25</v>
      </c>
      <c r="Z3" s="61">
        <v>0</v>
      </c>
      <c r="AA3" s="61">
        <v>0</v>
      </c>
      <c r="AB3" s="61">
        <v>0</v>
      </c>
    </row>
    <row r="4" spans="1:28">
      <c r="A4" s="44" t="s">
        <v>177</v>
      </c>
      <c r="B4" s="44"/>
      <c r="C4" s="44"/>
      <c r="D4" s="61">
        <v>2016</v>
      </c>
      <c r="E4" s="61">
        <v>2017</v>
      </c>
      <c r="F4" s="61">
        <v>2018</v>
      </c>
      <c r="G4" s="61">
        <v>2019</v>
      </c>
      <c r="H4" s="61">
        <v>2020</v>
      </c>
      <c r="I4" s="61">
        <v>2021</v>
      </c>
      <c r="J4" s="61">
        <v>2022</v>
      </c>
      <c r="K4" s="61">
        <v>2023</v>
      </c>
      <c r="L4" s="61">
        <v>2024</v>
      </c>
      <c r="M4" s="61">
        <v>2025</v>
      </c>
      <c r="N4" s="61">
        <v>2026</v>
      </c>
      <c r="O4" s="61">
        <v>2027</v>
      </c>
      <c r="P4" s="61">
        <v>2028</v>
      </c>
      <c r="Q4" s="61">
        <v>2029</v>
      </c>
      <c r="R4" s="61">
        <v>2030</v>
      </c>
      <c r="S4" s="61">
        <v>2031</v>
      </c>
      <c r="T4" s="61">
        <v>2032</v>
      </c>
      <c r="U4" s="61">
        <v>2033</v>
      </c>
      <c r="V4" s="61">
        <v>2034</v>
      </c>
      <c r="W4" s="61">
        <v>2035</v>
      </c>
      <c r="X4" s="61">
        <v>2036</v>
      </c>
      <c r="Y4" s="61">
        <v>2037</v>
      </c>
      <c r="Z4" s="61">
        <v>2038</v>
      </c>
      <c r="AA4" s="61">
        <v>2039</v>
      </c>
      <c r="AB4" s="61">
        <v>2040</v>
      </c>
    </row>
    <row r="5" spans="1:28">
      <c r="A5" t="s">
        <v>503</v>
      </c>
      <c r="B5" s="63">
        <v>8927225.7733238954</v>
      </c>
      <c r="C5" s="63">
        <v>21955037.574551363</v>
      </c>
      <c r="D5" s="64">
        <v>0</v>
      </c>
      <c r="E5" s="64">
        <v>0</v>
      </c>
      <c r="F5" s="64">
        <v>0</v>
      </c>
      <c r="G5" s="64">
        <v>0</v>
      </c>
      <c r="H5" s="64">
        <v>0</v>
      </c>
      <c r="I5" s="464">
        <v>296000</v>
      </c>
      <c r="J5" s="464">
        <v>592000</v>
      </c>
      <c r="K5" s="464">
        <v>888000</v>
      </c>
      <c r="L5" s="464">
        <v>1184000</v>
      </c>
      <c r="M5" s="64">
        <v>1231360</v>
      </c>
      <c r="N5" s="64">
        <v>1280614.4000000001</v>
      </c>
      <c r="O5" s="64">
        <v>1331838.9760000003</v>
      </c>
      <c r="P5" s="64">
        <v>1385112.5350400002</v>
      </c>
      <c r="Q5" s="64">
        <v>1440517.0364416002</v>
      </c>
      <c r="R5" s="64">
        <v>1498137.7178992643</v>
      </c>
      <c r="S5" s="64">
        <v>1558063.226615235</v>
      </c>
      <c r="T5" s="64">
        <v>1620385.7556798444</v>
      </c>
      <c r="U5" s="64">
        <v>1685201.1859070382</v>
      </c>
      <c r="V5" s="64">
        <v>1752609.2333433197</v>
      </c>
      <c r="W5" s="64">
        <v>1822713.6026770526</v>
      </c>
      <c r="X5" s="64">
        <v>1895622.1467841347</v>
      </c>
      <c r="Y5" s="64">
        <v>492861.75816387503</v>
      </c>
      <c r="Z5" s="64">
        <v>0</v>
      </c>
      <c r="AA5" s="64">
        <v>0</v>
      </c>
      <c r="AB5" s="64">
        <v>0</v>
      </c>
    </row>
    <row r="6" spans="1:28">
      <c r="A6" t="s">
        <v>504</v>
      </c>
      <c r="B6" s="63"/>
      <c r="C6" s="63"/>
      <c r="D6" s="64"/>
      <c r="E6" s="64"/>
      <c r="F6" s="64"/>
      <c r="G6" s="64"/>
      <c r="H6" s="64"/>
      <c r="I6" s="166">
        <v>2839</v>
      </c>
      <c r="J6" s="166">
        <v>5679</v>
      </c>
      <c r="K6" s="166">
        <v>8518</v>
      </c>
      <c r="L6" s="166">
        <v>11357</v>
      </c>
      <c r="M6" s="166">
        <v>14200</v>
      </c>
      <c r="N6" s="166">
        <v>14342</v>
      </c>
      <c r="O6" s="166">
        <v>14485.42</v>
      </c>
      <c r="P6" s="166">
        <v>14630.2742</v>
      </c>
      <c r="Q6" s="166">
        <v>14776.576942</v>
      </c>
      <c r="R6" s="166">
        <v>14924.34271142</v>
      </c>
      <c r="S6" s="166">
        <v>15073.586138534201</v>
      </c>
      <c r="T6" s="166">
        <v>15224.321999919544</v>
      </c>
      <c r="U6" s="166">
        <v>15376.565219918741</v>
      </c>
      <c r="V6" s="166">
        <v>15530.330872117927</v>
      </c>
      <c r="W6" s="166">
        <v>15685.634180839106</v>
      </c>
      <c r="X6" s="166">
        <v>15842.490522647497</v>
      </c>
      <c r="Y6" s="166">
        <v>4000.2288569684929</v>
      </c>
      <c r="Z6" s="166">
        <v>0</v>
      </c>
      <c r="AA6" s="166">
        <v>0</v>
      </c>
      <c r="AB6" s="166">
        <v>0</v>
      </c>
    </row>
    <row r="7" spans="1:28">
      <c r="B7" s="63"/>
      <c r="C7" s="63"/>
      <c r="D7" s="64"/>
      <c r="E7" s="64"/>
      <c r="F7" s="64"/>
      <c r="G7" s="64"/>
      <c r="H7" s="64"/>
      <c r="I7" s="64"/>
      <c r="J7" s="64"/>
      <c r="K7" s="64"/>
      <c r="L7" s="64"/>
      <c r="M7" s="64"/>
      <c r="N7" s="64"/>
      <c r="O7" s="64"/>
      <c r="P7" s="64"/>
      <c r="Q7" s="64"/>
      <c r="R7" s="64"/>
      <c r="S7" s="64"/>
      <c r="T7" s="64"/>
      <c r="U7" s="64"/>
      <c r="V7" s="64"/>
      <c r="W7" s="64"/>
      <c r="X7" s="64"/>
      <c r="Y7" s="64"/>
      <c r="Z7" s="64"/>
      <c r="AA7" s="64"/>
      <c r="AB7" s="64"/>
    </row>
    <row r="8" spans="1:28">
      <c r="A8" t="s">
        <v>505</v>
      </c>
      <c r="B8" s="465">
        <v>0.01</v>
      </c>
      <c r="C8" s="465"/>
      <c r="D8" s="64"/>
      <c r="E8" s="64"/>
      <c r="F8" s="64"/>
      <c r="G8" s="64"/>
      <c r="H8" s="64"/>
      <c r="I8" s="64"/>
      <c r="J8" s="64"/>
      <c r="K8" s="64"/>
      <c r="L8" s="64"/>
      <c r="M8" s="64"/>
      <c r="N8" s="64"/>
      <c r="O8" s="64"/>
      <c r="P8" s="64"/>
      <c r="Q8" s="64"/>
      <c r="R8" s="64"/>
      <c r="S8" s="64"/>
      <c r="T8" s="64"/>
      <c r="U8" s="64"/>
      <c r="V8" s="64"/>
      <c r="W8" s="64"/>
      <c r="X8" s="64"/>
      <c r="Y8" s="64"/>
      <c r="Z8" s="64"/>
      <c r="AA8" s="64"/>
      <c r="AB8" s="64"/>
    </row>
    <row r="9" spans="1:28">
      <c r="A9" t="s">
        <v>506</v>
      </c>
      <c r="B9" s="465">
        <v>0.03</v>
      </c>
      <c r="C9" s="465"/>
      <c r="D9" s="64"/>
      <c r="E9" s="64"/>
      <c r="F9" s="64"/>
      <c r="G9" s="64"/>
      <c r="H9" s="64"/>
      <c r="I9" s="64"/>
      <c r="J9" s="64"/>
      <c r="K9" s="64"/>
      <c r="L9" s="64"/>
      <c r="M9" s="64"/>
      <c r="N9" s="64"/>
      <c r="O9" s="64"/>
      <c r="P9" s="64"/>
      <c r="Q9" s="64"/>
      <c r="R9" s="64"/>
      <c r="S9" s="64"/>
      <c r="T9" s="64"/>
      <c r="U9" s="64"/>
      <c r="V9" s="64"/>
      <c r="W9" s="64"/>
      <c r="X9" s="64"/>
      <c r="Y9" s="64"/>
      <c r="Z9" s="64"/>
      <c r="AA9" s="64"/>
      <c r="AB9" s="64"/>
    </row>
    <row r="10" spans="1:28">
      <c r="B10" s="63"/>
      <c r="C10" s="63"/>
      <c r="D10" s="64"/>
      <c r="E10" s="64"/>
      <c r="F10" s="64"/>
      <c r="G10" s="64"/>
      <c r="H10" s="64"/>
      <c r="I10" s="64"/>
      <c r="J10" s="64"/>
      <c r="K10" s="64"/>
      <c r="L10" s="64"/>
      <c r="M10" s="64"/>
      <c r="N10" s="64"/>
      <c r="O10" s="64"/>
      <c r="P10" s="64"/>
      <c r="Q10" s="64"/>
      <c r="R10" s="64"/>
      <c r="S10" s="64"/>
      <c r="T10" s="64"/>
      <c r="U10" s="64"/>
      <c r="V10" s="64"/>
      <c r="W10" s="64"/>
      <c r="X10" s="64"/>
      <c r="Y10" s="64"/>
      <c r="Z10" s="64"/>
      <c r="AA10" s="64"/>
      <c r="AB10" s="64"/>
    </row>
    <row r="11" spans="1:28">
      <c r="B11" s="63"/>
      <c r="C11" s="63"/>
      <c r="D11" s="64"/>
      <c r="E11" s="64"/>
      <c r="F11" s="64"/>
      <c r="G11" s="64"/>
      <c r="H11" s="64"/>
      <c r="I11" s="64"/>
      <c r="J11" s="64"/>
      <c r="K11" s="64"/>
      <c r="L11" s="64"/>
      <c r="M11" s="64"/>
      <c r="N11" s="64"/>
      <c r="O11" s="64"/>
      <c r="P11" s="64"/>
      <c r="Q11" s="64"/>
      <c r="R11" s="64"/>
      <c r="S11" s="64"/>
      <c r="T11" s="64"/>
      <c r="U11" s="64"/>
      <c r="V11" s="64"/>
      <c r="W11" s="64"/>
      <c r="X11" s="64"/>
      <c r="Y11" s="64"/>
      <c r="Z11" s="64"/>
      <c r="AA11" s="64"/>
      <c r="AB11" s="64"/>
    </row>
    <row r="12" spans="1:28">
      <c r="B12" s="63"/>
      <c r="C12" s="63"/>
      <c r="D12" s="64"/>
      <c r="E12" s="64"/>
      <c r="F12" s="64"/>
      <c r="G12" s="64"/>
      <c r="H12" s="64"/>
      <c r="I12" s="64"/>
      <c r="J12" s="64"/>
      <c r="K12" s="64"/>
      <c r="L12" s="64"/>
      <c r="M12" s="64"/>
      <c r="N12" s="64"/>
      <c r="O12" s="64"/>
      <c r="P12" s="64"/>
      <c r="Q12" s="64"/>
      <c r="R12" s="64"/>
      <c r="S12" s="64"/>
      <c r="T12" s="64"/>
      <c r="U12" s="64"/>
      <c r="V12" s="64"/>
      <c r="W12" s="64"/>
      <c r="X12" s="64"/>
      <c r="Y12" s="64"/>
      <c r="Z12" s="64"/>
      <c r="AA12" s="64"/>
      <c r="AB12" s="64"/>
    </row>
    <row r="13" spans="1:28">
      <c r="B13" s="63"/>
      <c r="C13" s="63"/>
      <c r="D13" s="64"/>
      <c r="E13" s="64"/>
      <c r="F13" s="64"/>
      <c r="G13" s="64"/>
      <c r="H13" s="64"/>
      <c r="I13" s="64"/>
      <c r="J13" s="64"/>
      <c r="K13" s="64"/>
      <c r="L13" s="64"/>
      <c r="M13" s="64"/>
      <c r="N13" s="64"/>
      <c r="O13" s="64"/>
      <c r="P13" s="64"/>
      <c r="Q13" s="64"/>
      <c r="R13" s="64"/>
      <c r="S13" s="64"/>
      <c r="T13" s="64"/>
      <c r="U13" s="64"/>
      <c r="V13" s="64"/>
      <c r="W13" s="64"/>
      <c r="X13" s="64"/>
      <c r="Y13" s="64"/>
      <c r="Z13" s="64"/>
      <c r="AA13" s="64"/>
      <c r="AB13" s="64"/>
    </row>
    <row r="14" spans="1:28" s="437" customFormat="1">
      <c r="A14" s="437" t="s">
        <v>225</v>
      </c>
    </row>
    <row r="15" spans="1:28" s="437" customFormat="1">
      <c r="A15" s="437" t="s">
        <v>408</v>
      </c>
      <c r="B15" s="460"/>
      <c r="C15" s="460"/>
      <c r="D15" s="461">
        <v>0</v>
      </c>
      <c r="E15" s="461">
        <v>0</v>
      </c>
      <c r="F15" s="461">
        <v>0</v>
      </c>
      <c r="G15" s="461">
        <v>0.3</v>
      </c>
      <c r="H15" s="461">
        <v>0.75</v>
      </c>
      <c r="I15" s="461">
        <v>0.75</v>
      </c>
      <c r="J15" s="461">
        <v>0.75</v>
      </c>
      <c r="K15" s="461">
        <v>1</v>
      </c>
      <c r="L15" s="461">
        <v>1</v>
      </c>
      <c r="M15" s="461">
        <v>1</v>
      </c>
      <c r="N15" s="461">
        <v>1</v>
      </c>
      <c r="O15" s="461">
        <v>1</v>
      </c>
      <c r="P15" s="461">
        <v>1</v>
      </c>
      <c r="Q15" s="461">
        <v>1</v>
      </c>
      <c r="R15" s="461">
        <v>1</v>
      </c>
      <c r="S15" s="461">
        <v>1</v>
      </c>
      <c r="T15" s="461">
        <v>1</v>
      </c>
      <c r="U15" s="461">
        <v>1</v>
      </c>
      <c r="V15" s="461">
        <v>1</v>
      </c>
      <c r="W15" s="461">
        <v>1</v>
      </c>
      <c r="X15" s="461">
        <v>1</v>
      </c>
      <c r="Y15" s="461">
        <v>0.25</v>
      </c>
      <c r="Z15" s="461">
        <v>0</v>
      </c>
      <c r="AA15" s="461">
        <v>0</v>
      </c>
      <c r="AB15" s="461">
        <v>0</v>
      </c>
    </row>
    <row r="16" spans="1:28" s="437" customFormat="1">
      <c r="A16" s="437" t="s">
        <v>177</v>
      </c>
      <c r="B16" s="460"/>
      <c r="C16" s="460"/>
      <c r="D16" s="461">
        <v>2016</v>
      </c>
      <c r="E16" s="461">
        <v>2017</v>
      </c>
      <c r="F16" s="461">
        <v>2018</v>
      </c>
      <c r="G16" s="461">
        <v>2019</v>
      </c>
      <c r="H16" s="461">
        <v>2020</v>
      </c>
      <c r="I16" s="461">
        <v>2021</v>
      </c>
      <c r="J16" s="461">
        <v>2022</v>
      </c>
      <c r="K16" s="461">
        <v>2023</v>
      </c>
      <c r="L16" s="461">
        <v>2024</v>
      </c>
      <c r="M16" s="461">
        <v>2025</v>
      </c>
      <c r="N16" s="461">
        <v>2026</v>
      </c>
      <c r="O16" s="461">
        <v>2027</v>
      </c>
      <c r="P16" s="461">
        <v>2028</v>
      </c>
      <c r="Q16" s="461">
        <v>2029</v>
      </c>
      <c r="R16" s="461">
        <v>2030</v>
      </c>
      <c r="S16" s="461">
        <v>2031</v>
      </c>
      <c r="T16" s="461">
        <v>2032</v>
      </c>
      <c r="U16" s="461">
        <v>2033</v>
      </c>
      <c r="V16" s="461">
        <v>2034</v>
      </c>
      <c r="W16" s="461">
        <v>2035</v>
      </c>
      <c r="X16" s="461">
        <v>2036</v>
      </c>
      <c r="Y16" s="461">
        <v>2037</v>
      </c>
      <c r="Z16" s="461">
        <v>2038</v>
      </c>
      <c r="AA16" s="461">
        <v>2039</v>
      </c>
      <c r="AB16" s="461">
        <v>2040</v>
      </c>
    </row>
    <row r="17" spans="1:28" s="437" customFormat="1">
      <c r="A17" s="437" t="s">
        <v>503</v>
      </c>
      <c r="B17" s="440">
        <v>391191.18134436611</v>
      </c>
      <c r="C17" s="440"/>
      <c r="D17" s="393">
        <v>0</v>
      </c>
      <c r="E17" s="393">
        <v>0</v>
      </c>
      <c r="F17" s="393">
        <v>0</v>
      </c>
      <c r="G17" s="393">
        <v>34642.288091036673</v>
      </c>
      <c r="H17" s="393">
        <v>-7723.4262200238009</v>
      </c>
      <c r="I17" s="393">
        <v>-4309.1929901646945</v>
      </c>
      <c r="J17" s="393">
        <v>-50768.633130800808</v>
      </c>
      <c r="K17" s="393">
        <v>37203.903257812752</v>
      </c>
      <c r="L17" s="393">
        <v>42280.447678351804</v>
      </c>
      <c r="M17" s="393">
        <v>47544.824242450821</v>
      </c>
      <c r="N17" s="393">
        <v>53003.98273942151</v>
      </c>
      <c r="O17" s="393">
        <v>58665.130100780079</v>
      </c>
      <c r="P17" s="393">
        <v>64535.739914508915</v>
      </c>
      <c r="Q17" s="393">
        <v>70623.562291345705</v>
      </c>
      <c r="R17" s="393">
        <v>76936.634096125519</v>
      </c>
      <c r="S17" s="393">
        <v>83483.289557682147</v>
      </c>
      <c r="T17" s="393">
        <v>90272.171271316387</v>
      </c>
      <c r="U17" s="393">
        <v>97312.241608355049</v>
      </c>
      <c r="V17" s="393">
        <v>104612.79454786418</v>
      </c>
      <c r="W17" s="393">
        <v>112183.46794613512</v>
      </c>
      <c r="X17" s="393">
        <v>120034.25626014214</v>
      </c>
      <c r="Y17" s="393">
        <v>0</v>
      </c>
      <c r="Z17" s="393">
        <v>0</v>
      </c>
      <c r="AA17" s="393">
        <v>0</v>
      </c>
      <c r="AB17" s="393">
        <v>0</v>
      </c>
    </row>
    <row r="18" spans="1:28" s="437" customFormat="1">
      <c r="A18" s="435" t="s">
        <v>507</v>
      </c>
      <c r="B18" s="440"/>
      <c r="C18" s="440"/>
      <c r="D18" s="462"/>
      <c r="E18" s="393"/>
      <c r="F18" s="393"/>
      <c r="G18" s="393"/>
      <c r="H18" s="393"/>
      <c r="I18" s="393"/>
      <c r="J18" s="393"/>
      <c r="K18" s="393"/>
      <c r="L18" s="393"/>
      <c r="M18" s="393"/>
      <c r="N18" s="393"/>
      <c r="O18" s="393"/>
      <c r="P18" s="393"/>
      <c r="Q18" s="393"/>
      <c r="R18" s="393"/>
      <c r="S18" s="393"/>
      <c r="T18" s="393"/>
      <c r="U18" s="393"/>
      <c r="V18" s="393"/>
      <c r="W18" s="393"/>
      <c r="X18" s="393"/>
      <c r="Y18" s="393"/>
      <c r="Z18" s="393"/>
      <c r="AA18" s="393"/>
      <c r="AB18" s="393"/>
    </row>
    <row r="19" spans="1:28" s="463" customFormat="1" ht="8.25" customHeight="1"/>
    <row r="20" spans="1:28" s="437" customFormat="1">
      <c r="A20" s="437" t="s">
        <v>508</v>
      </c>
      <c r="B20" s="439">
        <v>100000</v>
      </c>
      <c r="C20" s="439"/>
    </row>
    <row r="21" spans="1:28" s="437" customFormat="1">
      <c r="A21" s="437" t="s">
        <v>467</v>
      </c>
      <c r="B21" s="440">
        <v>50000</v>
      </c>
      <c r="C21" s="440"/>
    </row>
    <row r="22" spans="1:28" s="437" customFormat="1">
      <c r="A22" s="437" t="s">
        <v>407</v>
      </c>
      <c r="B22" s="441">
        <v>0.03</v>
      </c>
      <c r="C22" s="441"/>
    </row>
    <row r="23" spans="1:28" s="437" customFormat="1">
      <c r="A23" s="437" t="s">
        <v>468</v>
      </c>
      <c r="B23" s="441">
        <v>7.0000000000000001E-3</v>
      </c>
      <c r="C23" s="441"/>
    </row>
    <row r="24" spans="1:28" s="437" customFormat="1">
      <c r="A24" s="437" t="s">
        <v>509</v>
      </c>
      <c r="B24" s="441">
        <v>0.4</v>
      </c>
      <c r="C24" s="441"/>
    </row>
    <row r="25" spans="1:28" s="437" customFormat="1">
      <c r="A25" s="437" t="s">
        <v>510</v>
      </c>
      <c r="B25" s="441">
        <v>0.5</v>
      </c>
      <c r="C25" s="441"/>
    </row>
    <row r="26" spans="1:28" s="437" customFormat="1">
      <c r="B26" s="441"/>
      <c r="C26" s="441"/>
    </row>
    <row r="27" spans="1:28" s="437" customFormat="1">
      <c r="B27" s="441"/>
      <c r="C27" s="441"/>
    </row>
    <row r="28" spans="1:28" s="437" customFormat="1" ht="15.75">
      <c r="A28" s="442" t="s">
        <v>469</v>
      </c>
      <c r="B28" s="443"/>
      <c r="C28" s="443"/>
      <c r="D28" s="443"/>
      <c r="E28" s="443"/>
      <c r="F28" s="443"/>
      <c r="G28" s="443"/>
      <c r="H28" s="443"/>
      <c r="I28" s="443"/>
      <c r="J28" s="443"/>
      <c r="K28" s="443"/>
      <c r="L28" s="443"/>
      <c r="M28" s="443"/>
      <c r="N28" s="443"/>
      <c r="O28" s="443"/>
      <c r="P28" s="443"/>
    </row>
    <row r="29" spans="1:28" s="437" customFormat="1">
      <c r="A29" s="615" t="s">
        <v>470</v>
      </c>
      <c r="B29" s="616"/>
      <c r="C29" s="616"/>
      <c r="D29" s="616"/>
      <c r="E29" s="616"/>
      <c r="F29" s="616"/>
      <c r="G29" s="616"/>
      <c r="H29" s="616"/>
      <c r="I29" s="616"/>
      <c r="J29" s="616"/>
      <c r="K29" s="616"/>
      <c r="L29" s="616"/>
      <c r="M29" s="616"/>
      <c r="N29" s="616"/>
      <c r="O29" s="616"/>
      <c r="P29" s="616"/>
    </row>
    <row r="30" spans="1:28" s="437" customFormat="1" ht="15.75">
      <c r="A30" s="442"/>
      <c r="B30" s="443"/>
      <c r="C30" s="443"/>
      <c r="D30" s="443"/>
      <c r="E30" s="444" t="s">
        <v>471</v>
      </c>
      <c r="F30" s="444" t="s">
        <v>472</v>
      </c>
      <c r="G30" s="444" t="s">
        <v>473</v>
      </c>
      <c r="H30" s="443"/>
      <c r="I30" s="443"/>
      <c r="J30" s="443"/>
      <c r="K30" s="443"/>
      <c r="L30" s="443"/>
      <c r="M30" s="443"/>
      <c r="N30" s="443"/>
      <c r="O30" s="443"/>
      <c r="P30" s="443"/>
    </row>
    <row r="31" spans="1:28" s="437" customFormat="1" ht="15.75">
      <c r="A31" s="443" t="s">
        <v>474</v>
      </c>
      <c r="B31" s="443"/>
      <c r="C31" s="443"/>
      <c r="D31" s="443"/>
      <c r="E31" s="445">
        <v>23385</v>
      </c>
      <c r="F31" s="445">
        <v>1804801283</v>
      </c>
      <c r="G31" s="446">
        <v>77177.73286294633</v>
      </c>
      <c r="H31" s="443"/>
      <c r="I31" s="443"/>
      <c r="J31" s="443"/>
      <c r="K31" s="443"/>
      <c r="L31" s="443"/>
      <c r="M31" s="443"/>
      <c r="N31" s="443"/>
      <c r="O31" s="443"/>
      <c r="P31" s="443"/>
    </row>
    <row r="32" spans="1:28" s="437" customFormat="1" ht="15.75">
      <c r="A32" s="443" t="s">
        <v>475</v>
      </c>
      <c r="B32" s="443"/>
      <c r="C32" s="443"/>
      <c r="D32" s="443"/>
      <c r="E32" s="445">
        <v>212659</v>
      </c>
      <c r="F32" s="445">
        <v>2482493050</v>
      </c>
      <c r="G32" s="446">
        <v>11673.585646504498</v>
      </c>
      <c r="H32" s="443"/>
      <c r="I32" s="443"/>
      <c r="J32" s="443"/>
      <c r="K32" s="443"/>
      <c r="L32" s="443"/>
      <c r="M32" s="443"/>
      <c r="N32" s="443"/>
      <c r="O32" s="443"/>
      <c r="P32" s="443"/>
    </row>
    <row r="33" spans="1:16" s="437" customFormat="1" ht="15.75">
      <c r="A33" s="443"/>
      <c r="B33" s="443" t="s">
        <v>476</v>
      </c>
      <c r="C33" s="443"/>
      <c r="D33" s="443"/>
      <c r="E33" s="445">
        <v>46061</v>
      </c>
      <c r="F33" s="445">
        <v>154446492</v>
      </c>
      <c r="G33" s="446">
        <v>3353.085951238575</v>
      </c>
      <c r="H33" s="446">
        <v>33.530859512385753</v>
      </c>
      <c r="I33" s="443"/>
      <c r="J33" s="443"/>
      <c r="K33" s="443"/>
      <c r="L33" s="443"/>
      <c r="M33" s="443"/>
      <c r="N33" s="443"/>
      <c r="O33" s="443"/>
      <c r="P33" s="443"/>
    </row>
    <row r="34" spans="1:16" s="437" customFormat="1" ht="15.75">
      <c r="A34" s="443"/>
      <c r="B34" s="443" t="s">
        <v>477</v>
      </c>
      <c r="C34" s="443"/>
      <c r="D34" s="443"/>
      <c r="E34" s="445">
        <v>85416</v>
      </c>
      <c r="F34" s="445">
        <v>762768267</v>
      </c>
      <c r="G34" s="446">
        <v>8930.0396529924128</v>
      </c>
      <c r="H34" s="446">
        <v>178.60079305984826</v>
      </c>
      <c r="I34" s="443"/>
      <c r="J34" s="443"/>
      <c r="K34" s="443"/>
      <c r="L34" s="443"/>
      <c r="M34" s="443"/>
      <c r="N34" s="443"/>
      <c r="O34" s="443"/>
      <c r="P34" s="443"/>
    </row>
    <row r="35" spans="1:16" s="437" customFormat="1" ht="15.75">
      <c r="A35" s="443"/>
      <c r="B35" s="443" t="s">
        <v>478</v>
      </c>
      <c r="C35" s="443"/>
      <c r="D35" s="443"/>
      <c r="E35" s="445">
        <v>81121</v>
      </c>
      <c r="F35" s="445">
        <v>1564546291</v>
      </c>
      <c r="G35" s="446">
        <v>19286.575498329657</v>
      </c>
      <c r="H35" s="446">
        <v>578.59726494988968</v>
      </c>
      <c r="I35" s="443"/>
      <c r="J35" s="443"/>
      <c r="K35" s="443"/>
      <c r="L35" s="443"/>
      <c r="M35" s="443"/>
      <c r="N35" s="443"/>
      <c r="O35" s="443"/>
      <c r="P35" s="443"/>
    </row>
    <row r="36" spans="1:16" s="437" customFormat="1" ht="15.75">
      <c r="A36" s="443"/>
      <c r="B36" s="443"/>
      <c r="C36" s="443"/>
      <c r="D36" s="443"/>
      <c r="E36" s="445"/>
      <c r="F36" s="445">
        <v>6769055383</v>
      </c>
      <c r="G36" s="446"/>
      <c r="H36" s="447">
        <v>17261091.22665</v>
      </c>
      <c r="I36" s="443"/>
      <c r="J36" s="443"/>
      <c r="K36" s="443"/>
      <c r="L36" s="443"/>
      <c r="M36" s="443"/>
      <c r="N36" s="443"/>
      <c r="O36" s="443"/>
      <c r="P36" s="443"/>
    </row>
    <row r="37" spans="1:16" s="437" customFormat="1" ht="15.75">
      <c r="A37" s="443"/>
      <c r="B37" s="443"/>
      <c r="C37" s="443"/>
      <c r="D37" s="443"/>
      <c r="E37" s="445"/>
      <c r="F37" s="445"/>
      <c r="G37" s="446"/>
      <c r="H37" s="443"/>
      <c r="I37" s="443"/>
      <c r="J37" s="443"/>
      <c r="K37" s="443"/>
      <c r="L37" s="443"/>
      <c r="M37" s="443"/>
      <c r="N37" s="443"/>
      <c r="O37" s="443"/>
      <c r="P37" s="443"/>
    </row>
    <row r="38" spans="1:16" s="437" customFormat="1" ht="15.75">
      <c r="A38" s="443" t="s">
        <v>511</v>
      </c>
      <c r="B38" s="443"/>
      <c r="C38" s="443"/>
      <c r="D38" s="443"/>
      <c r="E38" s="443"/>
      <c r="F38" s="443"/>
      <c r="G38" s="443"/>
      <c r="H38" s="443"/>
      <c r="I38" s="443"/>
      <c r="J38" s="443"/>
      <c r="K38" s="443"/>
      <c r="L38" s="443"/>
      <c r="M38" s="443"/>
      <c r="N38" s="443"/>
      <c r="O38" s="443"/>
      <c r="P38" s="443"/>
    </row>
    <row r="39" spans="1:16" s="437" customFormat="1" ht="15.75">
      <c r="A39" s="442"/>
      <c r="B39" s="443"/>
      <c r="C39" s="443"/>
      <c r="D39" s="443"/>
      <c r="E39" s="444" t="s">
        <v>471</v>
      </c>
      <c r="F39" s="443" t="s">
        <v>480</v>
      </c>
      <c r="G39" s="443"/>
      <c r="H39" s="448">
        <v>0.03</v>
      </c>
      <c r="I39" s="443" t="s">
        <v>512</v>
      </c>
      <c r="J39" s="443"/>
      <c r="K39" s="443"/>
      <c r="L39" s="443"/>
      <c r="M39" s="443"/>
      <c r="N39" s="443"/>
      <c r="O39" s="443"/>
      <c r="P39" s="443"/>
    </row>
    <row r="40" spans="1:16" s="437" customFormat="1" ht="15.75">
      <c r="A40" s="443" t="s">
        <v>474</v>
      </c>
      <c r="B40" s="443"/>
      <c r="C40" s="443"/>
      <c r="D40" s="443"/>
      <c r="E40" s="445">
        <v>23385</v>
      </c>
      <c r="F40" s="449">
        <v>0.01</v>
      </c>
      <c r="G40" s="445">
        <v>541440.38490000006</v>
      </c>
      <c r="H40" s="443"/>
      <c r="I40" s="443"/>
      <c r="J40" s="443"/>
      <c r="K40" s="443"/>
      <c r="L40" s="443"/>
      <c r="M40" s="443"/>
      <c r="N40" s="443"/>
      <c r="O40" s="443"/>
      <c r="P40" s="443"/>
    </row>
    <row r="41" spans="1:16" s="437" customFormat="1" ht="15.75">
      <c r="A41" s="443" t="s">
        <v>475</v>
      </c>
      <c r="B41" s="443"/>
      <c r="C41" s="443"/>
      <c r="D41" s="443"/>
      <c r="E41" s="445">
        <v>212659</v>
      </c>
      <c r="F41" s="444"/>
      <c r="G41" s="445">
        <v>0</v>
      </c>
      <c r="H41" s="443"/>
      <c r="I41" s="443"/>
      <c r="J41" s="443"/>
      <c r="K41" s="443"/>
      <c r="L41" s="443"/>
      <c r="M41" s="443"/>
      <c r="N41" s="443"/>
      <c r="O41" s="443"/>
      <c r="P41" s="443"/>
    </row>
    <row r="42" spans="1:16" s="437" customFormat="1" ht="15.75">
      <c r="A42" s="443"/>
      <c r="B42" s="443" t="s">
        <v>476</v>
      </c>
      <c r="C42" s="443"/>
      <c r="D42" s="443"/>
      <c r="E42" s="445">
        <v>46061</v>
      </c>
      <c r="F42" s="450">
        <v>0.01</v>
      </c>
      <c r="G42" s="445">
        <v>46333.9476</v>
      </c>
      <c r="H42" s="443"/>
      <c r="I42" s="443"/>
      <c r="J42" s="443"/>
      <c r="K42" s="443"/>
      <c r="L42" s="443"/>
      <c r="M42" s="443"/>
      <c r="N42" s="443"/>
      <c r="O42" s="443"/>
      <c r="P42" s="443"/>
    </row>
    <row r="43" spans="1:16" s="437" customFormat="1" ht="15.75">
      <c r="A43" s="443"/>
      <c r="B43" s="443" t="s">
        <v>477</v>
      </c>
      <c r="C43" s="443"/>
      <c r="D43" s="443"/>
      <c r="E43" s="445">
        <v>85416</v>
      </c>
      <c r="F43" s="450">
        <v>0.03</v>
      </c>
      <c r="G43" s="445">
        <v>686491.4402999999</v>
      </c>
      <c r="H43" s="443"/>
      <c r="I43" s="443"/>
      <c r="J43" s="443"/>
      <c r="K43" s="443"/>
      <c r="L43" s="443"/>
      <c r="M43" s="443"/>
      <c r="N43" s="443"/>
      <c r="O43" s="443"/>
      <c r="P43" s="443"/>
    </row>
    <row r="44" spans="1:16" s="437" customFormat="1" ht="15.75">
      <c r="A44" s="443"/>
      <c r="B44" s="443" t="s">
        <v>478</v>
      </c>
      <c r="C44" s="443"/>
      <c r="D44" s="443"/>
      <c r="E44" s="445">
        <v>81121</v>
      </c>
      <c r="F44" s="450">
        <v>0.05</v>
      </c>
      <c r="G44" s="445">
        <v>2346819.4364999998</v>
      </c>
      <c r="H44" s="443"/>
      <c r="I44" s="443"/>
      <c r="J44" s="443"/>
      <c r="K44" s="443"/>
      <c r="L44" s="443"/>
      <c r="M44" s="443"/>
      <c r="N44" s="443"/>
      <c r="O44" s="443"/>
      <c r="P44" s="443"/>
    </row>
    <row r="45" spans="1:16" s="437" customFormat="1" ht="15.75">
      <c r="A45" s="442"/>
      <c r="B45" s="443" t="s">
        <v>30</v>
      </c>
      <c r="C45" s="443"/>
      <c r="D45" s="443"/>
      <c r="E45" s="443"/>
      <c r="F45" s="443"/>
      <c r="G45" s="445">
        <v>3621085.2092999998</v>
      </c>
      <c r="H45" s="447">
        <v>307792.24279049999</v>
      </c>
      <c r="I45" s="451">
        <v>5.3494690239853807E-4</v>
      </c>
      <c r="J45" s="443"/>
      <c r="K45" s="443"/>
      <c r="L45" s="443"/>
      <c r="M45" s="443"/>
      <c r="N45" s="443"/>
      <c r="O45" s="443"/>
      <c r="P45" s="443"/>
    </row>
    <row r="46" spans="1:16" s="437" customFormat="1" ht="15.75">
      <c r="A46" s="442"/>
      <c r="B46" s="443"/>
      <c r="C46" s="443"/>
      <c r="D46" s="443"/>
      <c r="E46" s="443"/>
      <c r="F46" s="443">
        <v>233.85</v>
      </c>
      <c r="G46" s="443"/>
      <c r="H46" s="443"/>
      <c r="I46" s="443"/>
      <c r="J46" s="443"/>
      <c r="K46" s="443"/>
      <c r="L46" s="443"/>
      <c r="M46" s="443"/>
      <c r="N46" s="443"/>
      <c r="O46" s="443"/>
      <c r="P46" s="443"/>
    </row>
    <row r="47" spans="1:16" s="437" customFormat="1" ht="15.75">
      <c r="A47" s="442"/>
      <c r="B47" s="443"/>
      <c r="C47" s="443"/>
      <c r="D47" s="443"/>
      <c r="E47" s="443"/>
      <c r="F47" s="443">
        <v>7079.14</v>
      </c>
      <c r="G47" s="443"/>
      <c r="H47" s="443"/>
      <c r="I47" s="443"/>
      <c r="J47" s="443"/>
      <c r="K47" s="443"/>
      <c r="L47" s="443"/>
      <c r="M47" s="443"/>
      <c r="N47" s="443"/>
      <c r="O47" s="443"/>
      <c r="P47" s="443"/>
    </row>
    <row r="48" spans="1:16" s="437" customFormat="1" ht="15.75">
      <c r="A48" s="442"/>
      <c r="B48" s="443"/>
      <c r="C48" s="443"/>
      <c r="D48" s="443"/>
      <c r="E48" s="443"/>
      <c r="F48" s="443">
        <v>7312.9900000000007</v>
      </c>
      <c r="G48" s="443"/>
      <c r="H48" s="443"/>
      <c r="I48" s="443"/>
      <c r="J48" s="443"/>
      <c r="K48" s="443"/>
      <c r="L48" s="443"/>
      <c r="M48" s="443"/>
      <c r="N48" s="443"/>
      <c r="O48" s="443"/>
      <c r="P48" s="443"/>
    </row>
    <row r="49" spans="1:16" s="437" customFormat="1" ht="15.75">
      <c r="A49" s="452">
        <v>0.06</v>
      </c>
      <c r="B49" s="443" t="s">
        <v>483</v>
      </c>
      <c r="C49" s="443"/>
      <c r="D49" s="443"/>
      <c r="E49" s="443"/>
      <c r="F49" s="443"/>
      <c r="G49" s="443"/>
      <c r="H49" s="443"/>
      <c r="I49" s="443"/>
      <c r="J49" s="443"/>
      <c r="K49" s="443"/>
      <c r="L49" s="443"/>
      <c r="M49" s="443"/>
      <c r="N49" s="443"/>
      <c r="O49" s="443"/>
      <c r="P49" s="443"/>
    </row>
    <row r="50" spans="1:16" s="437" customFormat="1" ht="15.75">
      <c r="A50" s="442"/>
      <c r="B50" s="453" t="s">
        <v>484</v>
      </c>
      <c r="C50" s="453"/>
      <c r="D50" s="443"/>
      <c r="E50" s="443"/>
      <c r="F50" s="443"/>
      <c r="G50" s="443"/>
      <c r="H50" s="443"/>
      <c r="I50" s="443"/>
      <c r="J50" s="443"/>
      <c r="K50" s="443"/>
      <c r="L50" s="443"/>
      <c r="M50" s="443"/>
      <c r="N50" s="443"/>
      <c r="O50" s="443"/>
      <c r="P50" s="443"/>
    </row>
    <row r="51" spans="1:16" s="437" customFormat="1" ht="15.75">
      <c r="A51" s="454" t="s">
        <v>485</v>
      </c>
      <c r="B51" s="455" t="s">
        <v>486</v>
      </c>
      <c r="C51" s="455"/>
      <c r="D51" s="443"/>
      <c r="E51" s="443"/>
      <c r="F51" s="443"/>
      <c r="G51" s="443"/>
      <c r="H51" s="443"/>
      <c r="I51" s="443"/>
      <c r="J51" s="443"/>
      <c r="K51" s="443"/>
      <c r="L51" s="443"/>
      <c r="M51" s="443"/>
      <c r="N51" s="443"/>
      <c r="O51" s="443"/>
      <c r="P51" s="443"/>
    </row>
    <row r="52" spans="1:16" s="437" customFormat="1" ht="15.75">
      <c r="A52" s="454"/>
      <c r="B52" s="443" t="s">
        <v>487</v>
      </c>
      <c r="C52" s="443"/>
      <c r="D52" s="443"/>
      <c r="E52" s="443"/>
      <c r="F52" s="443"/>
      <c r="G52" s="443"/>
      <c r="H52" s="443"/>
      <c r="I52" s="443"/>
      <c r="J52" s="443"/>
      <c r="K52" s="443"/>
      <c r="L52" s="443"/>
      <c r="M52" s="443"/>
      <c r="N52" s="443"/>
      <c r="O52" s="443"/>
      <c r="P52" s="443"/>
    </row>
    <row r="53" spans="1:16" s="437" customFormat="1" ht="15.75">
      <c r="A53" s="454"/>
      <c r="B53" s="443" t="s">
        <v>488</v>
      </c>
      <c r="C53" s="443"/>
      <c r="D53" s="443"/>
      <c r="E53" s="443"/>
      <c r="F53" s="443"/>
      <c r="G53" s="443"/>
      <c r="H53" s="443"/>
      <c r="I53" s="443"/>
      <c r="J53" s="443"/>
      <c r="K53" s="443"/>
      <c r="L53" s="443"/>
      <c r="M53" s="443"/>
      <c r="N53" s="443"/>
      <c r="O53" s="443"/>
      <c r="P53" s="443"/>
    </row>
    <row r="54" spans="1:16" s="437" customFormat="1" ht="15.75">
      <c r="A54" s="454"/>
      <c r="B54" s="443" t="s">
        <v>489</v>
      </c>
      <c r="C54" s="443"/>
      <c r="D54" s="443"/>
      <c r="E54" s="443"/>
      <c r="F54" s="443"/>
      <c r="G54" s="443"/>
      <c r="H54" s="443"/>
      <c r="I54" s="443"/>
      <c r="J54" s="443"/>
      <c r="K54" s="443"/>
      <c r="L54" s="443"/>
      <c r="M54" s="443"/>
      <c r="N54" s="443"/>
      <c r="O54" s="443"/>
      <c r="P54" s="443"/>
    </row>
    <row r="55" spans="1:16" s="437" customFormat="1" ht="15.75">
      <c r="A55" s="456">
        <v>0.02</v>
      </c>
      <c r="B55" s="443" t="s">
        <v>490</v>
      </c>
      <c r="C55" s="443"/>
      <c r="D55" s="443"/>
      <c r="E55" s="443"/>
      <c r="F55" s="443"/>
      <c r="G55" s="443"/>
      <c r="H55" s="443"/>
      <c r="I55" s="443"/>
      <c r="J55" s="443"/>
      <c r="K55" s="443"/>
      <c r="L55" s="443"/>
      <c r="M55" s="443"/>
      <c r="N55" s="443"/>
      <c r="O55" s="443"/>
      <c r="P55" s="443"/>
    </row>
    <row r="56" spans="1:16" s="437" customFormat="1" ht="15.75">
      <c r="A56" s="456">
        <v>0.02</v>
      </c>
      <c r="B56" s="443" t="s">
        <v>491</v>
      </c>
      <c r="C56" s="443"/>
      <c r="D56" s="443"/>
      <c r="E56" s="443"/>
      <c r="F56" s="443"/>
      <c r="G56" s="443"/>
      <c r="H56" s="443"/>
      <c r="I56" s="443"/>
      <c r="J56" s="443"/>
      <c r="K56" s="443"/>
      <c r="L56" s="443"/>
      <c r="M56" s="443"/>
      <c r="N56" s="443"/>
      <c r="O56" s="443"/>
      <c r="P56" s="443"/>
    </row>
    <row r="57" spans="1:16" s="437" customFormat="1" ht="15.75">
      <c r="A57" s="456">
        <v>0.04</v>
      </c>
      <c r="B57" s="443" t="s">
        <v>492</v>
      </c>
      <c r="C57" s="443"/>
      <c r="D57" s="443"/>
      <c r="E57" s="443"/>
      <c r="F57" s="443"/>
      <c r="G57" s="443"/>
      <c r="H57" s="443"/>
      <c r="I57" s="443"/>
      <c r="J57" s="443"/>
      <c r="K57" s="443"/>
      <c r="L57" s="443"/>
      <c r="M57" s="443"/>
      <c r="N57" s="443"/>
      <c r="O57" s="443"/>
      <c r="P57" s="443"/>
    </row>
    <row r="58" spans="1:16" s="437" customFormat="1" ht="15.75">
      <c r="A58" s="452">
        <v>0.03</v>
      </c>
      <c r="B58" s="443" t="s">
        <v>493</v>
      </c>
      <c r="C58" s="443"/>
      <c r="D58" s="443"/>
      <c r="E58" s="443"/>
      <c r="F58" s="443"/>
      <c r="G58" s="443"/>
      <c r="H58" s="443"/>
      <c r="I58" s="443"/>
      <c r="J58" s="443"/>
      <c r="K58" s="443"/>
      <c r="L58" s="443"/>
      <c r="M58" s="443"/>
      <c r="N58" s="443"/>
      <c r="O58" s="443"/>
      <c r="P58" s="443"/>
    </row>
    <row r="59" spans="1:16" s="437" customFormat="1" ht="15.75">
      <c r="A59" s="442"/>
      <c r="B59" s="443"/>
      <c r="C59" s="443"/>
      <c r="D59" s="443"/>
      <c r="E59" s="443"/>
      <c r="F59" s="443"/>
      <c r="G59" s="443"/>
      <c r="H59" s="443"/>
      <c r="I59" s="443"/>
      <c r="J59" s="443"/>
      <c r="K59" s="443"/>
      <c r="L59" s="443"/>
      <c r="M59" s="443"/>
      <c r="N59" s="443"/>
      <c r="O59" s="443"/>
      <c r="P59" s="443"/>
    </row>
    <row r="60" spans="1:16" s="437" customFormat="1" ht="15.75">
      <c r="A60" s="442"/>
      <c r="B60" s="443"/>
      <c r="C60" s="443"/>
      <c r="D60" s="457" t="s">
        <v>494</v>
      </c>
      <c r="E60" s="457" t="s">
        <v>495</v>
      </c>
      <c r="F60" s="457" t="s">
        <v>496</v>
      </c>
      <c r="G60" s="443"/>
      <c r="H60" s="443"/>
      <c r="I60" s="443"/>
      <c r="J60" s="443"/>
      <c r="K60" s="443"/>
      <c r="L60" s="443"/>
      <c r="M60" s="443"/>
      <c r="N60" s="443"/>
      <c r="O60" s="443"/>
      <c r="P60" s="443"/>
    </row>
    <row r="61" spans="1:16" s="437" customFormat="1" ht="15.75">
      <c r="A61" s="442"/>
      <c r="B61" s="443"/>
      <c r="C61" s="443"/>
      <c r="D61" s="458" t="s">
        <v>497</v>
      </c>
      <c r="E61" s="459">
        <v>212659</v>
      </c>
      <c r="F61" s="459">
        <v>2482493050</v>
      </c>
      <c r="G61" s="443"/>
      <c r="H61" s="443"/>
      <c r="I61" s="443"/>
      <c r="J61" s="443"/>
      <c r="K61" s="443"/>
      <c r="L61" s="443"/>
      <c r="M61" s="443"/>
      <c r="N61" s="443"/>
      <c r="O61" s="443"/>
      <c r="P61" s="443"/>
    </row>
    <row r="62" spans="1:16" s="437" customFormat="1" ht="15.75">
      <c r="A62" s="442"/>
      <c r="B62" s="443"/>
      <c r="C62" s="443"/>
      <c r="D62" s="458" t="s">
        <v>498</v>
      </c>
      <c r="E62" s="459">
        <v>23385</v>
      </c>
      <c r="F62" s="459">
        <v>1804801283</v>
      </c>
      <c r="G62" s="443"/>
      <c r="H62" s="443"/>
      <c r="I62" s="443"/>
      <c r="J62" s="443"/>
      <c r="K62" s="443"/>
      <c r="L62" s="443"/>
      <c r="M62" s="443"/>
      <c r="N62" s="443"/>
      <c r="O62" s="443"/>
      <c r="P62" s="443"/>
    </row>
    <row r="63" spans="1:16" s="437" customFormat="1" ht="15.75">
      <c r="A63" s="442"/>
      <c r="B63" s="443"/>
      <c r="C63" s="443"/>
      <c r="D63" s="458" t="s">
        <v>499</v>
      </c>
      <c r="E63" s="459">
        <v>570</v>
      </c>
      <c r="F63" s="459">
        <v>80159</v>
      </c>
      <c r="G63" s="443"/>
      <c r="H63" s="443"/>
      <c r="I63" s="443"/>
      <c r="J63" s="443"/>
      <c r="K63" s="443"/>
      <c r="L63" s="443"/>
      <c r="M63" s="443"/>
      <c r="N63" s="443"/>
      <c r="O63" s="443"/>
      <c r="P63" s="443"/>
    </row>
    <row r="64" spans="1:16" s="437" customFormat="1" ht="15.75">
      <c r="A64" s="442"/>
      <c r="B64" s="443"/>
      <c r="C64" s="443"/>
      <c r="D64" s="458" t="s">
        <v>500</v>
      </c>
      <c r="E64" s="459">
        <v>359</v>
      </c>
      <c r="F64" s="459">
        <v>205546579</v>
      </c>
      <c r="G64" s="443"/>
      <c r="H64" s="443"/>
      <c r="I64" s="443"/>
      <c r="J64" s="443"/>
      <c r="K64" s="443"/>
      <c r="L64" s="443"/>
      <c r="M64" s="443"/>
      <c r="N64" s="443"/>
      <c r="O64" s="443"/>
      <c r="P64" s="443"/>
    </row>
    <row r="65" spans="1:16" s="437" customFormat="1" ht="15.75">
      <c r="A65" s="442"/>
      <c r="B65" s="443"/>
      <c r="C65" s="443"/>
      <c r="D65" s="458" t="s">
        <v>501</v>
      </c>
      <c r="E65" s="459">
        <v>56</v>
      </c>
      <c r="F65" s="459">
        <v>12095526</v>
      </c>
      <c r="G65" s="443"/>
      <c r="H65" s="443"/>
      <c r="I65" s="443"/>
      <c r="J65" s="443"/>
      <c r="K65" s="443"/>
      <c r="L65" s="443"/>
      <c r="M65" s="443"/>
      <c r="N65" s="443"/>
      <c r="O65" s="443"/>
      <c r="P65" s="443"/>
    </row>
    <row r="66" spans="1:16" s="437" customFormat="1" ht="15.75">
      <c r="A66" s="442"/>
      <c r="B66" s="443"/>
      <c r="C66" s="443"/>
      <c r="D66" s="458" t="s">
        <v>502</v>
      </c>
      <c r="E66" s="459">
        <v>1</v>
      </c>
      <c r="F66" s="459">
        <v>2875</v>
      </c>
      <c r="G66" s="443"/>
      <c r="H66" s="443"/>
      <c r="I66" s="443"/>
      <c r="J66" s="443"/>
      <c r="K66" s="443"/>
      <c r="L66" s="443"/>
      <c r="M66" s="443"/>
      <c r="N66" s="443"/>
      <c r="O66" s="443"/>
      <c r="P66" s="443"/>
    </row>
    <row r="67" spans="1:16" ht="15.75">
      <c r="A67" s="67"/>
      <c r="B67" s="68"/>
      <c r="C67" s="68"/>
      <c r="D67" s="68"/>
      <c r="E67" s="68"/>
      <c r="F67" s="68"/>
      <c r="G67" s="68"/>
      <c r="H67" s="68"/>
      <c r="I67" s="68"/>
      <c r="J67" s="68"/>
      <c r="K67" s="68"/>
      <c r="L67" s="68"/>
      <c r="M67" s="68"/>
      <c r="N67" s="68"/>
      <c r="O67" s="68"/>
      <c r="P67" s="68"/>
    </row>
  </sheetData>
  <mergeCells count="1">
    <mergeCell ref="A29:P29"/>
  </mergeCells>
  <hyperlinks>
    <hyperlink ref="B51" r:id="rId1" xr:uid="{00000000-0004-0000-1500-000000000000}"/>
    <hyperlink ref="A1" location="Summary_RealizationSchedule!A1" display="Back to Summary" xr:uid="{00000000-0004-0000-1500-000001000000}"/>
  </hyperlinks>
  <pageMargins left="0.7" right="0.7" top="0.75" bottom="0.75" header="0.3" footer="0.3"/>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09FF78"/>
  </sheetPr>
  <dimension ref="A1:AB47"/>
  <sheetViews>
    <sheetView workbookViewId="0"/>
  </sheetViews>
  <sheetFormatPr defaultColWidth="9.140625" defaultRowHeight="15"/>
  <cols>
    <col min="1" max="1" width="31.28515625" bestFit="1" customWidth="1"/>
    <col min="2" max="2" width="12.85546875" bestFit="1" customWidth="1"/>
    <col min="3" max="3" width="14.28515625" style="19" bestFit="1" customWidth="1"/>
    <col min="4" max="4" width="12.5703125" style="19" bestFit="1" customWidth="1"/>
    <col min="5" max="8" width="9.140625" style="19"/>
    <col min="9" max="17" width="10" style="19" bestFit="1" customWidth="1"/>
    <col min="18" max="18" width="11.5703125" style="19" bestFit="1" customWidth="1"/>
    <col min="19" max="22" width="10" style="19" bestFit="1" customWidth="1"/>
    <col min="23" max="28" width="11.5703125" style="19" bestFit="1" customWidth="1"/>
  </cols>
  <sheetData>
    <row r="1" spans="1:28">
      <c r="A1" s="9" t="s">
        <v>55</v>
      </c>
    </row>
    <row r="2" spans="1:28">
      <c r="A2" t="s">
        <v>513</v>
      </c>
    </row>
    <row r="3" spans="1:28">
      <c r="B3" s="431" t="s">
        <v>514</v>
      </c>
      <c r="C3" s="19" t="s">
        <v>515</v>
      </c>
      <c r="D3" s="19">
        <v>2021</v>
      </c>
      <c r="E3" s="19">
        <v>2022</v>
      </c>
      <c r="F3" s="19">
        <v>2023</v>
      </c>
      <c r="G3" s="19">
        <v>2024</v>
      </c>
      <c r="H3" s="19">
        <v>2025</v>
      </c>
      <c r="I3" s="19">
        <v>2026</v>
      </c>
      <c r="J3" s="19">
        <v>2027</v>
      </c>
      <c r="K3" s="19">
        <v>2028</v>
      </c>
      <c r="L3" s="19">
        <v>2029</v>
      </c>
      <c r="M3" s="19">
        <v>2030</v>
      </c>
      <c r="N3" s="19">
        <v>2031</v>
      </c>
      <c r="O3" s="19">
        <v>2032</v>
      </c>
      <c r="P3" s="19">
        <v>2033</v>
      </c>
      <c r="Q3" s="19">
        <v>2034</v>
      </c>
      <c r="R3" s="19">
        <v>2035</v>
      </c>
      <c r="S3" s="19">
        <v>2036</v>
      </c>
      <c r="T3" s="19">
        <v>2037</v>
      </c>
      <c r="U3" s="19">
        <v>2038</v>
      </c>
      <c r="V3" s="19">
        <v>2039</v>
      </c>
      <c r="W3" s="19">
        <v>2040</v>
      </c>
      <c r="X3" s="19">
        <v>2041</v>
      </c>
      <c r="Y3" s="19">
        <v>2042</v>
      </c>
      <c r="Z3" s="19">
        <v>2043</v>
      </c>
      <c r="AA3" s="19">
        <v>2044</v>
      </c>
      <c r="AB3" s="19">
        <v>2045</v>
      </c>
    </row>
    <row r="4" spans="1:28">
      <c r="A4" t="s">
        <v>516</v>
      </c>
      <c r="B4" s="431">
        <v>0.5</v>
      </c>
      <c r="C4" s="485">
        <v>33.009999999999955</v>
      </c>
      <c r="D4" s="168">
        <v>27.519217840282959</v>
      </c>
      <c r="E4" s="168">
        <v>28.069602197088617</v>
      </c>
      <c r="F4" s="168">
        <v>28.63099424103039</v>
      </c>
      <c r="G4" s="168">
        <v>29.203614125850997</v>
      </c>
      <c r="H4" s="168">
        <v>29.787686408368018</v>
      </c>
      <c r="I4" s="168">
        <v>30.383440136535377</v>
      </c>
      <c r="J4" s="168">
        <v>30.991108939266084</v>
      </c>
      <c r="K4" s="168">
        <v>31.610931118051408</v>
      </c>
      <c r="L4" s="168">
        <v>32.243149740412434</v>
      </c>
      <c r="M4" s="168">
        <v>32.888012735220684</v>
      </c>
      <c r="N4" s="168">
        <v>33.545772989925098</v>
      </c>
      <c r="O4" s="168">
        <v>34.216688449723598</v>
      </c>
      <c r="P4" s="168">
        <v>34.901022218718069</v>
      </c>
      <c r="Q4" s="168">
        <v>35.599042663092433</v>
      </c>
      <c r="R4" s="168">
        <v>36.311023516354282</v>
      </c>
      <c r="S4" s="168">
        <v>37.037243986681368</v>
      </c>
      <c r="T4" s="168">
        <v>37.777988866414994</v>
      </c>
      <c r="U4" s="168">
        <v>38.533548643743295</v>
      </c>
      <c r="V4" s="168">
        <v>39.304219616618163</v>
      </c>
      <c r="W4" s="168">
        <v>40.090304008950525</v>
      </c>
      <c r="X4" s="168">
        <v>40.892110089129538</v>
      </c>
      <c r="Y4" s="168">
        <v>41.709952290912128</v>
      </c>
      <c r="Z4" s="168">
        <v>42.544151336730373</v>
      </c>
      <c r="AA4" s="168">
        <v>43.39503436346498</v>
      </c>
      <c r="AB4" s="168">
        <v>44.262935050734278</v>
      </c>
    </row>
    <row r="5" spans="1:28">
      <c r="A5" t="s">
        <v>517</v>
      </c>
      <c r="B5" s="431">
        <v>0.5</v>
      </c>
      <c r="C5" s="485">
        <v>81.841857935459984</v>
      </c>
      <c r="D5" s="19">
        <v>0</v>
      </c>
      <c r="E5" s="19">
        <v>0</v>
      </c>
      <c r="F5" s="19">
        <v>0</v>
      </c>
      <c r="G5" s="19">
        <v>0</v>
      </c>
      <c r="H5" s="19">
        <v>0</v>
      </c>
      <c r="I5" s="19">
        <v>107.7</v>
      </c>
      <c r="J5" s="19">
        <v>109.9</v>
      </c>
      <c r="K5" s="19">
        <v>112.1</v>
      </c>
      <c r="L5" s="19">
        <v>114.3</v>
      </c>
      <c r="M5" s="19">
        <v>116.6</v>
      </c>
      <c r="N5" s="19">
        <v>118.9</v>
      </c>
      <c r="O5" s="19">
        <v>121.3</v>
      </c>
      <c r="P5" s="19">
        <v>123.7</v>
      </c>
      <c r="Q5" s="19">
        <v>126.2</v>
      </c>
      <c r="R5" s="19">
        <v>128.69999999999999</v>
      </c>
      <c r="S5" s="19">
        <v>131.30000000000001</v>
      </c>
      <c r="T5" s="19">
        <v>133.9</v>
      </c>
      <c r="U5" s="19">
        <v>136.6</v>
      </c>
      <c r="V5" s="19">
        <v>139.30000000000001</v>
      </c>
      <c r="W5" s="19">
        <v>142.1</v>
      </c>
      <c r="X5" s="19">
        <v>145</v>
      </c>
      <c r="Y5" s="19">
        <v>147.9</v>
      </c>
      <c r="Z5" s="19">
        <v>150.80000000000001</v>
      </c>
      <c r="AA5" s="19">
        <v>153.9</v>
      </c>
      <c r="AB5" s="19">
        <v>156.9</v>
      </c>
    </row>
    <row r="6" spans="1:28">
      <c r="A6" t="s">
        <v>30</v>
      </c>
      <c r="C6" s="485">
        <v>114.85185793545995</v>
      </c>
      <c r="D6" s="168">
        <v>13.75960892014148</v>
      </c>
      <c r="E6" s="168">
        <v>14.034801098544309</v>
      </c>
      <c r="F6" s="168">
        <v>14.315497120515195</v>
      </c>
      <c r="G6" s="168">
        <v>14.601807062925499</v>
      </c>
      <c r="H6" s="168">
        <v>14.893843204184009</v>
      </c>
      <c r="I6" s="168">
        <v>69.041720068267693</v>
      </c>
      <c r="J6" s="168">
        <v>70.445554469633038</v>
      </c>
      <c r="K6" s="168">
        <v>71.855465559025703</v>
      </c>
      <c r="L6" s="168">
        <v>73.271574870206223</v>
      </c>
      <c r="M6" s="168">
        <v>74.744006367610339</v>
      </c>
      <c r="N6" s="168">
        <v>76.222886494962552</v>
      </c>
      <c r="O6" s="168">
        <v>77.758344224861801</v>
      </c>
      <c r="P6" s="168">
        <v>79.300511109359036</v>
      </c>
      <c r="Q6" s="168">
        <v>80.899521331546225</v>
      </c>
      <c r="R6" s="168">
        <v>82.505511758177136</v>
      </c>
      <c r="S6" s="168">
        <v>84.168621993340693</v>
      </c>
      <c r="T6" s="168">
        <v>85.838994433207503</v>
      </c>
      <c r="U6" s="168">
        <v>87.566774321871648</v>
      </c>
      <c r="V6" s="168">
        <v>89.302109808309083</v>
      </c>
      <c r="W6" s="168">
        <v>91.095152004475267</v>
      </c>
      <c r="X6" s="168">
        <v>92.946055044564773</v>
      </c>
      <c r="Y6" s="168">
        <v>94.804976145456067</v>
      </c>
      <c r="Z6" s="168">
        <v>96.672075668365196</v>
      </c>
      <c r="AA6" s="168">
        <v>98.647517181732496</v>
      </c>
      <c r="AB6" s="168">
        <v>100.58146752536715</v>
      </c>
    </row>
    <row r="7" spans="1:28">
      <c r="B7" s="431"/>
    </row>
    <row r="8" spans="1:28" ht="5.25" customHeight="1"/>
    <row r="9" spans="1:28">
      <c r="C9" s="19" t="s">
        <v>518</v>
      </c>
      <c r="R9" s="19" t="s">
        <v>519</v>
      </c>
    </row>
    <row r="10" spans="1:28">
      <c r="A10" t="s">
        <v>520</v>
      </c>
      <c r="B10" s="19"/>
      <c r="C10" s="486">
        <v>11.906230727139533</v>
      </c>
      <c r="D10" s="19">
        <v>0.3</v>
      </c>
      <c r="E10" s="168">
        <v>0.3</v>
      </c>
      <c r="F10" s="168">
        <v>0.3</v>
      </c>
      <c r="G10" s="168">
        <v>0.3</v>
      </c>
      <c r="H10" s="168">
        <v>0.3</v>
      </c>
      <c r="I10" s="168">
        <v>0.3</v>
      </c>
      <c r="J10" s="168">
        <v>0.3</v>
      </c>
      <c r="K10" s="168">
        <v>0.3</v>
      </c>
      <c r="L10" s="168">
        <v>0.3</v>
      </c>
      <c r="M10" s="168">
        <v>0.3</v>
      </c>
      <c r="N10" s="168">
        <v>0.3</v>
      </c>
      <c r="O10" s="168">
        <v>0.3</v>
      </c>
      <c r="P10" s="168">
        <v>0.3</v>
      </c>
      <c r="Q10" s="168">
        <v>0.3</v>
      </c>
      <c r="R10" s="487">
        <v>0.70056642973995797</v>
      </c>
      <c r="S10" s="487">
        <v>0.70056642973995797</v>
      </c>
      <c r="T10" s="487">
        <v>0.70056642973995797</v>
      </c>
      <c r="U10" s="487">
        <v>0.70056642973995797</v>
      </c>
      <c r="V10" s="487">
        <v>0.70056642973995797</v>
      </c>
      <c r="W10" s="487">
        <v>0.70056642973995797</v>
      </c>
      <c r="X10" s="487">
        <v>0.70056642973995797</v>
      </c>
      <c r="Y10" s="487">
        <v>0.70056642973995797</v>
      </c>
      <c r="Z10" s="487">
        <v>0.70056642973995797</v>
      </c>
      <c r="AA10" s="487">
        <v>0.70056642973995797</v>
      </c>
      <c r="AB10" s="487">
        <v>0.70056642973995797</v>
      </c>
    </row>
    <row r="11" spans="1:28">
      <c r="B11" s="19" t="s">
        <v>4</v>
      </c>
    </row>
    <row r="12" spans="1:28">
      <c r="A12" s="19">
        <v>2021</v>
      </c>
      <c r="B12" s="43">
        <v>204435.02493560349</v>
      </c>
      <c r="C12" s="19">
        <v>0</v>
      </c>
      <c r="D12" s="22">
        <v>4127.8826760424436</v>
      </c>
      <c r="E12" s="22">
        <v>4210.4403295632928</v>
      </c>
      <c r="F12" s="22">
        <v>4294.6491361545586</v>
      </c>
      <c r="G12" s="22">
        <v>4380.54211887765</v>
      </c>
      <c r="H12" s="22">
        <v>4468.1529612552022</v>
      </c>
      <c r="I12" s="22">
        <v>20712.516020480307</v>
      </c>
      <c r="J12" s="22">
        <v>21133.666340889911</v>
      </c>
      <c r="K12" s="22">
        <v>21556.63966770771</v>
      </c>
      <c r="L12" s="22">
        <v>21981.472461061865</v>
      </c>
      <c r="M12" s="22">
        <v>22423.2019102831</v>
      </c>
      <c r="N12" s="22">
        <v>22866.865948488765</v>
      </c>
      <c r="O12" s="22">
        <v>23327.503267458542</v>
      </c>
      <c r="P12" s="22">
        <v>23790.153332807709</v>
      </c>
      <c r="Q12" s="22">
        <v>24269.856399463868</v>
      </c>
      <c r="R12" s="22">
        <v>24751.653527453142</v>
      </c>
      <c r="S12" s="22">
        <v>25250.586598002206</v>
      </c>
      <c r="T12" s="22">
        <v>25751.698329962252</v>
      </c>
      <c r="U12" s="22">
        <v>26270.032296561494</v>
      </c>
      <c r="V12" s="22">
        <v>26790.632942492724</v>
      </c>
      <c r="W12" s="22">
        <v>27328.545601342579</v>
      </c>
      <c r="X12" s="22">
        <v>27883.816513369431</v>
      </c>
      <c r="Y12" s="22">
        <v>28441.492843636821</v>
      </c>
      <c r="Z12" s="22">
        <v>29001.622700509557</v>
      </c>
      <c r="AA12" s="22">
        <v>29594.255154519749</v>
      </c>
      <c r="AB12" s="22">
        <v>30174.440257610142</v>
      </c>
    </row>
    <row r="13" spans="1:28">
      <c r="A13" s="19">
        <v>2022</v>
      </c>
      <c r="B13" s="43">
        <v>200569.96625017049</v>
      </c>
      <c r="C13" s="19">
        <v>0</v>
      </c>
      <c r="D13" s="19">
        <v>0</v>
      </c>
      <c r="E13" s="22">
        <v>4210.4403295632928</v>
      </c>
      <c r="F13" s="22">
        <v>4294.6491361545586</v>
      </c>
      <c r="G13" s="22">
        <v>4380.54211887765</v>
      </c>
      <c r="H13" s="22">
        <v>4468.1529612552022</v>
      </c>
      <c r="I13" s="22">
        <v>20712.516020480307</v>
      </c>
      <c r="J13" s="22">
        <v>21133.666340889911</v>
      </c>
      <c r="K13" s="22">
        <v>21556.63966770771</v>
      </c>
      <c r="L13" s="22">
        <v>21981.472461061865</v>
      </c>
      <c r="M13" s="22">
        <v>22423.2019102831</v>
      </c>
      <c r="N13" s="22">
        <v>22866.865948488765</v>
      </c>
      <c r="O13" s="22">
        <v>23327.503267458542</v>
      </c>
      <c r="P13" s="22">
        <v>23790.153332807709</v>
      </c>
      <c r="Q13" s="22">
        <v>24269.856399463868</v>
      </c>
      <c r="R13" s="22">
        <v>24751.653527453142</v>
      </c>
      <c r="S13" s="22">
        <v>25250.586598002206</v>
      </c>
      <c r="T13" s="22">
        <v>25751.698329962252</v>
      </c>
      <c r="U13" s="22">
        <v>26270.032296561494</v>
      </c>
      <c r="V13" s="22">
        <v>26790.632942492724</v>
      </c>
      <c r="W13" s="22">
        <v>27328.545601342579</v>
      </c>
      <c r="X13" s="22">
        <v>27883.816513369431</v>
      </c>
      <c r="Y13" s="22">
        <v>28441.492843636821</v>
      </c>
      <c r="Z13" s="22">
        <v>29001.622700509557</v>
      </c>
      <c r="AA13" s="22">
        <v>29594.255154519749</v>
      </c>
      <c r="AB13" s="22">
        <v>30174.440257610142</v>
      </c>
    </row>
    <row r="14" spans="1:28">
      <c r="A14" s="19">
        <v>2023</v>
      </c>
      <c r="B14" s="43">
        <v>196878.61806745359</v>
      </c>
      <c r="C14" s="19">
        <v>0</v>
      </c>
      <c r="D14" s="19">
        <v>0</v>
      </c>
      <c r="E14" s="19">
        <v>0</v>
      </c>
      <c r="F14" s="22">
        <v>4294.6491361545586</v>
      </c>
      <c r="G14" s="22">
        <v>4380.54211887765</v>
      </c>
      <c r="H14" s="22">
        <v>4468.1529612552022</v>
      </c>
      <c r="I14" s="22">
        <v>20712.516020480307</v>
      </c>
      <c r="J14" s="22">
        <v>21133.666340889911</v>
      </c>
      <c r="K14" s="22">
        <v>21556.63966770771</v>
      </c>
      <c r="L14" s="22">
        <v>21981.472461061865</v>
      </c>
      <c r="M14" s="22">
        <v>22423.2019102831</v>
      </c>
      <c r="N14" s="22">
        <v>22866.865948488765</v>
      </c>
      <c r="O14" s="22">
        <v>23327.503267458542</v>
      </c>
      <c r="P14" s="22">
        <v>23790.153332807709</v>
      </c>
      <c r="Q14" s="22">
        <v>24269.856399463868</v>
      </c>
      <c r="R14" s="22">
        <v>24751.653527453142</v>
      </c>
      <c r="S14" s="22">
        <v>25250.586598002206</v>
      </c>
      <c r="T14" s="22">
        <v>25751.698329962252</v>
      </c>
      <c r="U14" s="22">
        <v>26270.032296561494</v>
      </c>
      <c r="V14" s="22">
        <v>26790.632942492724</v>
      </c>
      <c r="W14" s="22">
        <v>27328.545601342579</v>
      </c>
      <c r="X14" s="22">
        <v>27883.816513369431</v>
      </c>
      <c r="Y14" s="22">
        <v>28441.492843636821</v>
      </c>
      <c r="Z14" s="22">
        <v>29001.622700509557</v>
      </c>
      <c r="AA14" s="22">
        <v>29594.255154519749</v>
      </c>
      <c r="AB14" s="22">
        <v>30174.440257610142</v>
      </c>
    </row>
    <row r="15" spans="1:28">
      <c r="A15" s="19">
        <v>2024</v>
      </c>
      <c r="B15" s="43">
        <v>193353.17317384758</v>
      </c>
      <c r="C15" s="19">
        <v>0</v>
      </c>
      <c r="D15" s="19">
        <v>0</v>
      </c>
      <c r="E15" s="19">
        <v>0</v>
      </c>
      <c r="F15" s="19">
        <v>0</v>
      </c>
      <c r="G15" s="22">
        <v>4380.54211887765</v>
      </c>
      <c r="H15" s="22">
        <v>4468.1529612552022</v>
      </c>
      <c r="I15" s="22">
        <v>20712.516020480307</v>
      </c>
      <c r="J15" s="22">
        <v>21133.666340889911</v>
      </c>
      <c r="K15" s="22">
        <v>21556.63966770771</v>
      </c>
      <c r="L15" s="22">
        <v>21981.472461061865</v>
      </c>
      <c r="M15" s="22">
        <v>22423.2019102831</v>
      </c>
      <c r="N15" s="22">
        <v>22866.865948488765</v>
      </c>
      <c r="O15" s="22">
        <v>23327.503267458542</v>
      </c>
      <c r="P15" s="22">
        <v>23790.153332807709</v>
      </c>
      <c r="Q15" s="22">
        <v>24269.856399463868</v>
      </c>
      <c r="R15" s="22">
        <v>24751.653527453142</v>
      </c>
      <c r="S15" s="22">
        <v>25250.586598002206</v>
      </c>
      <c r="T15" s="22">
        <v>25751.698329962252</v>
      </c>
      <c r="U15" s="22">
        <v>26270.032296561494</v>
      </c>
      <c r="V15" s="22">
        <v>26790.632942492724</v>
      </c>
      <c r="W15" s="22">
        <v>27328.545601342579</v>
      </c>
      <c r="X15" s="22">
        <v>27883.816513369431</v>
      </c>
      <c r="Y15" s="22">
        <v>28441.492843636821</v>
      </c>
      <c r="Z15" s="22">
        <v>29001.622700509557</v>
      </c>
      <c r="AA15" s="22">
        <v>29594.255154519749</v>
      </c>
      <c r="AB15" s="22">
        <v>30174.440257610142</v>
      </c>
    </row>
    <row r="16" spans="1:28">
      <c r="A16" s="19">
        <v>2025</v>
      </c>
      <c r="B16" s="43">
        <v>189986.17524175189</v>
      </c>
      <c r="C16" s="19">
        <v>0</v>
      </c>
      <c r="D16" s="19">
        <v>0</v>
      </c>
      <c r="E16" s="19">
        <v>0</v>
      </c>
      <c r="F16" s="19">
        <v>0</v>
      </c>
      <c r="G16" s="19">
        <v>0</v>
      </c>
      <c r="H16" s="22">
        <v>4468.1529612552022</v>
      </c>
      <c r="I16" s="22">
        <v>20712.516020480307</v>
      </c>
      <c r="J16" s="22">
        <v>21133.666340889911</v>
      </c>
      <c r="K16" s="22">
        <v>21556.63966770771</v>
      </c>
      <c r="L16" s="22">
        <v>21981.472461061865</v>
      </c>
      <c r="M16" s="22">
        <v>22423.2019102831</v>
      </c>
      <c r="N16" s="22">
        <v>22866.865948488765</v>
      </c>
      <c r="O16" s="22">
        <v>23327.503267458542</v>
      </c>
      <c r="P16" s="22">
        <v>23790.153332807709</v>
      </c>
      <c r="Q16" s="22">
        <v>24269.856399463868</v>
      </c>
      <c r="R16" s="22">
        <v>24751.653527453142</v>
      </c>
      <c r="S16" s="22">
        <v>25250.586598002206</v>
      </c>
      <c r="T16" s="22">
        <v>25751.698329962252</v>
      </c>
      <c r="U16" s="22">
        <v>26270.032296561494</v>
      </c>
      <c r="V16" s="22">
        <v>26790.632942492724</v>
      </c>
      <c r="W16" s="22">
        <v>27328.545601342579</v>
      </c>
      <c r="X16" s="22">
        <v>27883.816513369431</v>
      </c>
      <c r="Y16" s="22">
        <v>28441.492843636821</v>
      </c>
      <c r="Z16" s="22">
        <v>29001.622700509557</v>
      </c>
      <c r="AA16" s="22">
        <v>29594.255154519749</v>
      </c>
      <c r="AB16" s="22">
        <v>30174.440257610142</v>
      </c>
    </row>
    <row r="17" spans="1:28">
      <c r="A17" s="19">
        <v>2026</v>
      </c>
      <c r="B17" s="43">
        <v>186770.50305941337</v>
      </c>
      <c r="C17" s="19">
        <v>0</v>
      </c>
      <c r="D17" s="19">
        <v>0</v>
      </c>
      <c r="E17" s="19">
        <v>0</v>
      </c>
      <c r="F17" s="19">
        <v>0</v>
      </c>
      <c r="G17" s="19">
        <v>0</v>
      </c>
      <c r="H17" s="19">
        <v>0</v>
      </c>
      <c r="I17" s="22">
        <v>20712.516020480307</v>
      </c>
      <c r="J17" s="22">
        <v>21133.666340889911</v>
      </c>
      <c r="K17" s="22">
        <v>21556.63966770771</v>
      </c>
      <c r="L17" s="22">
        <v>21981.472461061865</v>
      </c>
      <c r="M17" s="22">
        <v>22423.2019102831</v>
      </c>
      <c r="N17" s="22">
        <v>22866.865948488765</v>
      </c>
      <c r="O17" s="22">
        <v>23327.503267458542</v>
      </c>
      <c r="P17" s="22">
        <v>23790.153332807709</v>
      </c>
      <c r="Q17" s="22">
        <v>24269.856399463868</v>
      </c>
      <c r="R17" s="22">
        <v>24751.653527453142</v>
      </c>
      <c r="S17" s="22">
        <v>25250.586598002206</v>
      </c>
      <c r="T17" s="22">
        <v>25751.698329962252</v>
      </c>
      <c r="U17" s="22">
        <v>26270.032296561494</v>
      </c>
      <c r="V17" s="22">
        <v>26790.632942492724</v>
      </c>
      <c r="W17" s="22">
        <v>27328.545601342579</v>
      </c>
      <c r="X17" s="22">
        <v>27883.816513369431</v>
      </c>
      <c r="Y17" s="22">
        <v>28441.492843636821</v>
      </c>
      <c r="Z17" s="22">
        <v>29001.622700509557</v>
      </c>
      <c r="AA17" s="22">
        <v>29594.255154519749</v>
      </c>
      <c r="AB17" s="22">
        <v>30174.440257610142</v>
      </c>
    </row>
    <row r="18" spans="1:28">
      <c r="A18" s="19">
        <v>2027</v>
      </c>
      <c r="B18" s="43">
        <v>172813.07682752077</v>
      </c>
      <c r="C18" s="19">
        <v>0</v>
      </c>
      <c r="D18" s="19">
        <v>0</v>
      </c>
      <c r="E18" s="19">
        <v>0</v>
      </c>
      <c r="F18" s="19">
        <v>0</v>
      </c>
      <c r="G18" s="19">
        <v>0</v>
      </c>
      <c r="H18" s="19">
        <v>0</v>
      </c>
      <c r="I18" s="19">
        <v>0</v>
      </c>
      <c r="J18" s="22">
        <v>21133.666340889911</v>
      </c>
      <c r="K18" s="22">
        <v>21556.63966770771</v>
      </c>
      <c r="L18" s="22">
        <v>21981.472461061865</v>
      </c>
      <c r="M18" s="22">
        <v>22423.2019102831</v>
      </c>
      <c r="N18" s="22">
        <v>22866.865948488765</v>
      </c>
      <c r="O18" s="22">
        <v>23327.503267458542</v>
      </c>
      <c r="P18" s="22">
        <v>23790.153332807709</v>
      </c>
      <c r="Q18" s="22">
        <v>24269.856399463868</v>
      </c>
      <c r="R18" s="22">
        <v>24751.653527453142</v>
      </c>
      <c r="S18" s="22">
        <v>25250.586598002206</v>
      </c>
      <c r="T18" s="22">
        <v>25751.698329962252</v>
      </c>
      <c r="U18" s="22">
        <v>26270.032296561494</v>
      </c>
      <c r="V18" s="22">
        <v>26790.632942492724</v>
      </c>
      <c r="W18" s="22">
        <v>27328.545601342579</v>
      </c>
      <c r="X18" s="22">
        <v>27883.816513369431</v>
      </c>
      <c r="Y18" s="22">
        <v>28441.492843636821</v>
      </c>
      <c r="Z18" s="22">
        <v>29001.622700509557</v>
      </c>
      <c r="AA18" s="22">
        <v>29594.255154519749</v>
      </c>
      <c r="AB18" s="22">
        <v>30174.440257610142</v>
      </c>
    </row>
    <row r="19" spans="1:28">
      <c r="A19" s="19">
        <v>2028</v>
      </c>
      <c r="B19" s="43">
        <v>159478.59703297549</v>
      </c>
      <c r="C19" s="19">
        <v>0</v>
      </c>
      <c r="D19" s="19">
        <v>0</v>
      </c>
      <c r="E19" s="19">
        <v>0</v>
      </c>
      <c r="F19" s="19">
        <v>0</v>
      </c>
      <c r="G19" s="19">
        <v>0</v>
      </c>
      <c r="H19" s="19">
        <v>0</v>
      </c>
      <c r="I19" s="19">
        <v>0</v>
      </c>
      <c r="J19" s="19">
        <v>0</v>
      </c>
      <c r="K19" s="22">
        <v>21556.63966770771</v>
      </c>
      <c r="L19" s="22">
        <v>21981.472461061865</v>
      </c>
      <c r="M19" s="22">
        <v>22423.2019102831</v>
      </c>
      <c r="N19" s="22">
        <v>22866.865948488765</v>
      </c>
      <c r="O19" s="22">
        <v>23327.503267458542</v>
      </c>
      <c r="P19" s="22">
        <v>23790.153332807709</v>
      </c>
      <c r="Q19" s="22">
        <v>24269.856399463868</v>
      </c>
      <c r="R19" s="22">
        <v>24751.653527453142</v>
      </c>
      <c r="S19" s="22">
        <v>25250.586598002206</v>
      </c>
      <c r="T19" s="22">
        <v>25751.698329962252</v>
      </c>
      <c r="U19" s="22">
        <v>26270.032296561494</v>
      </c>
      <c r="V19" s="22">
        <v>26790.632942492724</v>
      </c>
      <c r="W19" s="22">
        <v>27328.545601342579</v>
      </c>
      <c r="X19" s="22">
        <v>27883.816513369431</v>
      </c>
      <c r="Y19" s="22">
        <v>28441.492843636821</v>
      </c>
      <c r="Z19" s="22">
        <v>29001.622700509557</v>
      </c>
      <c r="AA19" s="22">
        <v>29594.255154519749</v>
      </c>
      <c r="AB19" s="22">
        <v>30174.440257610142</v>
      </c>
    </row>
    <row r="20" spans="1:28">
      <c r="A20" s="19">
        <v>2029</v>
      </c>
      <c r="B20" s="43">
        <v>146743.2424653949</v>
      </c>
      <c r="C20" s="19">
        <v>0</v>
      </c>
      <c r="D20" s="19">
        <v>0</v>
      </c>
      <c r="E20" s="19">
        <v>0</v>
      </c>
      <c r="F20" s="19">
        <v>0</v>
      </c>
      <c r="G20" s="19">
        <v>0</v>
      </c>
      <c r="H20" s="19">
        <v>0</v>
      </c>
      <c r="I20" s="19">
        <v>0</v>
      </c>
      <c r="J20" s="19">
        <v>0</v>
      </c>
      <c r="K20" s="19">
        <v>0</v>
      </c>
      <c r="L20" s="22">
        <v>21981.472461061865</v>
      </c>
      <c r="M20" s="22">
        <v>22423.2019102831</v>
      </c>
      <c r="N20" s="22">
        <v>22866.865948488765</v>
      </c>
      <c r="O20" s="22">
        <v>23327.503267458542</v>
      </c>
      <c r="P20" s="22">
        <v>23790.153332807709</v>
      </c>
      <c r="Q20" s="22">
        <v>24269.856399463868</v>
      </c>
      <c r="R20" s="22">
        <v>24751.653527453142</v>
      </c>
      <c r="S20" s="22">
        <v>25250.586598002206</v>
      </c>
      <c r="T20" s="22">
        <v>25751.698329962252</v>
      </c>
      <c r="U20" s="22">
        <v>26270.032296561494</v>
      </c>
      <c r="V20" s="22">
        <v>26790.632942492724</v>
      </c>
      <c r="W20" s="22">
        <v>27328.545601342579</v>
      </c>
      <c r="X20" s="22">
        <v>27883.816513369431</v>
      </c>
      <c r="Y20" s="22">
        <v>28441.492843636821</v>
      </c>
      <c r="Z20" s="22">
        <v>29001.622700509557</v>
      </c>
      <c r="AA20" s="22">
        <v>29594.255154519749</v>
      </c>
      <c r="AB20" s="22">
        <v>30174.440257610142</v>
      </c>
    </row>
    <row r="21" spans="1:28">
      <c r="A21" s="19">
        <v>2030</v>
      </c>
      <c r="B21" s="43">
        <v>134583.74835585413</v>
      </c>
      <c r="C21" s="19">
        <v>0</v>
      </c>
      <c r="D21" s="19">
        <v>0</v>
      </c>
      <c r="E21" s="19">
        <v>0</v>
      </c>
      <c r="F21" s="19">
        <v>0</v>
      </c>
      <c r="G21" s="19">
        <v>0</v>
      </c>
      <c r="H21" s="19">
        <v>0</v>
      </c>
      <c r="I21" s="19">
        <v>0</v>
      </c>
      <c r="J21" s="19">
        <v>0</v>
      </c>
      <c r="K21" s="19">
        <v>0</v>
      </c>
      <c r="L21" s="19">
        <v>0</v>
      </c>
      <c r="M21" s="22">
        <v>22423.2019102831</v>
      </c>
      <c r="N21" s="22">
        <v>22866.865948488765</v>
      </c>
      <c r="O21" s="22">
        <v>23327.503267458542</v>
      </c>
      <c r="P21" s="22">
        <v>23790.153332807709</v>
      </c>
      <c r="Q21" s="22">
        <v>24269.856399463868</v>
      </c>
      <c r="R21" s="22">
        <v>24751.653527453142</v>
      </c>
      <c r="S21" s="22">
        <v>25250.586598002206</v>
      </c>
      <c r="T21" s="22">
        <v>25751.698329962252</v>
      </c>
      <c r="U21" s="22">
        <v>26270.032296561494</v>
      </c>
      <c r="V21" s="22">
        <v>26790.632942492724</v>
      </c>
      <c r="W21" s="22">
        <v>27328.545601342579</v>
      </c>
      <c r="X21" s="22">
        <v>27883.816513369431</v>
      </c>
      <c r="Y21" s="22">
        <v>28441.492843636821</v>
      </c>
      <c r="Z21" s="22">
        <v>29001.622700509557</v>
      </c>
      <c r="AA21" s="22">
        <v>29594.255154519749</v>
      </c>
      <c r="AB21" s="22">
        <v>30174.440257610142</v>
      </c>
    </row>
    <row r="22" spans="1:28">
      <c r="A22" s="19">
        <v>2031</v>
      </c>
      <c r="B22" s="43">
        <v>122969.66066950854</v>
      </c>
      <c r="C22" s="19">
        <v>0</v>
      </c>
      <c r="D22" s="19">
        <v>0</v>
      </c>
      <c r="E22" s="19">
        <v>0</v>
      </c>
      <c r="F22" s="19">
        <v>0</v>
      </c>
      <c r="G22" s="19">
        <v>0</v>
      </c>
      <c r="H22" s="19">
        <v>0</v>
      </c>
      <c r="I22" s="19">
        <v>0</v>
      </c>
      <c r="J22" s="19">
        <v>0</v>
      </c>
      <c r="K22" s="19">
        <v>0</v>
      </c>
      <c r="L22" s="19">
        <v>0</v>
      </c>
      <c r="M22" s="19">
        <v>0</v>
      </c>
      <c r="N22" s="22">
        <v>22866.865948488765</v>
      </c>
      <c r="O22" s="22">
        <v>23327.503267458542</v>
      </c>
      <c r="P22" s="22">
        <v>23790.153332807709</v>
      </c>
      <c r="Q22" s="22">
        <v>24269.856399463868</v>
      </c>
      <c r="R22" s="22">
        <v>24751.653527453142</v>
      </c>
      <c r="S22" s="22">
        <v>25250.586598002206</v>
      </c>
      <c r="T22" s="22">
        <v>25751.698329962252</v>
      </c>
      <c r="U22" s="22">
        <v>26270.032296561494</v>
      </c>
      <c r="V22" s="22">
        <v>26790.632942492724</v>
      </c>
      <c r="W22" s="22">
        <v>27328.545601342579</v>
      </c>
      <c r="X22" s="22">
        <v>27883.816513369431</v>
      </c>
      <c r="Y22" s="22">
        <v>28441.492843636821</v>
      </c>
      <c r="Z22" s="22">
        <v>29001.622700509557</v>
      </c>
      <c r="AA22" s="22">
        <v>29594.255154519749</v>
      </c>
      <c r="AB22" s="22">
        <v>30174.440257610142</v>
      </c>
    </row>
    <row r="23" spans="1:28">
      <c r="A23" s="19">
        <v>2032</v>
      </c>
      <c r="B23" s="43">
        <v>111879.88231542788</v>
      </c>
      <c r="C23" s="19">
        <v>0</v>
      </c>
      <c r="D23" s="19">
        <v>0</v>
      </c>
      <c r="E23" s="19">
        <v>0</v>
      </c>
      <c r="F23" s="19">
        <v>0</v>
      </c>
      <c r="G23" s="19">
        <v>0</v>
      </c>
      <c r="H23" s="19">
        <v>0</v>
      </c>
      <c r="I23" s="19">
        <v>0</v>
      </c>
      <c r="J23" s="19">
        <v>0</v>
      </c>
      <c r="K23" s="19">
        <v>0</v>
      </c>
      <c r="L23" s="19">
        <v>0</v>
      </c>
      <c r="M23" s="19">
        <v>0</v>
      </c>
      <c r="N23" s="19">
        <v>0</v>
      </c>
      <c r="O23" s="22">
        <v>23327.503267458542</v>
      </c>
      <c r="P23" s="22">
        <v>23790.153332807709</v>
      </c>
      <c r="Q23" s="22">
        <v>24269.856399463868</v>
      </c>
      <c r="R23" s="22">
        <v>24751.653527453142</v>
      </c>
      <c r="S23" s="22">
        <v>25250.586598002206</v>
      </c>
      <c r="T23" s="22">
        <v>25751.698329962252</v>
      </c>
      <c r="U23" s="22">
        <v>26270.032296561494</v>
      </c>
      <c r="V23" s="22">
        <v>26790.632942492724</v>
      </c>
      <c r="W23" s="22">
        <v>27328.545601342579</v>
      </c>
      <c r="X23" s="22">
        <v>27883.816513369431</v>
      </c>
      <c r="Y23" s="22">
        <v>28441.492843636821</v>
      </c>
      <c r="Z23" s="22">
        <v>29001.622700509557</v>
      </c>
      <c r="AA23" s="22">
        <v>29594.255154519749</v>
      </c>
      <c r="AB23" s="22">
        <v>30174.440257610142</v>
      </c>
    </row>
    <row r="24" spans="1:28">
      <c r="A24" s="19">
        <v>2033</v>
      </c>
      <c r="B24" s="43">
        <v>101287.02245857105</v>
      </c>
      <c r="C24" s="19">
        <v>0</v>
      </c>
      <c r="D24" s="19">
        <v>0</v>
      </c>
      <c r="E24" s="19">
        <v>0</v>
      </c>
      <c r="F24" s="19">
        <v>0</v>
      </c>
      <c r="G24" s="19">
        <v>0</v>
      </c>
      <c r="H24" s="19">
        <v>0</v>
      </c>
      <c r="I24" s="19">
        <v>0</v>
      </c>
      <c r="J24" s="19">
        <v>0</v>
      </c>
      <c r="K24" s="19">
        <v>0</v>
      </c>
      <c r="L24" s="19">
        <v>0</v>
      </c>
      <c r="M24" s="19">
        <v>0</v>
      </c>
      <c r="N24" s="19">
        <v>0</v>
      </c>
      <c r="O24" s="19">
        <v>0</v>
      </c>
      <c r="P24" s="22">
        <v>23790.153332807709</v>
      </c>
      <c r="Q24" s="22">
        <v>24269.856399463868</v>
      </c>
      <c r="R24" s="22">
        <v>24751.653527453142</v>
      </c>
      <c r="S24" s="22">
        <v>25250.586598002206</v>
      </c>
      <c r="T24" s="22">
        <v>25751.698329962252</v>
      </c>
      <c r="U24" s="22">
        <v>26270.032296561494</v>
      </c>
      <c r="V24" s="22">
        <v>26790.632942492724</v>
      </c>
      <c r="W24" s="22">
        <v>27328.545601342579</v>
      </c>
      <c r="X24" s="22">
        <v>27883.816513369431</v>
      </c>
      <c r="Y24" s="22">
        <v>28441.492843636821</v>
      </c>
      <c r="Z24" s="22">
        <v>29001.622700509557</v>
      </c>
      <c r="AA24" s="22">
        <v>29594.255154519749</v>
      </c>
      <c r="AB24" s="22">
        <v>30174.440257610142</v>
      </c>
    </row>
    <row r="25" spans="1:28">
      <c r="A25" s="19">
        <v>2034</v>
      </c>
      <c r="B25" s="43">
        <v>91171.904396174694</v>
      </c>
      <c r="C25" s="19">
        <v>0</v>
      </c>
      <c r="D25" s="19">
        <v>0</v>
      </c>
      <c r="E25" s="19">
        <v>0</v>
      </c>
      <c r="F25" s="19">
        <v>0</v>
      </c>
      <c r="G25" s="19">
        <v>0</v>
      </c>
      <c r="H25" s="19">
        <v>0</v>
      </c>
      <c r="I25" s="19">
        <v>0</v>
      </c>
      <c r="J25" s="19">
        <v>0</v>
      </c>
      <c r="K25" s="19">
        <v>0</v>
      </c>
      <c r="L25" s="19">
        <v>0</v>
      </c>
      <c r="M25" s="19">
        <v>0</v>
      </c>
      <c r="N25" s="19">
        <v>0</v>
      </c>
      <c r="O25" s="19">
        <v>0</v>
      </c>
      <c r="P25" s="19">
        <v>0</v>
      </c>
      <c r="Q25" s="22">
        <v>24269.856399463868</v>
      </c>
      <c r="R25" s="22">
        <v>24751.653527453142</v>
      </c>
      <c r="S25" s="22">
        <v>25250.586598002206</v>
      </c>
      <c r="T25" s="22">
        <v>25751.698329962252</v>
      </c>
      <c r="U25" s="22">
        <v>26270.032296561494</v>
      </c>
      <c r="V25" s="22">
        <v>26790.632942492724</v>
      </c>
      <c r="W25" s="22">
        <v>27328.545601342579</v>
      </c>
      <c r="X25" s="22">
        <v>27883.816513369431</v>
      </c>
      <c r="Y25" s="22">
        <v>28441.492843636821</v>
      </c>
      <c r="Z25" s="22">
        <v>29001.622700509557</v>
      </c>
      <c r="AA25" s="22">
        <v>29594.255154519749</v>
      </c>
      <c r="AB25" s="22">
        <v>30174.440257610142</v>
      </c>
    </row>
    <row r="26" spans="1:28">
      <c r="A26" s="19">
        <v>2035</v>
      </c>
      <c r="B26" s="43">
        <v>190343.53876355273</v>
      </c>
      <c r="C26" s="19">
        <v>0</v>
      </c>
      <c r="D26" s="19">
        <v>0</v>
      </c>
      <c r="E26" s="19">
        <v>0</v>
      </c>
      <c r="F26" s="19">
        <v>0</v>
      </c>
      <c r="G26" s="19">
        <v>0</v>
      </c>
      <c r="H26" s="19">
        <v>0</v>
      </c>
      <c r="I26" s="19">
        <v>0</v>
      </c>
      <c r="J26" s="19">
        <v>0</v>
      </c>
      <c r="K26" s="19">
        <v>0</v>
      </c>
      <c r="L26" s="19">
        <v>0</v>
      </c>
      <c r="M26" s="19">
        <v>0</v>
      </c>
      <c r="N26" s="19">
        <v>0</v>
      </c>
      <c r="O26" s="19">
        <v>0</v>
      </c>
      <c r="P26" s="19">
        <v>0</v>
      </c>
      <c r="Q26" s="19">
        <v>0</v>
      </c>
      <c r="R26" s="22">
        <v>57800.591806294273</v>
      </c>
      <c r="S26" s="22">
        <v>58965.711006006793</v>
      </c>
      <c r="T26" s="22">
        <v>60135.917862540307</v>
      </c>
      <c r="U26" s="22">
        <v>61346.342450518248</v>
      </c>
      <c r="V26" s="22">
        <v>62562.060236652775</v>
      </c>
      <c r="W26" s="22">
        <v>63818.205406394009</v>
      </c>
      <c r="X26" s="22">
        <v>65114.88594098435</v>
      </c>
      <c r="Y26" s="22">
        <v>66417.183659804039</v>
      </c>
      <c r="Z26" s="22">
        <v>67725.210906537657</v>
      </c>
      <c r="AA26" s="22">
        <v>69109.138914717492</v>
      </c>
      <c r="AB26" s="22">
        <v>70463.999602251977</v>
      </c>
    </row>
    <row r="27" spans="1:28">
      <c r="A27" s="19">
        <v>2036</v>
      </c>
      <c r="B27" s="43">
        <v>168797.6955759101</v>
      </c>
      <c r="C27" s="19">
        <v>0</v>
      </c>
      <c r="D27" s="19">
        <v>0</v>
      </c>
      <c r="E27" s="19">
        <v>0</v>
      </c>
      <c r="F27" s="19">
        <v>0</v>
      </c>
      <c r="G27" s="19">
        <v>0</v>
      </c>
      <c r="H27" s="19">
        <v>0</v>
      </c>
      <c r="I27" s="19">
        <v>0</v>
      </c>
      <c r="J27" s="19">
        <v>0</v>
      </c>
      <c r="K27" s="19">
        <v>0</v>
      </c>
      <c r="L27" s="19">
        <v>0</v>
      </c>
      <c r="M27" s="19">
        <v>0</v>
      </c>
      <c r="N27" s="19">
        <v>0</v>
      </c>
      <c r="O27" s="19">
        <v>0</v>
      </c>
      <c r="P27" s="19">
        <v>0</v>
      </c>
      <c r="Q27" s="19">
        <v>0</v>
      </c>
      <c r="R27" s="19">
        <v>0</v>
      </c>
      <c r="S27" s="22">
        <v>58965.711006006793</v>
      </c>
      <c r="T27" s="22">
        <v>60135.917862540307</v>
      </c>
      <c r="U27" s="22">
        <v>61346.342450518248</v>
      </c>
      <c r="V27" s="22">
        <v>62562.060236652775</v>
      </c>
      <c r="W27" s="22">
        <v>63818.205406394009</v>
      </c>
      <c r="X27" s="22">
        <v>65114.88594098435</v>
      </c>
      <c r="Y27" s="22">
        <v>66417.183659804039</v>
      </c>
      <c r="Z27" s="22">
        <v>67725.210906537657</v>
      </c>
      <c r="AA27" s="22">
        <v>69109.138914717492</v>
      </c>
      <c r="AB27" s="22">
        <v>70463.999602251977</v>
      </c>
    </row>
    <row r="28" spans="1:28">
      <c r="A28" s="19">
        <v>2037</v>
      </c>
      <c r="B28" s="43">
        <v>148217.02616846678</v>
      </c>
      <c r="C28" s="19">
        <v>0</v>
      </c>
      <c r="D28" s="19">
        <v>0</v>
      </c>
      <c r="E28" s="19">
        <v>0</v>
      </c>
      <c r="F28" s="19">
        <v>0</v>
      </c>
      <c r="G28" s="19">
        <v>0</v>
      </c>
      <c r="H28" s="19">
        <v>0</v>
      </c>
      <c r="I28" s="19">
        <v>0</v>
      </c>
      <c r="J28" s="19">
        <v>0</v>
      </c>
      <c r="K28" s="19">
        <v>0</v>
      </c>
      <c r="L28" s="19">
        <v>0</v>
      </c>
      <c r="M28" s="19">
        <v>0</v>
      </c>
      <c r="N28" s="19">
        <v>0</v>
      </c>
      <c r="O28" s="19">
        <v>0</v>
      </c>
      <c r="P28" s="19">
        <v>0</v>
      </c>
      <c r="Q28" s="19">
        <v>0</v>
      </c>
      <c r="R28" s="19">
        <v>0</v>
      </c>
      <c r="S28" s="19">
        <v>0</v>
      </c>
      <c r="T28" s="22">
        <v>60135.917862540307</v>
      </c>
      <c r="U28" s="22">
        <v>61346.342450518248</v>
      </c>
      <c r="V28" s="22">
        <v>62562.060236652775</v>
      </c>
      <c r="W28" s="22">
        <v>63818.205406394009</v>
      </c>
      <c r="X28" s="22">
        <v>65114.88594098435</v>
      </c>
      <c r="Y28" s="22">
        <v>66417.183659804039</v>
      </c>
      <c r="Z28" s="22">
        <v>67725.210906537657</v>
      </c>
      <c r="AA28" s="22">
        <v>69109.138914717492</v>
      </c>
      <c r="AB28" s="22">
        <v>70463.999602251977</v>
      </c>
    </row>
    <row r="29" spans="1:28">
      <c r="A29" s="19">
        <v>2038</v>
      </c>
      <c r="B29" s="43">
        <v>128564.3069990135</v>
      </c>
      <c r="C29" s="19">
        <v>0</v>
      </c>
      <c r="D29" s="19">
        <v>0</v>
      </c>
      <c r="E29" s="19">
        <v>0</v>
      </c>
      <c r="F29" s="19">
        <v>0</v>
      </c>
      <c r="G29" s="19">
        <v>0</v>
      </c>
      <c r="H29" s="19">
        <v>0</v>
      </c>
      <c r="I29" s="19">
        <v>0</v>
      </c>
      <c r="J29" s="19">
        <v>0</v>
      </c>
      <c r="K29" s="19">
        <v>0</v>
      </c>
      <c r="L29" s="19">
        <v>0</v>
      </c>
      <c r="M29" s="19">
        <v>0</v>
      </c>
      <c r="N29" s="19">
        <v>0</v>
      </c>
      <c r="O29" s="19">
        <v>0</v>
      </c>
      <c r="P29" s="19">
        <v>0</v>
      </c>
      <c r="Q29" s="19">
        <v>0</v>
      </c>
      <c r="R29" s="19">
        <v>0</v>
      </c>
      <c r="S29" s="19">
        <v>0</v>
      </c>
      <c r="T29" s="19">
        <v>0</v>
      </c>
      <c r="U29" s="22">
        <v>61346.342450518248</v>
      </c>
      <c r="V29" s="22">
        <v>62562.060236652775</v>
      </c>
      <c r="W29" s="22">
        <v>63818.205406394009</v>
      </c>
      <c r="X29" s="22">
        <v>65114.88594098435</v>
      </c>
      <c r="Y29" s="22">
        <v>66417.183659804039</v>
      </c>
      <c r="Z29" s="22">
        <v>67725.210906537657</v>
      </c>
      <c r="AA29" s="22">
        <v>69109.138914717492</v>
      </c>
      <c r="AB29" s="22">
        <v>70463.999602251977</v>
      </c>
    </row>
    <row r="30" spans="1:28">
      <c r="A30" s="19">
        <v>2039</v>
      </c>
      <c r="B30" s="43">
        <v>109792.49802181937</v>
      </c>
      <c r="C30" s="19">
        <v>0</v>
      </c>
      <c r="D30" s="19">
        <v>0</v>
      </c>
      <c r="E30" s="19">
        <v>0</v>
      </c>
      <c r="F30" s="19">
        <v>0</v>
      </c>
      <c r="G30" s="19">
        <v>0</v>
      </c>
      <c r="H30" s="19">
        <v>0</v>
      </c>
      <c r="I30" s="19">
        <v>0</v>
      </c>
      <c r="J30" s="19">
        <v>0</v>
      </c>
      <c r="K30" s="19">
        <v>0</v>
      </c>
      <c r="L30" s="19">
        <v>0</v>
      </c>
      <c r="M30" s="19">
        <v>0</v>
      </c>
      <c r="N30" s="19">
        <v>0</v>
      </c>
      <c r="O30" s="19">
        <v>0</v>
      </c>
      <c r="P30" s="19">
        <v>0</v>
      </c>
      <c r="Q30" s="19">
        <v>0</v>
      </c>
      <c r="R30" s="19">
        <v>0</v>
      </c>
      <c r="S30" s="19">
        <v>0</v>
      </c>
      <c r="T30" s="19">
        <v>0</v>
      </c>
      <c r="U30" s="19">
        <v>0</v>
      </c>
      <c r="V30" s="22">
        <v>62562.060236652775</v>
      </c>
      <c r="W30" s="22">
        <v>63818.205406394009</v>
      </c>
      <c r="X30" s="22">
        <v>65114.88594098435</v>
      </c>
      <c r="Y30" s="22">
        <v>66417.183659804039</v>
      </c>
      <c r="Z30" s="22">
        <v>67725.210906537657</v>
      </c>
      <c r="AA30" s="22">
        <v>69109.138914717492</v>
      </c>
      <c r="AB30" s="22">
        <v>70463.999602251977</v>
      </c>
    </row>
    <row r="31" spans="1:28">
      <c r="A31" s="19">
        <v>2040</v>
      </c>
      <c r="B31" s="43">
        <v>91867.577408625293</v>
      </c>
      <c r="C31" s="19">
        <v>0</v>
      </c>
      <c r="D31" s="19">
        <v>0</v>
      </c>
      <c r="E31" s="19">
        <v>0</v>
      </c>
      <c r="F31" s="19">
        <v>0</v>
      </c>
      <c r="G31" s="19">
        <v>0</v>
      </c>
      <c r="H31" s="19">
        <v>0</v>
      </c>
      <c r="I31" s="19">
        <v>0</v>
      </c>
      <c r="J31" s="19">
        <v>0</v>
      </c>
      <c r="K31" s="19">
        <v>0</v>
      </c>
      <c r="L31" s="19">
        <v>0</v>
      </c>
      <c r="M31" s="19">
        <v>0</v>
      </c>
      <c r="N31" s="19">
        <v>0</v>
      </c>
      <c r="O31" s="19">
        <v>0</v>
      </c>
      <c r="P31" s="19">
        <v>0</v>
      </c>
      <c r="Q31" s="19">
        <v>0</v>
      </c>
      <c r="R31" s="19">
        <v>0</v>
      </c>
      <c r="S31" s="19">
        <v>0</v>
      </c>
      <c r="T31" s="19">
        <v>0</v>
      </c>
      <c r="U31" s="19">
        <v>0</v>
      </c>
      <c r="V31" s="19">
        <v>0</v>
      </c>
      <c r="W31" s="22">
        <v>63818.205406394009</v>
      </c>
      <c r="X31" s="22">
        <v>65114.88594098435</v>
      </c>
      <c r="Y31" s="22">
        <v>66417.183659804039</v>
      </c>
      <c r="Z31" s="22">
        <v>67725.210906537657</v>
      </c>
      <c r="AA31" s="22">
        <v>69109.138914717492</v>
      </c>
      <c r="AB31" s="22">
        <v>70463.999602251977</v>
      </c>
    </row>
    <row r="32" spans="1:28">
      <c r="A32" s="19">
        <v>2041</v>
      </c>
      <c r="B32" s="43">
        <v>74746.955609726603</v>
      </c>
      <c r="C32" s="19">
        <v>0</v>
      </c>
      <c r="D32" s="19">
        <v>0</v>
      </c>
      <c r="E32" s="19">
        <v>0</v>
      </c>
      <c r="F32" s="19">
        <v>0</v>
      </c>
      <c r="G32" s="19">
        <v>0</v>
      </c>
      <c r="H32" s="19">
        <v>0</v>
      </c>
      <c r="I32" s="19">
        <v>0</v>
      </c>
      <c r="J32" s="19">
        <v>0</v>
      </c>
      <c r="K32" s="19">
        <v>0</v>
      </c>
      <c r="L32" s="19">
        <v>0</v>
      </c>
      <c r="M32" s="19">
        <v>0</v>
      </c>
      <c r="N32" s="19">
        <v>0</v>
      </c>
      <c r="O32" s="19">
        <v>0</v>
      </c>
      <c r="P32" s="19">
        <v>0</v>
      </c>
      <c r="Q32" s="19">
        <v>0</v>
      </c>
      <c r="R32" s="19">
        <v>0</v>
      </c>
      <c r="S32" s="19">
        <v>0</v>
      </c>
      <c r="T32" s="19">
        <v>0</v>
      </c>
      <c r="U32" s="19">
        <v>0</v>
      </c>
      <c r="V32" s="19">
        <v>0</v>
      </c>
      <c r="W32" s="19">
        <v>0</v>
      </c>
      <c r="X32" s="22">
        <v>65114.88594098435</v>
      </c>
      <c r="Y32" s="22">
        <v>66417.183659804039</v>
      </c>
      <c r="Z32" s="22">
        <v>67725.210906537657</v>
      </c>
      <c r="AA32" s="22">
        <v>69109.138914717492</v>
      </c>
      <c r="AB32" s="22">
        <v>70463.999602251977</v>
      </c>
    </row>
    <row r="33" spans="1:28">
      <c r="A33" s="19">
        <v>2042</v>
      </c>
      <c r="B33" s="43">
        <v>58390.696660095418</v>
      </c>
      <c r="C33" s="19">
        <v>0</v>
      </c>
      <c r="D33" s="19">
        <v>0</v>
      </c>
      <c r="E33" s="19">
        <v>0</v>
      </c>
      <c r="F33" s="19">
        <v>0</v>
      </c>
      <c r="G33" s="19">
        <v>0</v>
      </c>
      <c r="H33" s="19">
        <v>0</v>
      </c>
      <c r="I33" s="19">
        <v>0</v>
      </c>
      <c r="J33" s="19">
        <v>0</v>
      </c>
      <c r="K33" s="19">
        <v>0</v>
      </c>
      <c r="L33" s="19">
        <v>0</v>
      </c>
      <c r="M33" s="19">
        <v>0</v>
      </c>
      <c r="N33" s="19">
        <v>0</v>
      </c>
      <c r="O33" s="19">
        <v>0</v>
      </c>
      <c r="P33" s="19">
        <v>0</v>
      </c>
      <c r="Q33" s="19">
        <v>0</v>
      </c>
      <c r="R33" s="19">
        <v>0</v>
      </c>
      <c r="S33" s="19">
        <v>0</v>
      </c>
      <c r="T33" s="19">
        <v>0</v>
      </c>
      <c r="U33" s="19">
        <v>0</v>
      </c>
      <c r="V33" s="19">
        <v>0</v>
      </c>
      <c r="W33" s="19">
        <v>0</v>
      </c>
      <c r="X33" s="19">
        <v>0</v>
      </c>
      <c r="Y33" s="22">
        <v>66417.183659804039</v>
      </c>
      <c r="Z33" s="22">
        <v>67725.210906537657</v>
      </c>
      <c r="AA33" s="22">
        <v>69109.138914717492</v>
      </c>
      <c r="AB33" s="22">
        <v>70463.999602251977</v>
      </c>
    </row>
    <row r="34" spans="1:28">
      <c r="A34" s="19">
        <v>2043</v>
      </c>
      <c r="B34" s="43">
        <v>42769.550472245406</v>
      </c>
      <c r="C34" s="19">
        <v>0</v>
      </c>
      <c r="D34" s="19">
        <v>0</v>
      </c>
      <c r="E34" s="19">
        <v>0</v>
      </c>
      <c r="F34" s="19">
        <v>0</v>
      </c>
      <c r="G34" s="19">
        <v>0</v>
      </c>
      <c r="H34" s="19">
        <v>0</v>
      </c>
      <c r="I34" s="19">
        <v>0</v>
      </c>
      <c r="J34" s="19">
        <v>0</v>
      </c>
      <c r="K34" s="19">
        <v>0</v>
      </c>
      <c r="L34" s="19">
        <v>0</v>
      </c>
      <c r="M34" s="19">
        <v>0</v>
      </c>
      <c r="N34" s="19">
        <v>0</v>
      </c>
      <c r="O34" s="19">
        <v>0</v>
      </c>
      <c r="P34" s="19">
        <v>0</v>
      </c>
      <c r="Q34" s="19">
        <v>0</v>
      </c>
      <c r="R34" s="19">
        <v>0</v>
      </c>
      <c r="S34" s="19">
        <v>0</v>
      </c>
      <c r="T34" s="19">
        <v>0</v>
      </c>
      <c r="U34" s="19">
        <v>0</v>
      </c>
      <c r="V34" s="19">
        <v>0</v>
      </c>
      <c r="W34" s="19">
        <v>0</v>
      </c>
      <c r="X34" s="19">
        <v>0</v>
      </c>
      <c r="Y34" s="19">
        <v>0</v>
      </c>
      <c r="Z34" s="22">
        <v>67725.210906537657</v>
      </c>
      <c r="AA34" s="22">
        <v>69109.138914717492</v>
      </c>
      <c r="AB34" s="22">
        <v>70463.999602251977</v>
      </c>
    </row>
    <row r="35" spans="1:28">
      <c r="A35" s="19">
        <v>2044</v>
      </c>
      <c r="B35" s="43">
        <v>27854.95239943729</v>
      </c>
      <c r="C35" s="19">
        <v>0</v>
      </c>
      <c r="D35" s="19">
        <v>0</v>
      </c>
      <c r="E35" s="19">
        <v>0</v>
      </c>
      <c r="F35" s="19">
        <v>0</v>
      </c>
      <c r="G35" s="19">
        <v>0</v>
      </c>
      <c r="H35" s="19">
        <v>0</v>
      </c>
      <c r="I35" s="19">
        <v>0</v>
      </c>
      <c r="J35" s="19">
        <v>0</v>
      </c>
      <c r="K35" s="19">
        <v>0</v>
      </c>
      <c r="L35" s="19">
        <v>0</v>
      </c>
      <c r="M35" s="19">
        <v>0</v>
      </c>
      <c r="N35" s="19">
        <v>0</v>
      </c>
      <c r="O35" s="19">
        <v>0</v>
      </c>
      <c r="P35" s="19">
        <v>0</v>
      </c>
      <c r="Q35" s="19">
        <v>0</v>
      </c>
      <c r="R35" s="19">
        <v>0</v>
      </c>
      <c r="S35" s="19">
        <v>0</v>
      </c>
      <c r="T35" s="19">
        <v>0</v>
      </c>
      <c r="U35" s="19">
        <v>0</v>
      </c>
      <c r="V35" s="19">
        <v>0</v>
      </c>
      <c r="W35" s="19">
        <v>0</v>
      </c>
      <c r="X35" s="19">
        <v>0</v>
      </c>
      <c r="Y35" s="19">
        <v>0</v>
      </c>
      <c r="Z35" s="19">
        <v>0</v>
      </c>
      <c r="AA35" s="22">
        <v>69109.138914717492</v>
      </c>
      <c r="AB35" s="22">
        <v>70463.999602251977</v>
      </c>
    </row>
    <row r="36" spans="1:28">
      <c r="A36" s="19">
        <v>2045</v>
      </c>
      <c r="B36" s="43">
        <v>13604.606137825176</v>
      </c>
      <c r="C36" s="19">
        <v>0</v>
      </c>
      <c r="D36" s="19">
        <v>0</v>
      </c>
      <c r="E36" s="19">
        <v>0</v>
      </c>
      <c r="F36" s="19">
        <v>0</v>
      </c>
      <c r="G36" s="19">
        <v>0</v>
      </c>
      <c r="H36" s="19">
        <v>0</v>
      </c>
      <c r="I36" s="19">
        <v>0</v>
      </c>
      <c r="J36" s="19">
        <v>0</v>
      </c>
      <c r="K36" s="19">
        <v>0</v>
      </c>
      <c r="L36" s="19">
        <v>0</v>
      </c>
      <c r="M36" s="19">
        <v>0</v>
      </c>
      <c r="N36" s="19">
        <v>0</v>
      </c>
      <c r="O36" s="19">
        <v>0</v>
      </c>
      <c r="P36" s="19">
        <v>0</v>
      </c>
      <c r="Q36" s="19">
        <v>0</v>
      </c>
      <c r="R36" s="19">
        <v>0</v>
      </c>
      <c r="S36" s="19">
        <v>0</v>
      </c>
      <c r="T36" s="19">
        <v>0</v>
      </c>
      <c r="U36" s="19">
        <v>0</v>
      </c>
      <c r="V36" s="19">
        <v>0</v>
      </c>
      <c r="W36" s="19">
        <v>0</v>
      </c>
      <c r="X36" s="19">
        <v>0</v>
      </c>
      <c r="Y36" s="19">
        <v>0</v>
      </c>
      <c r="Z36" s="19">
        <v>0</v>
      </c>
      <c r="AA36" s="19">
        <v>0</v>
      </c>
      <c r="AB36" s="22">
        <v>70463.999602251977</v>
      </c>
    </row>
    <row r="37" spans="1:28">
      <c r="B37" s="43">
        <v>3267869.9994663857</v>
      </c>
      <c r="C37" s="88">
        <v>3123536.5988169089</v>
      </c>
      <c r="D37" s="88">
        <v>4127.8826760424436</v>
      </c>
      <c r="E37" s="88">
        <v>8420.8806591265857</v>
      </c>
      <c r="F37" s="88">
        <v>12883.947408463675</v>
      </c>
      <c r="G37" s="88">
        <v>17522.1684755106</v>
      </c>
      <c r="H37" s="88">
        <v>22340.764806276013</v>
      </c>
      <c r="I37" s="88">
        <v>124275.09612288185</v>
      </c>
      <c r="J37" s="88">
        <v>147935.66438622936</v>
      </c>
      <c r="K37" s="88">
        <v>172453.11734166168</v>
      </c>
      <c r="L37" s="88">
        <v>197833.25214955682</v>
      </c>
      <c r="M37" s="88">
        <v>224232.01910283099</v>
      </c>
      <c r="N37" s="88">
        <v>251535.5254333764</v>
      </c>
      <c r="O37" s="88">
        <v>279930.03920950257</v>
      </c>
      <c r="P37" s="88">
        <v>309271.99332650023</v>
      </c>
      <c r="Q37" s="88">
        <v>339777.98959249409</v>
      </c>
      <c r="R37" s="88">
        <v>404323.74119063822</v>
      </c>
      <c r="S37" s="88">
        <v>471439.63438404456</v>
      </c>
      <c r="T37" s="88">
        <v>135232.88255177313</v>
      </c>
      <c r="U37" s="88"/>
      <c r="V37" s="88"/>
      <c r="W37" s="88"/>
    </row>
    <row r="38" spans="1:28">
      <c r="C38" s="488">
        <v>2609116.0861312477</v>
      </c>
    </row>
    <row r="39" spans="1:28" ht="33" customHeight="1">
      <c r="A39" s="617" t="s">
        <v>521</v>
      </c>
      <c r="B39" s="617"/>
      <c r="C39" s="617"/>
      <c r="D39" s="617"/>
      <c r="E39" s="617"/>
      <c r="F39" s="617"/>
      <c r="G39" s="617"/>
      <c r="H39" s="617"/>
      <c r="I39" s="617"/>
      <c r="J39" s="617"/>
      <c r="K39" s="617"/>
      <c r="L39" s="617"/>
      <c r="M39" s="617"/>
      <c r="N39" s="617"/>
      <c r="O39" s="617"/>
      <c r="P39" s="617"/>
      <c r="Q39" s="617"/>
      <c r="R39" s="617"/>
      <c r="S39" s="617"/>
      <c r="T39" s="617"/>
      <c r="U39" s="617"/>
      <c r="V39" s="617"/>
      <c r="W39" s="617"/>
      <c r="X39" s="617"/>
      <c r="Y39" s="617"/>
      <c r="Z39" s="617"/>
      <c r="AA39" s="617"/>
      <c r="AB39" s="617"/>
    </row>
    <row r="40" spans="1:28">
      <c r="B40" s="489">
        <v>43313</v>
      </c>
    </row>
    <row r="41" spans="1:28" ht="15.75">
      <c r="A41" s="490" t="s">
        <v>522</v>
      </c>
      <c r="B41" s="491">
        <v>220231.39432660266</v>
      </c>
      <c r="D41" s="492"/>
    </row>
    <row r="42" spans="1:28" ht="15.75">
      <c r="A42" s="490" t="s">
        <v>523</v>
      </c>
      <c r="B42" s="491">
        <v>13290.74892005002</v>
      </c>
    </row>
    <row r="43" spans="1:28">
      <c r="A43" t="s">
        <v>30</v>
      </c>
      <c r="B43" s="166">
        <v>233522.14324665267</v>
      </c>
      <c r="C43" s="492"/>
      <c r="D43" s="195" t="s">
        <v>524</v>
      </c>
    </row>
    <row r="44" spans="1:28">
      <c r="A44" t="s">
        <v>525</v>
      </c>
      <c r="B44" s="493">
        <v>233.52214324665266</v>
      </c>
      <c r="D44" s="494">
        <v>1.2846747457397713E-3</v>
      </c>
    </row>
    <row r="47" spans="1:28">
      <c r="A47" s="495"/>
      <c r="B47" s="493"/>
    </row>
  </sheetData>
  <mergeCells count="1">
    <mergeCell ref="A39:AB39"/>
  </mergeCells>
  <hyperlinks>
    <hyperlink ref="A1" location="Summary_RealizationSchedule!A1" display="Back to Summary" xr:uid="{00000000-0004-0000-16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8">
    <tabColor rgb="FF09FF78"/>
  </sheetPr>
  <dimension ref="A1:AD25"/>
  <sheetViews>
    <sheetView workbookViewId="0">
      <selection activeCell="C30" sqref="C30"/>
    </sheetView>
  </sheetViews>
  <sheetFormatPr defaultRowHeight="15"/>
  <cols>
    <col min="1" max="1" width="54" bestFit="1" customWidth="1"/>
    <col min="2" max="4" width="14.42578125" bestFit="1" customWidth="1"/>
    <col min="5" max="27" width="13" customWidth="1"/>
  </cols>
  <sheetData>
    <row r="1" spans="1:30">
      <c r="A1" s="9" t="s">
        <v>55</v>
      </c>
    </row>
    <row r="3" spans="1:30">
      <c r="A3" t="s">
        <v>526</v>
      </c>
      <c r="B3" s="104">
        <v>7.0000000000000001E-3</v>
      </c>
    </row>
    <row r="4" spans="1:30">
      <c r="A4" t="s">
        <v>407</v>
      </c>
      <c r="B4" s="104">
        <v>0.03</v>
      </c>
    </row>
    <row r="5" spans="1:30">
      <c r="A5" t="s">
        <v>527</v>
      </c>
      <c r="B5" s="438">
        <v>0.33300000000000002</v>
      </c>
    </row>
    <row r="7" spans="1:30" s="44" customFormat="1">
      <c r="A7" t="s">
        <v>408</v>
      </c>
      <c r="C7" s="61">
        <v>0</v>
      </c>
      <c r="D7" s="61">
        <v>0</v>
      </c>
      <c r="E7" s="61">
        <v>0</v>
      </c>
      <c r="F7" s="61">
        <v>0.3</v>
      </c>
      <c r="G7" s="61">
        <v>0.75</v>
      </c>
      <c r="H7" s="61">
        <v>0.75</v>
      </c>
      <c r="I7" s="61">
        <v>0.75</v>
      </c>
      <c r="J7" s="61">
        <v>1</v>
      </c>
      <c r="K7" s="61">
        <v>1</v>
      </c>
      <c r="L7" s="61">
        <v>1</v>
      </c>
      <c r="M7" s="61">
        <v>1</v>
      </c>
      <c r="N7" s="61">
        <v>1</v>
      </c>
      <c r="O7" s="61">
        <v>1</v>
      </c>
      <c r="P7" s="61">
        <v>1</v>
      </c>
      <c r="Q7" s="61">
        <v>1</v>
      </c>
      <c r="R7" s="61">
        <v>1</v>
      </c>
      <c r="S7" s="61">
        <v>1</v>
      </c>
      <c r="T7" s="61">
        <v>1</v>
      </c>
      <c r="U7" s="61">
        <v>1</v>
      </c>
      <c r="V7" s="61">
        <v>1</v>
      </c>
      <c r="W7" s="61">
        <v>1</v>
      </c>
      <c r="X7" s="61">
        <v>0.25</v>
      </c>
      <c r="Y7" s="61">
        <v>0</v>
      </c>
      <c r="Z7" s="61">
        <v>0</v>
      </c>
      <c r="AA7" s="61">
        <v>0</v>
      </c>
    </row>
    <row r="8" spans="1:30" s="44" customFormat="1">
      <c r="A8" s="44" t="s">
        <v>177</v>
      </c>
      <c r="C8" s="61">
        <v>2016</v>
      </c>
      <c r="D8" s="61">
        <v>2017</v>
      </c>
      <c r="E8" s="61">
        <v>2018</v>
      </c>
      <c r="F8" s="61">
        <v>2019</v>
      </c>
      <c r="G8" s="61">
        <v>2020</v>
      </c>
      <c r="H8" s="61">
        <v>2021</v>
      </c>
      <c r="I8" s="61">
        <v>2022</v>
      </c>
      <c r="J8" s="61">
        <v>2023</v>
      </c>
      <c r="K8" s="61">
        <v>2024</v>
      </c>
      <c r="L8" s="61">
        <v>2025</v>
      </c>
      <c r="M8" s="61">
        <v>2026</v>
      </c>
      <c r="N8" s="61">
        <v>2027</v>
      </c>
      <c r="O8" s="61">
        <v>2028</v>
      </c>
      <c r="P8" s="61">
        <v>2029</v>
      </c>
      <c r="Q8" s="61">
        <v>2030</v>
      </c>
      <c r="R8" s="61">
        <v>2031</v>
      </c>
      <c r="S8" s="61">
        <v>2032</v>
      </c>
      <c r="T8" s="61">
        <v>2033</v>
      </c>
      <c r="U8" s="61">
        <v>2034</v>
      </c>
      <c r="V8" s="61">
        <v>2035</v>
      </c>
      <c r="W8" s="61">
        <v>2036</v>
      </c>
      <c r="X8" s="61">
        <v>2037</v>
      </c>
      <c r="Y8" s="61">
        <v>2038</v>
      </c>
      <c r="Z8" s="61">
        <v>2039</v>
      </c>
      <c r="AA8" s="61">
        <v>2040</v>
      </c>
    </row>
    <row r="9" spans="1:30" s="44" customFormat="1">
      <c r="A9" s="44" t="s">
        <v>179</v>
      </c>
      <c r="B9" s="63">
        <v>4499423.5895445114</v>
      </c>
      <c r="C9" s="245">
        <v>0</v>
      </c>
      <c r="D9" s="64">
        <v>0</v>
      </c>
      <c r="E9" s="64">
        <v>0</v>
      </c>
      <c r="F9" s="64">
        <v>130137.01319384135</v>
      </c>
      <c r="G9" s="64">
        <v>337380.20670503378</v>
      </c>
      <c r="H9" s="64">
        <v>349863.27435311995</v>
      </c>
      <c r="I9" s="64">
        <v>362808.21550418541</v>
      </c>
      <c r="J9" s="64">
        <v>501642.82597045356</v>
      </c>
      <c r="K9" s="64">
        <v>520203.61053136038</v>
      </c>
      <c r="L9" s="64">
        <v>539451.14412102057</v>
      </c>
      <c r="M9" s="64">
        <v>559410.83645349834</v>
      </c>
      <c r="N9" s="64">
        <v>580109.0374022777</v>
      </c>
      <c r="O9" s="64">
        <v>601573.07178616198</v>
      </c>
      <c r="P9" s="64">
        <v>623831.27544224984</v>
      </c>
      <c r="Q9" s="64">
        <v>646913.0326336131</v>
      </c>
      <c r="R9" s="64">
        <v>670848.81484105682</v>
      </c>
      <c r="S9" s="64">
        <v>695670.22099017585</v>
      </c>
      <c r="T9" s="64">
        <v>721410.0191668123</v>
      </c>
      <c r="U9" s="64">
        <v>748102.18987598433</v>
      </c>
      <c r="V9" s="64">
        <v>775781.97090139554</v>
      </c>
      <c r="W9" s="64">
        <v>804485.90382474731</v>
      </c>
      <c r="X9" s="64">
        <v>208562.97056656572</v>
      </c>
      <c r="Y9" s="64">
        <v>0</v>
      </c>
      <c r="Z9" s="64">
        <v>0</v>
      </c>
      <c r="AA9" s="64">
        <v>0</v>
      </c>
      <c r="AB9" s="64"/>
      <c r="AC9" s="64"/>
      <c r="AD9" s="64"/>
    </row>
    <row r="12" spans="1:30">
      <c r="A12" t="s">
        <v>528</v>
      </c>
      <c r="B12" s="13">
        <v>400000</v>
      </c>
      <c r="C12" t="s">
        <v>529</v>
      </c>
    </row>
    <row r="13" spans="1:30">
      <c r="A13" t="s">
        <v>530</v>
      </c>
      <c r="B13" s="13">
        <v>375000</v>
      </c>
      <c r="C13" t="s">
        <v>529</v>
      </c>
    </row>
    <row r="18" spans="1:8" ht="15.75">
      <c r="A18" s="94"/>
      <c r="B18" s="618" t="s">
        <v>531</v>
      </c>
      <c r="C18" s="618"/>
      <c r="D18" s="618"/>
      <c r="H18" s="385">
        <v>3.7499999999999999E-3</v>
      </c>
    </row>
    <row r="19" spans="1:8" ht="15.75">
      <c r="A19" s="95" t="s">
        <v>410</v>
      </c>
      <c r="B19" s="571" t="s">
        <v>532</v>
      </c>
      <c r="C19" s="96" t="s">
        <v>533</v>
      </c>
      <c r="D19" s="96" t="s">
        <v>534</v>
      </c>
    </row>
    <row r="20" spans="1:8" ht="15.75">
      <c r="A20" s="94" t="s">
        <v>535</v>
      </c>
      <c r="B20" s="293">
        <v>577955705.51999998</v>
      </c>
      <c r="C20" s="293">
        <v>577955705.51999998</v>
      </c>
      <c r="D20" s="293">
        <v>577955705.51999998</v>
      </c>
    </row>
    <row r="21" spans="1:8">
      <c r="A21" t="s">
        <v>536</v>
      </c>
      <c r="B21" s="384">
        <v>2.0625000000000001E-3</v>
      </c>
      <c r="C21" s="384">
        <v>3.0937500000000001E-3</v>
      </c>
      <c r="D21" s="384">
        <v>4.1250000000000002E-3</v>
      </c>
    </row>
    <row r="22" spans="1:8">
      <c r="A22" t="s">
        <v>537</v>
      </c>
      <c r="B22" s="38">
        <v>0.85</v>
      </c>
      <c r="C22" s="38">
        <v>0.9</v>
      </c>
      <c r="D22" s="38">
        <v>0.95</v>
      </c>
    </row>
    <row r="23" spans="1:8">
      <c r="A23" t="s">
        <v>538</v>
      </c>
      <c r="B23" s="98">
        <v>1013228.5962397499</v>
      </c>
      <c r="C23" s="98">
        <v>1609245.4175572502</v>
      </c>
      <c r="D23" s="98">
        <v>2264863.9210064998</v>
      </c>
    </row>
    <row r="24" spans="1:8">
      <c r="A24" t="s">
        <v>539</v>
      </c>
      <c r="B24" s="98">
        <v>303968.57887192495</v>
      </c>
      <c r="C24" s="98">
        <v>482773.62526717503</v>
      </c>
      <c r="D24" s="98">
        <v>679459.17630194989</v>
      </c>
    </row>
    <row r="25" spans="1:8">
      <c r="A25" t="s">
        <v>540</v>
      </c>
      <c r="B25" s="98">
        <v>709260.01736782491</v>
      </c>
      <c r="C25" s="98">
        <v>1126471.7922900752</v>
      </c>
      <c r="D25" s="98">
        <v>1585404.7447045499</v>
      </c>
    </row>
  </sheetData>
  <mergeCells count="1">
    <mergeCell ref="B18:D18"/>
  </mergeCells>
  <hyperlinks>
    <hyperlink ref="A1" location="Summary_RealizationSchedule!A1" display="Back to Summary" xr:uid="{00000000-0004-0000-1700-000000000000}"/>
  </hyperlinks>
  <pageMargins left="0.7" right="0.7" top="0.75" bottom="0.75" header="0.3" footer="0.3"/>
  <legacy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9">
    <tabColor rgb="FF09FF78"/>
  </sheetPr>
  <dimension ref="A1:AG103"/>
  <sheetViews>
    <sheetView topLeftCell="A91" workbookViewId="0"/>
  </sheetViews>
  <sheetFormatPr defaultColWidth="9.140625" defaultRowHeight="15"/>
  <cols>
    <col min="1" max="1" width="50.5703125" customWidth="1"/>
    <col min="2" max="2" width="35.28515625" style="19" customWidth="1"/>
    <col min="3" max="6" width="16.85546875" style="19" customWidth="1"/>
    <col min="7" max="7" width="16.85546875" customWidth="1"/>
    <col min="8" max="8" width="10" bestFit="1" customWidth="1"/>
    <col min="9" max="10" width="15.42578125" customWidth="1"/>
    <col min="11" max="29" width="10.7109375" customWidth="1"/>
  </cols>
  <sheetData>
    <row r="1" spans="1:33">
      <c r="A1" s="9" t="s">
        <v>55</v>
      </c>
    </row>
    <row r="2" spans="1:33">
      <c r="A2" s="9"/>
      <c r="B2" s="20"/>
    </row>
    <row r="3" spans="1:33">
      <c r="A3" t="s">
        <v>177</v>
      </c>
      <c r="B3"/>
      <c r="E3" s="19">
        <v>0</v>
      </c>
      <c r="F3" s="19">
        <v>0</v>
      </c>
      <c r="G3" s="19">
        <v>0</v>
      </c>
      <c r="H3" s="19">
        <v>0.3</v>
      </c>
      <c r="I3" s="19">
        <v>0.75</v>
      </c>
      <c r="J3" s="19">
        <v>0.75</v>
      </c>
      <c r="K3" s="19">
        <v>0.75</v>
      </c>
      <c r="L3" s="19">
        <v>1</v>
      </c>
      <c r="M3" s="19">
        <v>1</v>
      </c>
      <c r="N3" s="19">
        <v>1</v>
      </c>
      <c r="O3" s="19">
        <v>1</v>
      </c>
      <c r="P3" s="19">
        <v>1</v>
      </c>
      <c r="Q3" s="19">
        <v>1</v>
      </c>
      <c r="R3" s="19">
        <v>1</v>
      </c>
      <c r="S3" s="19">
        <v>1</v>
      </c>
      <c r="T3" s="19">
        <v>1</v>
      </c>
      <c r="U3" s="19">
        <v>1</v>
      </c>
      <c r="V3" s="19">
        <v>1</v>
      </c>
      <c r="W3" s="19">
        <v>1</v>
      </c>
      <c r="X3" s="19">
        <v>1</v>
      </c>
      <c r="Y3" s="19">
        <v>1</v>
      </c>
      <c r="Z3" s="19">
        <v>0.25</v>
      </c>
      <c r="AA3" s="19">
        <v>0</v>
      </c>
      <c r="AB3" s="19">
        <v>0</v>
      </c>
      <c r="AC3" s="19">
        <v>0</v>
      </c>
    </row>
    <row r="4" spans="1:33" ht="30">
      <c r="A4" t="s">
        <v>332</v>
      </c>
      <c r="B4"/>
      <c r="C4" s="202" t="s">
        <v>62</v>
      </c>
      <c r="D4" s="202" t="s">
        <v>63</v>
      </c>
      <c r="E4" s="19">
        <v>2016</v>
      </c>
      <c r="F4" s="19">
        <v>2017</v>
      </c>
      <c r="G4" s="19">
        <v>2018</v>
      </c>
      <c r="H4" s="19">
        <v>2019</v>
      </c>
      <c r="I4" s="19">
        <v>2020</v>
      </c>
      <c r="J4" s="19">
        <v>2021</v>
      </c>
      <c r="K4" s="19">
        <v>2022</v>
      </c>
      <c r="L4" s="19">
        <v>2023</v>
      </c>
      <c r="M4" s="19">
        <v>2024</v>
      </c>
      <c r="N4" s="19">
        <v>2025</v>
      </c>
      <c r="O4" s="19">
        <v>2026</v>
      </c>
      <c r="P4" s="19">
        <v>2027</v>
      </c>
      <c r="Q4" s="19">
        <v>2028</v>
      </c>
      <c r="R4" s="19">
        <v>2029</v>
      </c>
      <c r="S4" s="19">
        <v>2030</v>
      </c>
      <c r="T4" s="19">
        <v>2031</v>
      </c>
      <c r="U4" s="19">
        <v>2032</v>
      </c>
      <c r="V4" s="19">
        <v>2033</v>
      </c>
      <c r="W4" s="19">
        <v>2034</v>
      </c>
      <c r="X4" s="19">
        <v>2035</v>
      </c>
      <c r="Y4" s="19">
        <v>2036</v>
      </c>
      <c r="Z4" s="19">
        <v>2037</v>
      </c>
      <c r="AA4" s="19">
        <v>2038</v>
      </c>
      <c r="AB4" s="19">
        <v>2039</v>
      </c>
      <c r="AC4" s="19">
        <v>2040</v>
      </c>
      <c r="AD4" s="19"/>
      <c r="AE4" s="19"/>
      <c r="AF4" s="19"/>
      <c r="AG4" s="19"/>
    </row>
    <row r="5" spans="1:33">
      <c r="A5" t="s">
        <v>179</v>
      </c>
      <c r="B5" s="13">
        <v>1951969.8227914567</v>
      </c>
      <c r="C5" s="20">
        <v>0.03</v>
      </c>
      <c r="D5" s="24">
        <v>0.01</v>
      </c>
      <c r="E5" s="22">
        <v>0</v>
      </c>
      <c r="F5" s="22">
        <v>0</v>
      </c>
      <c r="G5" s="22">
        <v>0</v>
      </c>
      <c r="H5" s="22">
        <v>55058.783625644784</v>
      </c>
      <c r="I5" s="22">
        <v>143152.83742667644</v>
      </c>
      <c r="J5" s="22">
        <v>148878.95092374351</v>
      </c>
      <c r="K5" s="22">
        <v>154834.10896069324</v>
      </c>
      <c r="L5" s="22">
        <v>214703.297758828</v>
      </c>
      <c r="M5" s="22">
        <v>223291.42966918115</v>
      </c>
      <c r="N5" s="22">
        <v>232223.08685594838</v>
      </c>
      <c r="O5" s="22">
        <v>241512.01033018631</v>
      </c>
      <c r="P5" s="22">
        <v>251172.49074339381</v>
      </c>
      <c r="Q5" s="22">
        <v>261219.39037312957</v>
      </c>
      <c r="R5" s="22">
        <v>271668.16598805477</v>
      </c>
      <c r="S5" s="22">
        <v>282534.89262757695</v>
      </c>
      <c r="T5" s="22">
        <v>293836.28833268007</v>
      </c>
      <c r="U5" s="22">
        <v>305589.73986598727</v>
      </c>
      <c r="V5" s="22">
        <v>317813.32946062682</v>
      </c>
      <c r="W5" s="22">
        <v>330525.86263905186</v>
      </c>
      <c r="X5" s="22">
        <v>343746.8971446139</v>
      </c>
      <c r="Y5" s="22">
        <v>357496.77303039859</v>
      </c>
      <c r="Z5" s="22">
        <v>92949.160987903626</v>
      </c>
      <c r="AA5" s="22">
        <v>0</v>
      </c>
      <c r="AB5" s="22">
        <v>0</v>
      </c>
      <c r="AC5" s="22">
        <v>0</v>
      </c>
    </row>
    <row r="8" spans="1:33" ht="15.75">
      <c r="A8" s="95" t="s">
        <v>410</v>
      </c>
      <c r="B8" s="100" t="s">
        <v>541</v>
      </c>
      <c r="C8" s="100" t="s">
        <v>542</v>
      </c>
      <c r="D8" s="100" t="s">
        <v>30</v>
      </c>
      <c r="E8" s="195" t="s">
        <v>57</v>
      </c>
    </row>
    <row r="9" spans="1:33" ht="15.75">
      <c r="A9" s="94" t="s">
        <v>543</v>
      </c>
      <c r="B9" s="167">
        <v>3645.6</v>
      </c>
      <c r="C9" s="167">
        <v>1782.8</v>
      </c>
      <c r="D9" s="167">
        <v>5428.4</v>
      </c>
      <c r="E9" s="195" t="s">
        <v>544</v>
      </c>
    </row>
    <row r="10" spans="1:33" ht="15.75">
      <c r="A10" s="94" t="s">
        <v>545</v>
      </c>
      <c r="B10" s="167">
        <v>1009563.2</v>
      </c>
      <c r="C10" s="167">
        <v>50894.6</v>
      </c>
      <c r="E10" s="195" t="s">
        <v>546</v>
      </c>
    </row>
    <row r="11" spans="1:33">
      <c r="A11" t="s">
        <v>547</v>
      </c>
      <c r="B11" s="174">
        <v>91497.879003999988</v>
      </c>
      <c r="C11" s="174">
        <v>45678.625650000002</v>
      </c>
      <c r="D11" s="88">
        <v>137176.50465399999</v>
      </c>
      <c r="E11" s="195" t="s">
        <v>548</v>
      </c>
    </row>
    <row r="12" spans="1:33">
      <c r="A12" t="s">
        <v>549</v>
      </c>
      <c r="B12" s="19">
        <v>0.66</v>
      </c>
      <c r="C12" s="19">
        <v>0.66</v>
      </c>
      <c r="D12" s="88"/>
    </row>
    <row r="13" spans="1:33">
      <c r="A13" t="s">
        <v>550</v>
      </c>
      <c r="B13" s="19">
        <v>5.5</v>
      </c>
      <c r="C13" s="19">
        <v>5.5</v>
      </c>
      <c r="D13" s="88"/>
    </row>
    <row r="14" spans="1:33">
      <c r="A14" t="s">
        <v>551</v>
      </c>
      <c r="B14" s="19">
        <v>3.6300000000000003</v>
      </c>
      <c r="C14" s="19">
        <v>3.6300000000000003</v>
      </c>
      <c r="D14" s="88"/>
      <c r="E14" s="195" t="s">
        <v>552</v>
      </c>
    </row>
    <row r="15" spans="1:33">
      <c r="A15" t="s">
        <v>553</v>
      </c>
      <c r="B15" s="174">
        <v>13233.528</v>
      </c>
      <c r="C15" s="174">
        <v>6471.5640000000003</v>
      </c>
      <c r="D15" s="88">
        <v>19705.092000000001</v>
      </c>
      <c r="E15" s="195" t="s">
        <v>554</v>
      </c>
    </row>
    <row r="16" spans="1:33" ht="15.75">
      <c r="A16" s="94" t="s">
        <v>434</v>
      </c>
      <c r="B16" s="174">
        <v>104731.40700399999</v>
      </c>
      <c r="C16" s="174">
        <v>52150.18965</v>
      </c>
      <c r="D16" s="88">
        <v>156881.59665399999</v>
      </c>
      <c r="E16" s="195" t="s">
        <v>555</v>
      </c>
    </row>
    <row r="19" spans="1:10" ht="18.75">
      <c r="A19" s="162" t="s">
        <v>447</v>
      </c>
    </row>
    <row r="20" spans="1:10">
      <c r="A20" t="s">
        <v>556</v>
      </c>
      <c r="B20" s="19" t="s">
        <v>557</v>
      </c>
    </row>
    <row r="22" spans="1:10">
      <c r="B22" s="19" t="s">
        <v>558</v>
      </c>
      <c r="G22" t="s">
        <v>559</v>
      </c>
    </row>
    <row r="23" spans="1:10">
      <c r="A23" t="s">
        <v>560</v>
      </c>
      <c r="B23" s="19">
        <v>2010</v>
      </c>
      <c r="C23" s="19">
        <v>2011</v>
      </c>
      <c r="D23" s="19">
        <v>2012</v>
      </c>
      <c r="E23" s="19">
        <v>2013</v>
      </c>
      <c r="F23" s="19">
        <v>2014</v>
      </c>
      <c r="G23" s="173" t="s">
        <v>442</v>
      </c>
      <c r="H23" s="173" t="s">
        <v>561</v>
      </c>
      <c r="I23" s="173" t="s">
        <v>562</v>
      </c>
      <c r="J23" s="172" t="s">
        <v>563</v>
      </c>
    </row>
    <row r="24" spans="1:10">
      <c r="A24" s="195" t="s">
        <v>564</v>
      </c>
      <c r="B24" s="168"/>
      <c r="C24" s="168"/>
      <c r="D24" s="168"/>
      <c r="E24" s="168"/>
      <c r="F24" s="168"/>
    </row>
    <row r="25" spans="1:10">
      <c r="A25" s="89" t="s">
        <v>497</v>
      </c>
      <c r="B25" s="168"/>
      <c r="C25" s="168"/>
      <c r="D25" s="168"/>
      <c r="E25" s="168"/>
      <c r="F25" s="168"/>
    </row>
    <row r="26" spans="1:10">
      <c r="A26" s="169" t="s">
        <v>565</v>
      </c>
      <c r="B26" s="168">
        <v>24.228578824747604</v>
      </c>
      <c r="C26" s="168">
        <v>26.185430463576157</v>
      </c>
      <c r="D26" s="168">
        <v>28.482091276718659</v>
      </c>
      <c r="E26" s="168">
        <v>32.283792240300379</v>
      </c>
      <c r="F26" s="168">
        <v>32.117607973421926</v>
      </c>
      <c r="I26" s="19" t="s">
        <v>566</v>
      </c>
      <c r="J26" t="s">
        <v>567</v>
      </c>
    </row>
    <row r="27" spans="1:10" ht="15.75">
      <c r="A27" s="169" t="s">
        <v>568</v>
      </c>
      <c r="B27" s="167">
        <v>898811</v>
      </c>
      <c r="C27" s="167">
        <v>918452</v>
      </c>
      <c r="D27" s="167">
        <v>918911</v>
      </c>
      <c r="E27" s="167">
        <v>888242</v>
      </c>
      <c r="F27" s="167">
        <v>850114</v>
      </c>
      <c r="G27" s="166">
        <v>894906</v>
      </c>
      <c r="H27" s="15">
        <v>0.88642890311374267</v>
      </c>
      <c r="I27" s="170">
        <v>8.7499999999999994E-2</v>
      </c>
      <c r="J27" s="93">
        <v>78304.274999999994</v>
      </c>
    </row>
    <row r="28" spans="1:10">
      <c r="A28" s="169" t="s">
        <v>569</v>
      </c>
      <c r="B28" s="167">
        <v>3863</v>
      </c>
      <c r="C28" s="167">
        <v>3926</v>
      </c>
      <c r="D28" s="167">
        <v>3462</v>
      </c>
      <c r="E28" s="167">
        <v>3196</v>
      </c>
      <c r="F28" s="167">
        <v>3010</v>
      </c>
    </row>
    <row r="29" spans="1:10">
      <c r="A29" s="89" t="s">
        <v>498</v>
      </c>
      <c r="B29" s="168"/>
      <c r="C29" s="168"/>
      <c r="D29" s="168"/>
      <c r="E29" s="168"/>
      <c r="F29" s="168"/>
    </row>
    <row r="30" spans="1:10">
      <c r="A30" s="169" t="s">
        <v>565</v>
      </c>
      <c r="B30" s="168">
        <v>53.918032786885249</v>
      </c>
      <c r="C30" s="168">
        <v>49.297872340425535</v>
      </c>
      <c r="D30" s="168">
        <v>47.701986754966889</v>
      </c>
      <c r="E30" s="168">
        <v>50.773109243697476</v>
      </c>
      <c r="F30" s="168">
        <v>46.4</v>
      </c>
    </row>
    <row r="31" spans="1:10" ht="15.75">
      <c r="A31" s="169" t="s">
        <v>568</v>
      </c>
      <c r="B31" s="167">
        <v>145046</v>
      </c>
      <c r="C31" s="167">
        <v>114756</v>
      </c>
      <c r="D31" s="167">
        <v>48276</v>
      </c>
      <c r="E31" s="167">
        <v>157515</v>
      </c>
      <c r="F31" s="167">
        <v>107693</v>
      </c>
      <c r="G31" s="166">
        <v>114657.2</v>
      </c>
      <c r="H31" s="15">
        <v>0.11357109688625734</v>
      </c>
      <c r="I31" s="171">
        <v>0.11507000000000001</v>
      </c>
      <c r="J31" s="93">
        <v>13193.604004000001</v>
      </c>
    </row>
    <row r="32" spans="1:10">
      <c r="A32" s="169" t="s">
        <v>569</v>
      </c>
      <c r="B32" s="167">
        <v>183</v>
      </c>
      <c r="C32" s="167">
        <v>188</v>
      </c>
      <c r="D32" s="167">
        <v>151</v>
      </c>
      <c r="E32" s="167">
        <v>119</v>
      </c>
      <c r="F32" s="167">
        <v>130</v>
      </c>
    </row>
    <row r="33" spans="1:10">
      <c r="A33" s="195" t="s">
        <v>570</v>
      </c>
      <c r="B33" s="168">
        <v>25.571428571428573</v>
      </c>
      <c r="C33" s="168">
        <v>27.241614000972291</v>
      </c>
      <c r="D33" s="168">
        <v>29.285358427899254</v>
      </c>
      <c r="E33" s="168">
        <v>32.947511312217195</v>
      </c>
      <c r="F33" s="168">
        <v>32.70891719745223</v>
      </c>
      <c r="G33" s="166">
        <v>29.550965901993909</v>
      </c>
    </row>
    <row r="34" spans="1:10">
      <c r="A34" s="195" t="s">
        <v>571</v>
      </c>
      <c r="B34" s="167">
        <v>1043857</v>
      </c>
      <c r="C34" s="167">
        <v>1033208</v>
      </c>
      <c r="D34" s="167">
        <v>967187</v>
      </c>
      <c r="E34" s="167">
        <v>1045757</v>
      </c>
      <c r="F34" s="167">
        <v>957807</v>
      </c>
      <c r="G34" s="166">
        <v>1009563.2</v>
      </c>
      <c r="J34" s="93">
        <v>91497.879003999988</v>
      </c>
    </row>
    <row r="35" spans="1:10">
      <c r="A35" s="195" t="s">
        <v>572</v>
      </c>
      <c r="B35" s="167">
        <v>4046</v>
      </c>
      <c r="C35" s="167">
        <v>4114</v>
      </c>
      <c r="D35" s="167">
        <v>3613</v>
      </c>
      <c r="E35" s="167">
        <v>3315</v>
      </c>
      <c r="F35" s="167">
        <v>3140</v>
      </c>
      <c r="G35" s="166">
        <v>3645.6</v>
      </c>
    </row>
    <row r="36" spans="1:10">
      <c r="A36" s="195" t="s">
        <v>573</v>
      </c>
      <c r="B36" s="168"/>
      <c r="C36" s="168"/>
      <c r="D36" s="168"/>
      <c r="E36" s="168"/>
      <c r="F36" s="168"/>
    </row>
    <row r="37" spans="1:10">
      <c r="A37" s="89" t="s">
        <v>497</v>
      </c>
      <c r="B37" s="168"/>
      <c r="C37" s="168"/>
      <c r="D37" s="168"/>
      <c r="E37" s="168"/>
      <c r="F37" s="168"/>
    </row>
    <row r="38" spans="1:10">
      <c r="A38" s="169" t="s">
        <v>565</v>
      </c>
      <c r="B38" s="168">
        <v>29.844565217391306</v>
      </c>
      <c r="C38" s="168">
        <v>32.047441364605547</v>
      </c>
      <c r="D38" s="168">
        <v>34.047675804529199</v>
      </c>
      <c r="E38" s="168">
        <v>35.055831265508687</v>
      </c>
      <c r="F38" s="168">
        <v>33.379066478076382</v>
      </c>
    </row>
    <row r="39" spans="1:10" ht="15.75">
      <c r="A39" s="169" t="s">
        <v>568</v>
      </c>
      <c r="B39" s="167">
        <v>40087</v>
      </c>
      <c r="C39" s="167">
        <v>44767</v>
      </c>
      <c r="D39" s="167">
        <v>38109</v>
      </c>
      <c r="E39" s="167">
        <v>37562</v>
      </c>
      <c r="F39" s="167">
        <v>30887</v>
      </c>
      <c r="G39" s="166">
        <v>38282.400000000001</v>
      </c>
      <c r="H39" s="15">
        <v>0.75218981974512034</v>
      </c>
      <c r="I39" s="170">
        <v>0.86997999999999998</v>
      </c>
      <c r="J39" s="93">
        <v>33304.922352000001</v>
      </c>
    </row>
    <row r="40" spans="1:10">
      <c r="A40" s="169" t="s">
        <v>569</v>
      </c>
      <c r="B40" s="167">
        <v>1840</v>
      </c>
      <c r="C40" s="167">
        <v>1876</v>
      </c>
      <c r="D40" s="167">
        <v>1678</v>
      </c>
      <c r="E40" s="167">
        <v>1612</v>
      </c>
      <c r="F40" s="167">
        <v>1414</v>
      </c>
    </row>
    <row r="41" spans="1:10">
      <c r="A41" s="89" t="s">
        <v>498</v>
      </c>
      <c r="B41" s="168"/>
      <c r="C41" s="168"/>
      <c r="D41" s="168"/>
      <c r="E41" s="168"/>
      <c r="F41" s="168"/>
    </row>
    <row r="42" spans="1:10">
      <c r="A42" s="169" t="s">
        <v>565</v>
      </c>
      <c r="B42" s="168">
        <v>48.609756097560975</v>
      </c>
      <c r="C42" s="168">
        <v>49.730769230769234</v>
      </c>
      <c r="D42" s="168">
        <v>52.215909090909093</v>
      </c>
      <c r="E42" s="168">
        <v>45.802325581395351</v>
      </c>
      <c r="F42" s="168">
        <v>58.149253731343286</v>
      </c>
    </row>
    <row r="43" spans="1:10" ht="15.75">
      <c r="A43" s="169" t="s">
        <v>568</v>
      </c>
      <c r="B43" s="167">
        <v>10711</v>
      </c>
      <c r="C43" s="167">
        <v>18840</v>
      </c>
      <c r="D43" s="167">
        <v>7777</v>
      </c>
      <c r="E43" s="167">
        <v>9976</v>
      </c>
      <c r="F43" s="167">
        <v>15757</v>
      </c>
      <c r="G43" s="166">
        <v>12612.2</v>
      </c>
      <c r="H43" s="15">
        <v>0.24781018025487972</v>
      </c>
      <c r="I43" s="170">
        <v>0.98109000000000002</v>
      </c>
      <c r="J43" s="93">
        <v>12373.703298</v>
      </c>
    </row>
    <row r="44" spans="1:10">
      <c r="A44" s="169" t="s">
        <v>569</v>
      </c>
      <c r="B44" s="167">
        <v>123</v>
      </c>
      <c r="C44" s="167">
        <v>130</v>
      </c>
      <c r="D44" s="167">
        <v>88</v>
      </c>
      <c r="E44" s="167">
        <v>86</v>
      </c>
      <c r="F44" s="167">
        <v>67</v>
      </c>
    </row>
    <row r="45" spans="1:10">
      <c r="A45" s="195" t="s">
        <v>574</v>
      </c>
      <c r="B45" s="168">
        <v>31.020376974019356</v>
      </c>
      <c r="C45" s="168">
        <v>33.193419740777664</v>
      </c>
      <c r="D45" s="168">
        <v>34.953001132502834</v>
      </c>
      <c r="E45" s="168">
        <v>35.600117785630154</v>
      </c>
      <c r="F45" s="168">
        <v>34.499662390276839</v>
      </c>
      <c r="G45" s="166">
        <v>33.853315604641367</v>
      </c>
    </row>
    <row r="46" spans="1:10">
      <c r="A46" s="195" t="s">
        <v>575</v>
      </c>
      <c r="B46" s="167">
        <v>50798</v>
      </c>
      <c r="C46" s="167">
        <v>63607</v>
      </c>
      <c r="D46" s="167">
        <v>45886</v>
      </c>
      <c r="E46" s="167">
        <v>47538</v>
      </c>
      <c r="F46" s="167">
        <v>46644</v>
      </c>
      <c r="G46" s="166">
        <v>50894.6</v>
      </c>
      <c r="J46" s="93">
        <v>45678.625650000002</v>
      </c>
    </row>
    <row r="47" spans="1:10">
      <c r="A47" s="195" t="s">
        <v>576</v>
      </c>
      <c r="B47" s="167">
        <v>1963</v>
      </c>
      <c r="C47" s="167">
        <v>2006</v>
      </c>
      <c r="D47" s="167">
        <v>1766</v>
      </c>
      <c r="E47" s="167">
        <v>1698</v>
      </c>
      <c r="F47" s="167">
        <v>1481</v>
      </c>
      <c r="G47" s="166">
        <v>1782.8</v>
      </c>
    </row>
    <row r="48" spans="1:10">
      <c r="A48" s="195"/>
      <c r="B48" s="167"/>
      <c r="C48" s="167"/>
      <c r="D48" s="167"/>
      <c r="E48" s="167"/>
      <c r="F48" s="167"/>
      <c r="G48" s="166"/>
    </row>
    <row r="49" spans="1:10">
      <c r="A49" s="195"/>
      <c r="B49" s="167"/>
      <c r="C49" s="167"/>
      <c r="D49" s="167"/>
      <c r="E49" s="167"/>
      <c r="F49" s="167"/>
      <c r="G49" s="166"/>
    </row>
    <row r="50" spans="1:10">
      <c r="A50" s="195"/>
      <c r="B50" s="195"/>
      <c r="C50" s="195"/>
      <c r="D50" s="195"/>
      <c r="E50" s="195"/>
      <c r="F50" s="195"/>
      <c r="G50" s="166"/>
    </row>
    <row r="51" spans="1:10" ht="21">
      <c r="A51" s="246" t="s">
        <v>577</v>
      </c>
      <c r="B51"/>
      <c r="E51" s="319" t="s">
        <v>578</v>
      </c>
      <c r="F51" s="281"/>
      <c r="G51" s="331" t="s">
        <v>579</v>
      </c>
      <c r="H51" s="281"/>
      <c r="I51" s="280"/>
      <c r="J51" s="280"/>
    </row>
    <row r="52" spans="1:10" ht="15.75">
      <c r="A52" s="248" t="s">
        <v>580</v>
      </c>
      <c r="B52"/>
      <c r="E52" s="281"/>
      <c r="F52" s="328" t="s">
        <v>581</v>
      </c>
      <c r="G52" s="622" t="s">
        <v>145</v>
      </c>
      <c r="H52" s="622"/>
      <c r="I52" s="280"/>
      <c r="J52" s="280"/>
    </row>
    <row r="53" spans="1:10" ht="15.75">
      <c r="A53" s="249" t="s">
        <v>582</v>
      </c>
      <c r="B53"/>
      <c r="E53" s="281"/>
      <c r="F53" s="281" t="s">
        <v>583</v>
      </c>
      <c r="G53" s="282">
        <v>1</v>
      </c>
      <c r="H53" s="282">
        <v>1</v>
      </c>
      <c r="I53" s="280"/>
      <c r="J53" s="280"/>
    </row>
    <row r="54" spans="1:10" ht="15.75">
      <c r="A54" s="249" t="s">
        <v>584</v>
      </c>
      <c r="B54"/>
      <c r="E54" s="281"/>
      <c r="F54" s="281" t="s">
        <v>585</v>
      </c>
      <c r="G54" s="282">
        <v>1</v>
      </c>
      <c r="H54" s="282">
        <v>2</v>
      </c>
      <c r="I54" s="280"/>
      <c r="J54" s="280"/>
    </row>
    <row r="55" spans="1:10" ht="15.75">
      <c r="A55" s="250" t="s">
        <v>586</v>
      </c>
      <c r="B55"/>
      <c r="E55" s="281"/>
      <c r="F55" s="281" t="s">
        <v>587</v>
      </c>
      <c r="G55" s="282">
        <v>1</v>
      </c>
      <c r="H55" s="282">
        <v>1</v>
      </c>
      <c r="I55" s="280"/>
      <c r="J55" s="280"/>
    </row>
    <row r="56" spans="1:10" ht="15.75">
      <c r="A56" s="247" t="s">
        <v>588</v>
      </c>
      <c r="B56"/>
      <c r="E56" s="281"/>
      <c r="F56" s="281" t="s">
        <v>589</v>
      </c>
      <c r="G56" s="282">
        <v>1</v>
      </c>
      <c r="H56" s="282">
        <v>3</v>
      </c>
      <c r="I56" s="280"/>
      <c r="J56" s="280"/>
    </row>
    <row r="57" spans="1:10" ht="15.75">
      <c r="A57" s="251" t="s">
        <v>590</v>
      </c>
      <c r="B57"/>
      <c r="E57" s="281"/>
      <c r="F57" s="281" t="s">
        <v>30</v>
      </c>
      <c r="G57" s="329">
        <v>4</v>
      </c>
      <c r="H57" s="329">
        <v>7</v>
      </c>
      <c r="I57" s="280"/>
      <c r="J57" s="280"/>
    </row>
    <row r="58" spans="1:10" ht="15.75">
      <c r="A58" s="251" t="s">
        <v>591</v>
      </c>
      <c r="B58"/>
      <c r="E58" s="281"/>
      <c r="F58" s="281"/>
      <c r="G58" s="282" t="s">
        <v>592</v>
      </c>
      <c r="H58" s="330">
        <v>5.5</v>
      </c>
      <c r="I58" s="280"/>
      <c r="J58" s="280"/>
    </row>
    <row r="59" spans="1:10" ht="15.75">
      <c r="A59" s="248" t="s">
        <v>593</v>
      </c>
      <c r="B59"/>
    </row>
    <row r="60" spans="1:10" ht="16.5" thickBot="1">
      <c r="A60" s="247" t="s">
        <v>594</v>
      </c>
      <c r="B60"/>
    </row>
    <row r="61" spans="1:10" ht="15.75" thickBot="1">
      <c r="A61" s="252" t="s">
        <v>595</v>
      </c>
      <c r="B61" s="255" t="s">
        <v>596</v>
      </c>
    </row>
    <row r="62" spans="1:10">
      <c r="A62" s="619" t="s">
        <v>597</v>
      </c>
      <c r="B62" s="256" t="s">
        <v>598</v>
      </c>
    </row>
    <row r="63" spans="1:10" ht="15.75">
      <c r="A63" s="620"/>
      <c r="B63" s="257" t="s">
        <v>599</v>
      </c>
    </row>
    <row r="64" spans="1:10" ht="15.75">
      <c r="A64" s="620"/>
      <c r="B64" s="258" t="s">
        <v>600</v>
      </c>
    </row>
    <row r="65" spans="1:2" ht="15.75">
      <c r="A65" s="620"/>
      <c r="B65" s="258" t="s">
        <v>601</v>
      </c>
    </row>
    <row r="66" spans="1:2" ht="15.75">
      <c r="A66" s="620"/>
      <c r="B66" s="258" t="s">
        <v>602</v>
      </c>
    </row>
    <row r="67" spans="1:2" ht="15.75">
      <c r="A67" s="620"/>
      <c r="B67" s="258" t="s">
        <v>603</v>
      </c>
    </row>
    <row r="68" spans="1:2" ht="31.5">
      <c r="A68" s="620"/>
      <c r="B68" s="258" t="s">
        <v>604</v>
      </c>
    </row>
    <row r="69" spans="1:2" ht="15.75">
      <c r="A69" s="620"/>
      <c r="B69" s="258" t="s">
        <v>605</v>
      </c>
    </row>
    <row r="70" spans="1:2" ht="15.75">
      <c r="A70" s="620"/>
      <c r="B70" s="258" t="s">
        <v>606</v>
      </c>
    </row>
    <row r="71" spans="1:2" ht="15.75">
      <c r="A71" s="620"/>
      <c r="B71" s="258" t="s">
        <v>607</v>
      </c>
    </row>
    <row r="72" spans="1:2" ht="15.75">
      <c r="A72" s="620"/>
      <c r="B72" s="258" t="s">
        <v>608</v>
      </c>
    </row>
    <row r="73" spans="1:2" ht="16.5" thickBot="1">
      <c r="A73" s="621"/>
      <c r="B73" s="259" t="s">
        <v>609</v>
      </c>
    </row>
    <row r="74" spans="1:2">
      <c r="A74" s="619" t="s">
        <v>610</v>
      </c>
      <c r="B74" s="253" t="s">
        <v>598</v>
      </c>
    </row>
    <row r="75" spans="1:2" ht="31.5">
      <c r="A75" s="620"/>
      <c r="B75" s="258" t="s">
        <v>599</v>
      </c>
    </row>
    <row r="76" spans="1:2" ht="15.75">
      <c r="A76" s="620"/>
      <c r="B76" s="258" t="s">
        <v>611</v>
      </c>
    </row>
    <row r="77" spans="1:2" ht="15.75">
      <c r="A77" s="620"/>
      <c r="B77" s="258" t="s">
        <v>612</v>
      </c>
    </row>
    <row r="78" spans="1:2" ht="15.75">
      <c r="A78" s="620"/>
      <c r="B78" s="258" t="s">
        <v>613</v>
      </c>
    </row>
    <row r="79" spans="1:2" ht="15.75">
      <c r="A79" s="620"/>
      <c r="B79" s="258" t="s">
        <v>603</v>
      </c>
    </row>
    <row r="80" spans="1:2" ht="45">
      <c r="A80" s="620"/>
      <c r="B80" s="260" t="s">
        <v>614</v>
      </c>
    </row>
    <row r="81" spans="1:2">
      <c r="A81" s="620"/>
      <c r="B81" s="260" t="s">
        <v>615</v>
      </c>
    </row>
    <row r="82" spans="1:2" ht="63">
      <c r="A82" s="620"/>
      <c r="B82" s="254" t="s">
        <v>616</v>
      </c>
    </row>
    <row r="83" spans="1:2" ht="15.75">
      <c r="A83" s="620"/>
      <c r="B83" s="258" t="s">
        <v>605</v>
      </c>
    </row>
    <row r="84" spans="1:2" ht="15.75">
      <c r="A84" s="620"/>
      <c r="B84" s="258" t="s">
        <v>606</v>
      </c>
    </row>
    <row r="85" spans="1:2" ht="15.75">
      <c r="A85" s="620"/>
      <c r="B85" s="258" t="s">
        <v>617</v>
      </c>
    </row>
    <row r="86" spans="1:2" ht="15.75">
      <c r="A86" s="620"/>
      <c r="B86" s="258" t="s">
        <v>618</v>
      </c>
    </row>
    <row r="87" spans="1:2" ht="15.75">
      <c r="A87" s="620"/>
      <c r="B87" s="258" t="s">
        <v>619</v>
      </c>
    </row>
    <row r="88" spans="1:2" ht="15.75">
      <c r="A88" s="620"/>
      <c r="B88" s="258" t="s">
        <v>620</v>
      </c>
    </row>
    <row r="89" spans="1:2" ht="15.75">
      <c r="A89" s="620"/>
      <c r="B89" s="258" t="s">
        <v>621</v>
      </c>
    </row>
    <row r="90" spans="1:2" ht="31.5">
      <c r="A90" s="620"/>
      <c r="B90" s="258" t="s">
        <v>622</v>
      </c>
    </row>
    <row r="91" spans="1:2" ht="15.75">
      <c r="A91" s="620"/>
      <c r="B91" s="258" t="s">
        <v>623</v>
      </c>
    </row>
    <row r="92" spans="1:2" ht="31.5">
      <c r="A92" s="620"/>
      <c r="B92" s="258" t="s">
        <v>624</v>
      </c>
    </row>
    <row r="93" spans="1:2" ht="47.25">
      <c r="A93" s="620"/>
      <c r="B93" s="261" t="s">
        <v>625</v>
      </c>
    </row>
    <row r="94" spans="1:2" ht="15.75">
      <c r="A94" s="620"/>
      <c r="B94" s="258" t="s">
        <v>626</v>
      </c>
    </row>
    <row r="95" spans="1:2" ht="15.75">
      <c r="A95" s="620"/>
      <c r="B95" s="258" t="s">
        <v>627</v>
      </c>
    </row>
    <row r="96" spans="1:2" ht="47.25">
      <c r="A96" s="620"/>
      <c r="B96" s="258" t="s">
        <v>628</v>
      </c>
    </row>
    <row r="97" spans="1:2" ht="30">
      <c r="A97" s="620"/>
      <c r="B97" s="260" t="s">
        <v>629</v>
      </c>
    </row>
    <row r="98" spans="1:2">
      <c r="A98" s="620"/>
      <c r="B98" s="260" t="s">
        <v>615</v>
      </c>
    </row>
    <row r="99" spans="1:2" ht="31.5">
      <c r="A99" s="620"/>
      <c r="B99" s="254" t="s">
        <v>630</v>
      </c>
    </row>
    <row r="100" spans="1:2" ht="63">
      <c r="A100" s="620"/>
      <c r="B100" s="258" t="s">
        <v>631</v>
      </c>
    </row>
    <row r="101" spans="1:2" ht="15.75">
      <c r="A101" s="620"/>
      <c r="B101" s="258" t="s">
        <v>632</v>
      </c>
    </row>
    <row r="102" spans="1:2" ht="15.75">
      <c r="A102" s="620"/>
      <c r="B102" s="258" t="s">
        <v>633</v>
      </c>
    </row>
    <row r="103" spans="1:2" ht="16.5" thickBot="1">
      <c r="A103" s="621"/>
      <c r="B103" s="259" t="s">
        <v>634</v>
      </c>
    </row>
  </sheetData>
  <mergeCells count="3">
    <mergeCell ref="A62:A73"/>
    <mergeCell ref="A74:A103"/>
    <mergeCell ref="G52:H52"/>
  </mergeCells>
  <hyperlinks>
    <hyperlink ref="I31" r:id="rId1" display="http://www.avistautilities.com/services/energypricing/wa/elect/Documents/WA_011.pdf" xr:uid="{00000000-0004-0000-1800-000000000000}"/>
    <hyperlink ref="I43" r:id="rId2" display="http://www.avistautilities.com/services/energypricing/wa/gas/Documents/WA_111.pdf" xr:uid="{00000000-0004-0000-1800-000001000000}"/>
    <hyperlink ref="I39" r:id="rId3" display="http://www.avistautilities.com/services/energypricing/wa/gas/Documents/WA_101.pdf" xr:uid="{00000000-0004-0000-1800-000002000000}"/>
    <hyperlink ref="A57" r:id="rId4" display="javascript:void(0);" xr:uid="{00000000-0004-0000-1800-000003000000}"/>
    <hyperlink ref="A58" r:id="rId5" display="javascript:void(0);" xr:uid="{00000000-0004-0000-1800-000004000000}"/>
    <hyperlink ref="A1" location="Summary_RealizationSchedule!A1" display="Back to Summary" xr:uid="{00000000-0004-0000-1800-000005000000}"/>
  </hyperlinks>
  <pageMargins left="0.7" right="0.7" top="0.75" bottom="0.75" header="0.3" footer="0.3"/>
  <pageSetup orientation="portrait" r:id="rId6"/>
  <drawing r:id="rId7"/>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30">
    <tabColor rgb="FF09FF78"/>
  </sheetPr>
  <dimension ref="A1:AD21"/>
  <sheetViews>
    <sheetView workbookViewId="0">
      <selection activeCell="C8" sqref="C8:E8"/>
    </sheetView>
  </sheetViews>
  <sheetFormatPr defaultRowHeight="15"/>
  <cols>
    <col min="1" max="1" width="29.28515625" customWidth="1"/>
    <col min="2" max="2" width="22.7109375" bestFit="1" customWidth="1"/>
    <col min="3" max="27" width="12.28515625" customWidth="1"/>
  </cols>
  <sheetData>
    <row r="1" spans="1:30">
      <c r="A1" s="9" t="s">
        <v>55</v>
      </c>
    </row>
    <row r="3" spans="1:30">
      <c r="A3" t="s">
        <v>526</v>
      </c>
      <c r="B3" s="104">
        <v>7.0000000000000001E-3</v>
      </c>
    </row>
    <row r="4" spans="1:30">
      <c r="A4" t="s">
        <v>407</v>
      </c>
      <c r="B4" s="104">
        <v>0.03</v>
      </c>
    </row>
    <row r="6" spans="1:30" s="44" customFormat="1">
      <c r="A6" t="s">
        <v>408</v>
      </c>
      <c r="C6" s="61">
        <v>0</v>
      </c>
      <c r="D6" s="61">
        <v>0</v>
      </c>
      <c r="E6" s="61">
        <v>0</v>
      </c>
      <c r="F6" s="61">
        <v>0.3</v>
      </c>
      <c r="G6" s="61">
        <v>0.75</v>
      </c>
      <c r="H6" s="61">
        <v>0.75</v>
      </c>
      <c r="I6" s="61">
        <v>0.75</v>
      </c>
      <c r="J6" s="61">
        <v>1</v>
      </c>
      <c r="K6" s="61">
        <v>1</v>
      </c>
      <c r="L6" s="61">
        <v>1</v>
      </c>
      <c r="M6" s="61">
        <v>1</v>
      </c>
      <c r="N6" s="61">
        <v>1</v>
      </c>
      <c r="O6" s="61">
        <v>1</v>
      </c>
      <c r="P6" s="61">
        <v>1</v>
      </c>
      <c r="Q6" s="61">
        <v>1</v>
      </c>
      <c r="R6" s="61">
        <v>1</v>
      </c>
      <c r="S6" s="61">
        <v>1</v>
      </c>
      <c r="T6" s="61">
        <v>1</v>
      </c>
      <c r="U6" s="61">
        <v>1</v>
      </c>
      <c r="V6" s="61">
        <v>1</v>
      </c>
      <c r="W6" s="61">
        <v>1</v>
      </c>
      <c r="X6" s="61">
        <v>0.25</v>
      </c>
      <c r="Y6" s="61">
        <v>0</v>
      </c>
      <c r="Z6" s="61">
        <v>0</v>
      </c>
      <c r="AA6" s="61">
        <v>0</v>
      </c>
    </row>
    <row r="7" spans="1:30" s="44" customFormat="1">
      <c r="A7" s="44" t="s">
        <v>177</v>
      </c>
      <c r="C7" s="61">
        <v>2016</v>
      </c>
      <c r="D7" s="61">
        <v>2017</v>
      </c>
      <c r="E7" s="61">
        <v>2018</v>
      </c>
      <c r="F7" s="61">
        <v>2019</v>
      </c>
      <c r="G7" s="61">
        <v>2020</v>
      </c>
      <c r="H7" s="61">
        <v>2021</v>
      </c>
      <c r="I7" s="61">
        <v>2022</v>
      </c>
      <c r="J7" s="61">
        <v>2023</v>
      </c>
      <c r="K7" s="61">
        <v>2024</v>
      </c>
      <c r="L7" s="61">
        <v>2025</v>
      </c>
      <c r="M7" s="61">
        <v>2026</v>
      </c>
      <c r="N7" s="61">
        <v>2027</v>
      </c>
      <c r="O7" s="61">
        <v>2028</v>
      </c>
      <c r="P7" s="61">
        <v>2029</v>
      </c>
      <c r="Q7" s="61">
        <v>2030</v>
      </c>
      <c r="R7" s="61">
        <v>2031</v>
      </c>
      <c r="S7" s="61">
        <v>2032</v>
      </c>
      <c r="T7" s="61">
        <v>2033</v>
      </c>
      <c r="U7" s="61">
        <v>2034</v>
      </c>
      <c r="V7" s="61">
        <v>2035</v>
      </c>
      <c r="W7" s="61">
        <v>2036</v>
      </c>
      <c r="X7" s="61">
        <v>2037</v>
      </c>
      <c r="Y7" s="61">
        <v>2038</v>
      </c>
      <c r="Z7" s="61">
        <v>2039</v>
      </c>
      <c r="AA7" s="61">
        <v>2040</v>
      </c>
    </row>
    <row r="8" spans="1:30" s="44" customFormat="1">
      <c r="A8" s="44" t="s">
        <v>179</v>
      </c>
      <c r="B8" s="63">
        <v>3995883.4080789024</v>
      </c>
      <c r="C8" s="523">
        <v>42117</v>
      </c>
      <c r="D8" s="523">
        <v>43380.51</v>
      </c>
      <c r="E8" s="523">
        <v>44681.925300000003</v>
      </c>
      <c r="F8" s="64">
        <v>112432.0550149968</v>
      </c>
      <c r="G8" s="64">
        <v>291480.10262637923</v>
      </c>
      <c r="H8" s="64">
        <v>302264.86642355524</v>
      </c>
      <c r="I8" s="64">
        <v>313448.6664812268</v>
      </c>
      <c r="J8" s="64">
        <v>433395.02285470947</v>
      </c>
      <c r="K8" s="64">
        <v>449430.63870033371</v>
      </c>
      <c r="L8" s="64">
        <v>466059.572332246</v>
      </c>
      <c r="M8" s="64">
        <v>483303.77650853916</v>
      </c>
      <c r="N8" s="64">
        <v>501186.01623935497</v>
      </c>
      <c r="O8" s="64">
        <v>519729.89884021116</v>
      </c>
      <c r="P8" s="64">
        <v>538959.90509729879</v>
      </c>
      <c r="Q8" s="64">
        <v>558901.42158589896</v>
      </c>
      <c r="R8" s="64">
        <v>579580.77418457705</v>
      </c>
      <c r="S8" s="64">
        <v>601025.26282940642</v>
      </c>
      <c r="T8" s="64">
        <v>623263.19755409437</v>
      </c>
      <c r="U8" s="64">
        <v>646323.93586359592</v>
      </c>
      <c r="V8" s="64">
        <v>670237.92149054876</v>
      </c>
      <c r="W8" s="64">
        <v>695036.72458569915</v>
      </c>
      <c r="X8" s="64">
        <v>155243.28379500474</v>
      </c>
      <c r="Y8" s="64">
        <v>0</v>
      </c>
      <c r="Z8" s="64">
        <v>0</v>
      </c>
      <c r="AA8" s="64">
        <v>0</v>
      </c>
      <c r="AB8" s="64"/>
      <c r="AC8" s="64"/>
      <c r="AD8" s="64"/>
    </row>
    <row r="11" spans="1:30">
      <c r="B11" s="91" t="s">
        <v>558</v>
      </c>
      <c r="C11" s="92"/>
      <c r="D11" s="19"/>
      <c r="E11" s="19"/>
      <c r="F11" s="19"/>
      <c r="G11" s="19"/>
      <c r="H11" s="19"/>
      <c r="I11" s="19"/>
    </row>
    <row r="12" spans="1:30">
      <c r="B12" t="s">
        <v>635</v>
      </c>
      <c r="F12" t="s">
        <v>636</v>
      </c>
    </row>
    <row r="13" spans="1:30">
      <c r="A13" s="91" t="s">
        <v>560</v>
      </c>
      <c r="B13" s="19">
        <v>2011</v>
      </c>
      <c r="C13" s="19">
        <v>2012</v>
      </c>
      <c r="D13" s="19">
        <v>2013</v>
      </c>
      <c r="E13" s="19">
        <v>2014</v>
      </c>
      <c r="F13" s="19">
        <v>2011</v>
      </c>
      <c r="G13" s="19">
        <v>2012</v>
      </c>
      <c r="H13" s="19">
        <v>2013</v>
      </c>
      <c r="I13" s="19">
        <v>2014</v>
      </c>
    </row>
    <row r="14" spans="1:30">
      <c r="A14" s="195" t="s">
        <v>637</v>
      </c>
      <c r="B14" s="88">
        <v>167044.20000000001</v>
      </c>
      <c r="C14" s="88">
        <v>83938.67</v>
      </c>
      <c r="D14" s="88">
        <v>67241.869999999981</v>
      </c>
      <c r="E14" s="88">
        <v>81917.409999999989</v>
      </c>
      <c r="F14" s="88">
        <v>344143.8</v>
      </c>
      <c r="G14" s="88">
        <v>104630.88999999997</v>
      </c>
      <c r="H14" s="88">
        <v>298930.17999999993</v>
      </c>
      <c r="I14" s="88">
        <v>148477.86999999997</v>
      </c>
    </row>
    <row r="15" spans="1:30">
      <c r="A15" s="89" t="s">
        <v>638</v>
      </c>
      <c r="B15" s="88">
        <v>0</v>
      </c>
      <c r="C15" s="88">
        <v>0</v>
      </c>
      <c r="D15" s="88"/>
      <c r="E15" s="88"/>
      <c r="F15" s="88">
        <v>0</v>
      </c>
      <c r="G15" s="88">
        <v>0</v>
      </c>
      <c r="H15" s="88"/>
      <c r="I15" s="88">
        <v>3583.4100000000003</v>
      </c>
    </row>
    <row r="16" spans="1:30">
      <c r="A16" s="89" t="s">
        <v>639</v>
      </c>
      <c r="B16" s="88"/>
      <c r="C16" s="88"/>
      <c r="D16" s="88">
        <v>302.89999999999998</v>
      </c>
      <c r="E16" s="88"/>
      <c r="F16" s="88"/>
      <c r="G16" s="88"/>
      <c r="H16" s="88">
        <v>273.66000000000003</v>
      </c>
      <c r="I16" s="88"/>
    </row>
    <row r="17" spans="1:9">
      <c r="A17" s="89" t="s">
        <v>541</v>
      </c>
      <c r="B17" s="88">
        <v>0</v>
      </c>
      <c r="C17" s="88">
        <v>0</v>
      </c>
      <c r="D17" s="88"/>
      <c r="E17" s="88"/>
      <c r="F17" s="88">
        <v>344143.8</v>
      </c>
      <c r="G17" s="88">
        <v>104330.01999999997</v>
      </c>
      <c r="H17" s="88">
        <v>298656.51999999996</v>
      </c>
      <c r="I17" s="88">
        <v>144894.45999999996</v>
      </c>
    </row>
    <row r="18" spans="1:9">
      <c r="A18" s="89" t="s">
        <v>542</v>
      </c>
      <c r="B18" s="88">
        <v>167044.20000000001</v>
      </c>
      <c r="C18" s="88">
        <v>83938.67</v>
      </c>
      <c r="D18" s="88">
        <v>66938.969999999987</v>
      </c>
      <c r="E18" s="88">
        <v>81917.409999999989</v>
      </c>
      <c r="F18" s="88">
        <v>0</v>
      </c>
      <c r="G18" s="88">
        <v>300.87</v>
      </c>
      <c r="H18" s="88"/>
      <c r="I18" s="88"/>
    </row>
    <row r="19" spans="1:9">
      <c r="A19" s="195" t="s">
        <v>54</v>
      </c>
      <c r="B19" s="88">
        <v>167044.20000000001</v>
      </c>
      <c r="C19" s="88">
        <v>83938.67</v>
      </c>
      <c r="D19" s="88">
        <v>67241.869999999981</v>
      </c>
      <c r="E19" s="88">
        <v>81917.409999999989</v>
      </c>
      <c r="F19" s="88">
        <v>344143.8</v>
      </c>
      <c r="G19" s="88">
        <v>104630.88999999997</v>
      </c>
      <c r="H19" s="88">
        <v>298930.17999999993</v>
      </c>
      <c r="I19" s="88">
        <v>148477.86999999997</v>
      </c>
    </row>
    <row r="20" spans="1:9">
      <c r="D20" s="90" t="s">
        <v>442</v>
      </c>
      <c r="E20" s="14">
        <v>100035.53749999999</v>
      </c>
      <c r="H20" s="90" t="s">
        <v>442</v>
      </c>
      <c r="I20" s="14">
        <v>224045.68499999997</v>
      </c>
    </row>
    <row r="21" spans="1:9">
      <c r="A21" s="89" t="s">
        <v>640</v>
      </c>
    </row>
  </sheetData>
  <hyperlinks>
    <hyperlink ref="A1" location="Summary_RealizationSchedule!A1" display="Back to Summary" xr:uid="{00000000-0004-0000-1900-000000000000}"/>
  </hyperlinks>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31">
    <tabColor rgb="FF09FF78"/>
  </sheetPr>
  <dimension ref="A1:AA28"/>
  <sheetViews>
    <sheetView workbookViewId="0"/>
  </sheetViews>
  <sheetFormatPr defaultColWidth="9.140625" defaultRowHeight="15"/>
  <cols>
    <col min="1" max="1" width="78.5703125" style="44" bestFit="1" customWidth="1"/>
    <col min="2" max="7" width="11.7109375" style="44" customWidth="1"/>
    <col min="8" max="21" width="9.42578125" style="44" customWidth="1"/>
    <col min="22" max="16384" width="9.140625" style="44"/>
  </cols>
  <sheetData>
    <row r="1" spans="1:8">
      <c r="A1" s="9" t="s">
        <v>55</v>
      </c>
    </row>
    <row r="2" spans="1:8">
      <c r="B2" s="609" t="s">
        <v>541</v>
      </c>
      <c r="C2" s="609"/>
      <c r="D2" s="609"/>
      <c r="E2" s="609" t="s">
        <v>542</v>
      </c>
      <c r="F2" s="609"/>
      <c r="G2" s="609"/>
    </row>
    <row r="3" spans="1:8">
      <c r="B3" s="45" t="s">
        <v>532</v>
      </c>
      <c r="C3" s="46" t="s">
        <v>533</v>
      </c>
      <c r="D3" s="46" t="s">
        <v>534</v>
      </c>
      <c r="E3" s="45" t="s">
        <v>532</v>
      </c>
      <c r="F3" s="46" t="s">
        <v>533</v>
      </c>
      <c r="G3" s="46" t="s">
        <v>534</v>
      </c>
    </row>
    <row r="4" spans="1:8">
      <c r="A4" s="47" t="s">
        <v>641</v>
      </c>
      <c r="B4" s="48">
        <v>4233</v>
      </c>
      <c r="C4" s="48">
        <v>4233</v>
      </c>
      <c r="D4" s="48">
        <v>4233</v>
      </c>
      <c r="E4" s="48">
        <v>3295</v>
      </c>
      <c r="F4" s="48">
        <v>3295</v>
      </c>
      <c r="G4" s="48">
        <v>3295</v>
      </c>
      <c r="H4" s="49" t="s">
        <v>642</v>
      </c>
    </row>
    <row r="5" spans="1:8">
      <c r="A5" s="47" t="s">
        <v>643</v>
      </c>
      <c r="B5" s="50">
        <v>0.13700000000000001</v>
      </c>
      <c r="C5" s="50">
        <v>0.13700000000000001</v>
      </c>
      <c r="D5" s="50">
        <v>0.13700000000000001</v>
      </c>
      <c r="E5" s="50">
        <v>7.0999999999999994E-2</v>
      </c>
      <c r="F5" s="50">
        <v>7.0999999999999994E-2</v>
      </c>
      <c r="G5" s="50">
        <v>7.0999999999999994E-2</v>
      </c>
    </row>
    <row r="6" spans="1:8" ht="18">
      <c r="A6" s="47" t="s">
        <v>644</v>
      </c>
      <c r="B6" s="513">
        <v>0.7</v>
      </c>
      <c r="C6" s="514">
        <v>0.8</v>
      </c>
      <c r="D6" s="513">
        <v>0.9</v>
      </c>
      <c r="E6" s="513">
        <v>0.6</v>
      </c>
      <c r="F6" s="514">
        <v>0.75</v>
      </c>
      <c r="G6" s="513">
        <v>0.9</v>
      </c>
      <c r="H6" s="515" t="s">
        <v>645</v>
      </c>
    </row>
    <row r="7" spans="1:8">
      <c r="A7" s="47" t="s">
        <v>646</v>
      </c>
      <c r="B7" s="513">
        <v>0.56299999999999994</v>
      </c>
      <c r="C7" s="513">
        <v>0.66300000000000003</v>
      </c>
      <c r="D7" s="513">
        <v>0.76300000000000001</v>
      </c>
      <c r="E7" s="513">
        <v>0.52900000000000003</v>
      </c>
      <c r="F7" s="513">
        <v>0.67900000000000005</v>
      </c>
      <c r="G7" s="513">
        <v>0.82900000000000007</v>
      </c>
      <c r="H7" s="515" t="s">
        <v>647</v>
      </c>
    </row>
    <row r="8" spans="1:8">
      <c r="A8" s="47" t="s">
        <v>648</v>
      </c>
      <c r="B8" s="48">
        <v>2383.1789999999996</v>
      </c>
      <c r="C8" s="51">
        <v>2806.4790000000003</v>
      </c>
      <c r="D8" s="48">
        <v>3229.779</v>
      </c>
      <c r="E8" s="48">
        <v>1743.0550000000001</v>
      </c>
      <c r="F8" s="51">
        <v>2237.3050000000003</v>
      </c>
      <c r="G8" s="48">
        <v>2731.5550000000003</v>
      </c>
      <c r="H8" s="515" t="s">
        <v>647</v>
      </c>
    </row>
    <row r="9" spans="1:8">
      <c r="A9" s="47" t="s">
        <v>649</v>
      </c>
      <c r="B9" s="52">
        <v>5</v>
      </c>
      <c r="C9" s="52">
        <v>5</v>
      </c>
      <c r="D9" s="52">
        <v>5</v>
      </c>
      <c r="E9" s="52">
        <v>5</v>
      </c>
      <c r="F9" s="52">
        <v>5</v>
      </c>
      <c r="G9" s="52">
        <v>5</v>
      </c>
      <c r="H9" s="53"/>
    </row>
    <row r="10" spans="1:8">
      <c r="A10" s="47" t="s">
        <v>549</v>
      </c>
      <c r="B10" s="54">
        <v>0.65</v>
      </c>
      <c r="C10" s="54">
        <v>0.65</v>
      </c>
      <c r="D10" s="54">
        <v>0.65</v>
      </c>
      <c r="E10" s="54">
        <v>0.65</v>
      </c>
      <c r="F10" s="54">
        <v>0.65</v>
      </c>
      <c r="G10" s="54">
        <v>0.65</v>
      </c>
      <c r="H10" s="55"/>
    </row>
    <row r="11" spans="1:8">
      <c r="A11" s="47" t="s">
        <v>650</v>
      </c>
      <c r="B11" s="54">
        <v>3.25</v>
      </c>
      <c r="C11" s="54">
        <v>3.25</v>
      </c>
      <c r="D11" s="54">
        <v>3.25</v>
      </c>
      <c r="E11" s="54">
        <v>3.25</v>
      </c>
      <c r="F11" s="54">
        <v>3.25</v>
      </c>
      <c r="G11" s="54">
        <v>3.25</v>
      </c>
      <c r="H11" s="55" t="s">
        <v>651</v>
      </c>
    </row>
    <row r="12" spans="1:8">
      <c r="A12" s="47" t="s">
        <v>652</v>
      </c>
      <c r="B12" s="54">
        <v>10140</v>
      </c>
      <c r="C12" s="54">
        <v>7390.5</v>
      </c>
      <c r="D12" s="54">
        <v>4637.75</v>
      </c>
      <c r="E12" s="54">
        <v>6652.75</v>
      </c>
      <c r="F12" s="54">
        <v>5044</v>
      </c>
      <c r="G12" s="54">
        <v>3438.5</v>
      </c>
      <c r="H12" s="55" t="s">
        <v>653</v>
      </c>
    </row>
    <row r="13" spans="1:8">
      <c r="A13" s="47" t="s">
        <v>654</v>
      </c>
      <c r="B13" s="54">
        <v>2.5</v>
      </c>
      <c r="C13" s="54">
        <v>2.5</v>
      </c>
      <c r="D13" s="54">
        <v>2.5</v>
      </c>
      <c r="E13" s="54">
        <v>2.5</v>
      </c>
      <c r="F13" s="54">
        <v>2.5</v>
      </c>
      <c r="G13" s="54">
        <v>2.5</v>
      </c>
      <c r="H13" s="55" t="s">
        <v>655</v>
      </c>
    </row>
    <row r="14" spans="1:8">
      <c r="A14" s="47" t="s">
        <v>656</v>
      </c>
      <c r="B14" s="54">
        <v>5957.9474999999993</v>
      </c>
      <c r="C14" s="54">
        <v>7016.1975000000002</v>
      </c>
      <c r="D14" s="54">
        <v>8074.4475000000002</v>
      </c>
      <c r="E14" s="54">
        <v>4357.6374999999998</v>
      </c>
      <c r="F14" s="54">
        <v>5593.2625000000007</v>
      </c>
      <c r="G14" s="54">
        <v>6828.8875000000007</v>
      </c>
      <c r="H14" s="55" t="s">
        <v>657</v>
      </c>
    </row>
    <row r="15" spans="1:8">
      <c r="A15" s="47" t="s">
        <v>658</v>
      </c>
      <c r="B15" s="56">
        <v>15.75</v>
      </c>
      <c r="C15" s="56">
        <v>15.75</v>
      </c>
      <c r="D15" s="56">
        <v>15.75</v>
      </c>
      <c r="E15" s="56">
        <v>15.75</v>
      </c>
      <c r="F15" s="56">
        <v>15.75</v>
      </c>
      <c r="G15" s="56">
        <v>15.75</v>
      </c>
      <c r="H15" s="57" t="s">
        <v>659</v>
      </c>
    </row>
    <row r="16" spans="1:8">
      <c r="A16" s="47" t="s">
        <v>660</v>
      </c>
      <c r="B16" s="54">
        <v>0.95833333333333337</v>
      </c>
      <c r="C16" s="54">
        <v>0.95833333333333337</v>
      </c>
      <c r="D16" s="54">
        <v>0.95833333333333337</v>
      </c>
      <c r="E16" s="54">
        <v>0.95833333333333337</v>
      </c>
      <c r="F16" s="54">
        <v>0.95833333333333337</v>
      </c>
      <c r="G16" s="54">
        <v>0.95833333333333337</v>
      </c>
      <c r="H16" s="57" t="s">
        <v>659</v>
      </c>
    </row>
    <row r="17" spans="1:27">
      <c r="A17" s="47" t="s">
        <v>661</v>
      </c>
      <c r="B17" s="45">
        <v>45</v>
      </c>
      <c r="C17" s="45">
        <v>45</v>
      </c>
      <c r="D17" s="45">
        <v>45</v>
      </c>
      <c r="E17" s="45">
        <v>45</v>
      </c>
      <c r="F17" s="45">
        <v>45</v>
      </c>
      <c r="G17" s="45">
        <v>45</v>
      </c>
      <c r="H17" s="58" t="s">
        <v>662</v>
      </c>
    </row>
    <row r="18" spans="1:27">
      <c r="A18" s="47" t="s">
        <v>663</v>
      </c>
      <c r="B18" s="54">
        <v>58.875</v>
      </c>
      <c r="C18" s="54">
        <v>58.875</v>
      </c>
      <c r="D18" s="54">
        <v>58.875</v>
      </c>
      <c r="E18" s="54">
        <v>58.875</v>
      </c>
      <c r="F18" s="54">
        <v>58.875</v>
      </c>
      <c r="G18" s="54">
        <v>58.875</v>
      </c>
      <c r="H18" s="55" t="s">
        <v>128</v>
      </c>
    </row>
    <row r="19" spans="1:27">
      <c r="A19" s="47" t="s">
        <v>664</v>
      </c>
      <c r="B19" s="59">
        <v>136127.611125</v>
      </c>
      <c r="C19" s="59">
        <v>164857.14862500003</v>
      </c>
      <c r="D19" s="59">
        <v>193589.93612500001</v>
      </c>
      <c r="E19" s="59">
        <v>100327.250625</v>
      </c>
      <c r="F19" s="59">
        <v>132270.59437500002</v>
      </c>
      <c r="G19" s="59">
        <v>164210.68812500002</v>
      </c>
      <c r="H19" s="55" t="s">
        <v>128</v>
      </c>
    </row>
    <row r="23" spans="1:27">
      <c r="A23" s="44" t="s">
        <v>239</v>
      </c>
      <c r="B23" s="60">
        <v>0.03</v>
      </c>
      <c r="C23" s="61"/>
      <c r="D23" s="61"/>
      <c r="E23" s="61"/>
      <c r="F23" s="61"/>
      <c r="G23" s="61"/>
      <c r="H23" s="61"/>
      <c r="I23" s="61"/>
      <c r="J23" s="61"/>
      <c r="K23" s="61"/>
      <c r="L23" s="61"/>
      <c r="M23" s="61"/>
      <c r="N23" s="61"/>
      <c r="O23" s="61"/>
      <c r="P23" s="61"/>
      <c r="Q23" s="61"/>
      <c r="R23" s="61"/>
      <c r="S23" s="61"/>
      <c r="T23" s="61"/>
      <c r="U23" s="61"/>
    </row>
    <row r="24" spans="1:27">
      <c r="A24" t="s">
        <v>526</v>
      </c>
      <c r="B24" s="101">
        <v>7.0000000000000001E-3</v>
      </c>
      <c r="C24" s="61"/>
      <c r="D24" s="61"/>
      <c r="E24" s="61"/>
      <c r="F24" s="61"/>
      <c r="G24" s="61"/>
      <c r="H24" s="61"/>
      <c r="I24" s="61"/>
      <c r="J24" s="61"/>
      <c r="K24" s="61"/>
      <c r="L24" s="61"/>
      <c r="M24" s="61"/>
      <c r="N24" s="61"/>
      <c r="O24" s="61"/>
      <c r="P24" s="61"/>
      <c r="Q24" s="61"/>
      <c r="R24" s="61"/>
      <c r="S24" s="61"/>
      <c r="T24" s="61"/>
      <c r="U24" s="61"/>
    </row>
    <row r="25" spans="1:27">
      <c r="C25" s="61">
        <v>0</v>
      </c>
      <c r="D25" s="61">
        <v>0</v>
      </c>
      <c r="E25" s="61">
        <v>0</v>
      </c>
      <c r="F25" s="61">
        <v>0.3</v>
      </c>
      <c r="G25" s="61">
        <v>0.75</v>
      </c>
      <c r="H25" s="61">
        <v>0.75</v>
      </c>
      <c r="I25" s="61">
        <v>0.75</v>
      </c>
      <c r="J25" s="61">
        <v>1</v>
      </c>
      <c r="K25" s="61">
        <v>1</v>
      </c>
      <c r="L25" s="61">
        <v>1</v>
      </c>
      <c r="M25" s="61">
        <v>1</v>
      </c>
      <c r="N25" s="61">
        <v>1</v>
      </c>
      <c r="O25" s="61">
        <v>1</v>
      </c>
      <c r="P25" s="61">
        <v>1</v>
      </c>
      <c r="Q25" s="61">
        <v>1</v>
      </c>
      <c r="R25" s="61">
        <v>1</v>
      </c>
      <c r="S25" s="61">
        <v>1</v>
      </c>
      <c r="T25" s="61">
        <v>1</v>
      </c>
      <c r="U25" s="61">
        <v>1</v>
      </c>
      <c r="V25" s="61">
        <v>1</v>
      </c>
      <c r="W25" s="61">
        <v>1</v>
      </c>
      <c r="X25" s="61">
        <v>0.25</v>
      </c>
      <c r="Y25" s="61">
        <v>0</v>
      </c>
      <c r="Z25" s="61">
        <v>0</v>
      </c>
      <c r="AA25" s="61">
        <v>0</v>
      </c>
    </row>
    <row r="26" spans="1:27">
      <c r="A26" s="44" t="s">
        <v>177</v>
      </c>
      <c r="C26" s="61">
        <v>2016</v>
      </c>
      <c r="D26" s="61">
        <v>2017</v>
      </c>
      <c r="E26" s="61">
        <v>2018</v>
      </c>
      <c r="F26" s="61">
        <v>2019</v>
      </c>
      <c r="G26" s="61">
        <v>2020</v>
      </c>
      <c r="H26" s="61">
        <v>2021</v>
      </c>
      <c r="I26" s="61">
        <v>2022</v>
      </c>
      <c r="J26" s="61">
        <v>2023</v>
      </c>
      <c r="K26" s="61">
        <v>2024</v>
      </c>
      <c r="L26" s="61">
        <v>2025</v>
      </c>
      <c r="M26" s="61">
        <v>2026</v>
      </c>
      <c r="N26" s="61">
        <v>2027</v>
      </c>
      <c r="O26" s="61">
        <v>2028</v>
      </c>
      <c r="P26" s="61">
        <v>2029</v>
      </c>
      <c r="Q26" s="61">
        <v>2030</v>
      </c>
      <c r="R26" s="61">
        <v>2031</v>
      </c>
      <c r="S26" s="61">
        <v>2032</v>
      </c>
      <c r="T26" s="61">
        <v>2033</v>
      </c>
      <c r="U26" s="61">
        <v>2034</v>
      </c>
      <c r="V26" s="61">
        <v>2035</v>
      </c>
      <c r="W26" s="61">
        <v>2036</v>
      </c>
      <c r="X26" s="61">
        <v>2037</v>
      </c>
      <c r="Y26" s="61">
        <v>2038</v>
      </c>
      <c r="Z26" s="61">
        <v>2039</v>
      </c>
      <c r="AA26" s="61">
        <v>2040</v>
      </c>
    </row>
    <row r="27" spans="1:27">
      <c r="A27" s="44" t="s">
        <v>665</v>
      </c>
      <c r="C27" s="62">
        <v>0</v>
      </c>
      <c r="D27" s="62">
        <v>0</v>
      </c>
      <c r="E27" s="62">
        <v>0</v>
      </c>
      <c r="F27" s="62">
        <v>1513.1352000000002</v>
      </c>
      <c r="G27" s="62">
        <v>3782.8380000000006</v>
      </c>
      <c r="H27" s="62">
        <v>3782.8380000000006</v>
      </c>
      <c r="I27" s="62">
        <v>3782.8380000000006</v>
      </c>
      <c r="J27" s="62">
        <v>5043.7840000000006</v>
      </c>
      <c r="K27" s="62">
        <v>5043.7840000000006</v>
      </c>
      <c r="L27" s="62">
        <v>5043.7840000000006</v>
      </c>
      <c r="M27" s="62">
        <v>5043.7840000000006</v>
      </c>
      <c r="N27" s="62">
        <v>5043.7840000000006</v>
      </c>
      <c r="O27" s="62">
        <v>5043.7840000000006</v>
      </c>
      <c r="P27" s="62">
        <v>5043.7840000000006</v>
      </c>
      <c r="Q27" s="62">
        <v>5043.7840000000006</v>
      </c>
      <c r="R27" s="62">
        <v>5043.7840000000006</v>
      </c>
      <c r="S27" s="62">
        <v>5043.7840000000006</v>
      </c>
      <c r="T27" s="62">
        <v>5043.7840000000006</v>
      </c>
      <c r="U27" s="62">
        <v>5043.7840000000006</v>
      </c>
      <c r="V27" s="62">
        <v>5043.7840000000006</v>
      </c>
      <c r="W27" s="62">
        <v>5043.7840000000006</v>
      </c>
      <c r="X27" s="62">
        <v>1260.9460000000001</v>
      </c>
      <c r="Y27" s="62">
        <v>0</v>
      </c>
      <c r="Z27" s="62">
        <v>0</v>
      </c>
      <c r="AA27" s="62">
        <v>0</v>
      </c>
    </row>
    <row r="28" spans="1:27">
      <c r="A28" s="44" t="s">
        <v>179</v>
      </c>
      <c r="B28" s="63">
        <v>3558176.41690649</v>
      </c>
      <c r="C28" s="64">
        <v>0</v>
      </c>
      <c r="D28" s="64">
        <v>0</v>
      </c>
      <c r="E28" s="64">
        <v>0</v>
      </c>
      <c r="F28" s="64">
        <v>103081.20442694836</v>
      </c>
      <c r="G28" s="64">
        <v>267238.02247686364</v>
      </c>
      <c r="H28" s="64">
        <v>277125.82930850761</v>
      </c>
      <c r="I28" s="64">
        <v>287379.48499292234</v>
      </c>
      <c r="J28" s="64">
        <v>397350.03458354721</v>
      </c>
      <c r="K28" s="64">
        <v>412051.98586313846</v>
      </c>
      <c r="L28" s="64">
        <v>427297.90934007452</v>
      </c>
      <c r="M28" s="64">
        <v>443107.93198565731</v>
      </c>
      <c r="N28" s="64">
        <v>459502.92546912655</v>
      </c>
      <c r="O28" s="64">
        <v>476504.53371148423</v>
      </c>
      <c r="P28" s="64">
        <v>494135.20145880902</v>
      </c>
      <c r="Q28" s="64">
        <v>512418.20391278499</v>
      </c>
      <c r="R28" s="64">
        <v>531377.67745755799</v>
      </c>
      <c r="S28" s="64">
        <v>551038.65152348764</v>
      </c>
      <c r="T28" s="64">
        <v>571427.08162985661</v>
      </c>
      <c r="U28" s="64">
        <v>592569.88365016133</v>
      </c>
      <c r="V28" s="64">
        <v>614494.96934521711</v>
      </c>
      <c r="W28" s="64">
        <v>637231.28321099025</v>
      </c>
      <c r="X28" s="64">
        <v>142331.87030735248</v>
      </c>
      <c r="Y28" s="64">
        <v>0</v>
      </c>
      <c r="Z28" s="64">
        <v>0</v>
      </c>
      <c r="AA28" s="64">
        <v>0</v>
      </c>
    </row>
  </sheetData>
  <mergeCells count="2">
    <mergeCell ref="B2:D2"/>
    <mergeCell ref="E2:G2"/>
  </mergeCells>
  <hyperlinks>
    <hyperlink ref="A1" location="Summary_RealizationSchedule!A1" display="Back to Summary" xr:uid="{00000000-0004-0000-1A00-000000000000}"/>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09FF78"/>
  </sheetPr>
  <dimension ref="A1:AD21"/>
  <sheetViews>
    <sheetView workbookViewId="0"/>
  </sheetViews>
  <sheetFormatPr defaultColWidth="9.140625" defaultRowHeight="15"/>
  <cols>
    <col min="1" max="1" width="29.28515625" customWidth="1"/>
    <col min="2" max="2" width="22.7109375" bestFit="1" customWidth="1"/>
    <col min="3" max="27" width="12.28515625" customWidth="1"/>
  </cols>
  <sheetData>
    <row r="1" spans="1:30">
      <c r="A1" s="9" t="s">
        <v>55</v>
      </c>
    </row>
    <row r="3" spans="1:30">
      <c r="A3" t="s">
        <v>526</v>
      </c>
      <c r="B3" s="104">
        <v>0</v>
      </c>
    </row>
    <row r="4" spans="1:30">
      <c r="A4" t="s">
        <v>666</v>
      </c>
      <c r="B4" s="104">
        <v>0.03</v>
      </c>
    </row>
    <row r="6" spans="1:30" s="44" customFormat="1">
      <c r="A6" s="44" t="s">
        <v>177</v>
      </c>
      <c r="C6" s="100">
        <v>2016</v>
      </c>
      <c r="D6" s="100">
        <v>2017</v>
      </c>
      <c r="E6" s="100">
        <v>2018</v>
      </c>
      <c r="F6" s="100">
        <v>2019</v>
      </c>
      <c r="G6" s="100">
        <v>2020</v>
      </c>
      <c r="H6" s="100">
        <v>2021</v>
      </c>
      <c r="I6" s="100">
        <v>2022</v>
      </c>
      <c r="J6" s="100">
        <v>2023</v>
      </c>
      <c r="K6" s="100">
        <v>2024</v>
      </c>
      <c r="L6" s="100">
        <v>2025</v>
      </c>
      <c r="M6" s="100">
        <v>2026</v>
      </c>
      <c r="N6" s="100">
        <v>2027</v>
      </c>
      <c r="O6" s="100">
        <v>2028</v>
      </c>
      <c r="P6" s="100">
        <v>2029</v>
      </c>
      <c r="Q6" s="100">
        <v>2030</v>
      </c>
      <c r="R6" s="100">
        <v>2031</v>
      </c>
      <c r="S6" s="100">
        <v>2032</v>
      </c>
      <c r="T6" s="100">
        <v>2033</v>
      </c>
      <c r="U6" s="100">
        <v>2034</v>
      </c>
      <c r="V6" s="100">
        <v>2035</v>
      </c>
      <c r="W6" s="100">
        <v>2036</v>
      </c>
      <c r="X6" s="100">
        <v>2037</v>
      </c>
      <c r="Y6" s="100">
        <v>2038</v>
      </c>
      <c r="Z6" s="100">
        <v>2039</v>
      </c>
      <c r="AA6" s="100">
        <v>2040</v>
      </c>
    </row>
    <row r="7" spans="1:30" s="44" customFormat="1">
      <c r="A7" s="44" t="s">
        <v>180</v>
      </c>
      <c r="B7" s="63">
        <v>9390317.1778832786</v>
      </c>
      <c r="C7" s="434">
        <v>75660.720000000016</v>
      </c>
      <c r="D7" s="434">
        <v>332259.02999999985</v>
      </c>
      <c r="E7" s="434">
        <v>405039.55999999971</v>
      </c>
      <c r="F7" s="434">
        <v>488500.5300000002</v>
      </c>
      <c r="G7" s="245">
        <v>820883.15836799995</v>
      </c>
      <c r="H7" s="245">
        <v>845509.65311903995</v>
      </c>
      <c r="I7" s="245">
        <v>870874.94271261117</v>
      </c>
      <c r="J7" s="245">
        <v>897001.19099398958</v>
      </c>
      <c r="K7" s="245">
        <v>923911.22672380926</v>
      </c>
      <c r="L7" s="245">
        <v>951628.56352552352</v>
      </c>
      <c r="M7" s="245">
        <v>980177.42043128924</v>
      </c>
      <c r="N7" s="245">
        <v>1009582.7430442279</v>
      </c>
      <c r="O7" s="245">
        <v>1039870.2253355548</v>
      </c>
      <c r="P7" s="245">
        <v>1071066.3320956214</v>
      </c>
      <c r="Q7" s="245">
        <v>1103198.32205849</v>
      </c>
      <c r="R7" s="245">
        <v>1136294.2717202448</v>
      </c>
      <c r="S7" s="245">
        <v>1170383.0998718522</v>
      </c>
      <c r="T7" s="245">
        <v>1205494.5928680077</v>
      </c>
      <c r="U7" s="245">
        <v>1241659.430654048</v>
      </c>
      <c r="V7" s="245">
        <v>1278909.2135736695</v>
      </c>
      <c r="W7" s="245">
        <v>1317276.4899808797</v>
      </c>
      <c r="X7" s="245">
        <v>1356794.7846803062</v>
      </c>
      <c r="Y7" s="245">
        <v>0</v>
      </c>
      <c r="Z7" s="245">
        <v>0</v>
      </c>
      <c r="AA7" s="245">
        <v>0</v>
      </c>
      <c r="AB7" s="64"/>
      <c r="AC7" s="64"/>
      <c r="AD7" s="64"/>
    </row>
    <row r="8" spans="1:30">
      <c r="B8" s="14">
        <v>20521975.501757164</v>
      </c>
    </row>
    <row r="12" spans="1:30">
      <c r="A12" s="195" t="s">
        <v>667</v>
      </c>
    </row>
    <row r="13" spans="1:30">
      <c r="A13" t="s">
        <v>177</v>
      </c>
      <c r="B13" s="92">
        <v>2016</v>
      </c>
      <c r="C13" s="92">
        <v>2017</v>
      </c>
      <c r="D13" s="92">
        <v>2018</v>
      </c>
      <c r="E13" s="92">
        <v>2019</v>
      </c>
      <c r="F13" s="19">
        <v>2020</v>
      </c>
      <c r="H13" s="91"/>
      <c r="I13" s="91"/>
    </row>
    <row r="14" spans="1:30">
      <c r="A14" t="s">
        <v>668</v>
      </c>
      <c r="B14" s="22">
        <v>75660.720000000016</v>
      </c>
      <c r="C14" s="22">
        <v>332259.02999999985</v>
      </c>
      <c r="D14" s="22">
        <v>405039.55999999971</v>
      </c>
      <c r="E14" s="22">
        <v>488500.5300000002</v>
      </c>
      <c r="F14" s="22">
        <v>320858.01999999996</v>
      </c>
    </row>
    <row r="15" spans="1:30">
      <c r="A15" t="s">
        <v>669</v>
      </c>
      <c r="B15" s="22">
        <v>75660.720000000016</v>
      </c>
      <c r="C15" s="22">
        <v>332259.02999999985</v>
      </c>
      <c r="D15" s="22">
        <v>405039.55999999971</v>
      </c>
      <c r="E15" s="22">
        <v>488500.5300000002</v>
      </c>
      <c r="F15" s="22">
        <v>770059.24799999991</v>
      </c>
      <c r="G15" t="s">
        <v>670</v>
      </c>
    </row>
    <row r="16" spans="1:30">
      <c r="A16" t="s">
        <v>671</v>
      </c>
      <c r="B16" s="22">
        <v>75660.720000000016</v>
      </c>
      <c r="C16" s="22">
        <v>332259.02999999985</v>
      </c>
      <c r="D16" s="22">
        <v>405039.55999999971</v>
      </c>
      <c r="E16" s="22">
        <v>488500.5300000002</v>
      </c>
      <c r="F16" s="22">
        <v>820883.15836799995</v>
      </c>
      <c r="G16" t="s">
        <v>672</v>
      </c>
    </row>
    <row r="19" spans="1:1">
      <c r="A19" t="s">
        <v>673</v>
      </c>
    </row>
    <row r="20" spans="1:1">
      <c r="A20" t="s">
        <v>674</v>
      </c>
    </row>
    <row r="21" spans="1:1">
      <c r="A21" t="s">
        <v>675</v>
      </c>
    </row>
  </sheetData>
  <hyperlinks>
    <hyperlink ref="A1" location="Summary_RealizationSchedule!A1" display="Back to Summary" xr:uid="{00000000-0004-0000-1B00-000000000000}"/>
  </hyperlink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7">
    <tabColor rgb="FF09FF78"/>
  </sheetPr>
  <dimension ref="A1:AG89"/>
  <sheetViews>
    <sheetView workbookViewId="0"/>
  </sheetViews>
  <sheetFormatPr defaultColWidth="11.42578125" defaultRowHeight="15.75"/>
  <cols>
    <col min="1" max="1" width="4.140625" style="40" customWidth="1"/>
    <col min="2" max="2" width="28.140625" style="40" customWidth="1"/>
    <col min="3" max="3" width="16.28515625" style="41" customWidth="1"/>
    <col min="4" max="5" width="10.5703125" style="41" customWidth="1"/>
    <col min="6" max="6" width="11.28515625" style="41" customWidth="1"/>
    <col min="7" max="7" width="19.42578125" style="41" bestFit="1" customWidth="1"/>
    <col min="8" max="8" width="7.7109375" style="41" bestFit="1" customWidth="1"/>
    <col min="9" max="9" width="16" style="41" bestFit="1" customWidth="1"/>
    <col min="10" max="10" width="28.140625" style="41" bestFit="1" customWidth="1"/>
    <col min="11" max="11" width="16.28515625" style="41" bestFit="1" customWidth="1"/>
    <col min="12" max="13" width="12.7109375" style="40" bestFit="1" customWidth="1"/>
    <col min="14" max="14" width="13.28515625" style="40" bestFit="1" customWidth="1"/>
    <col min="15" max="15" width="14.42578125" style="40" bestFit="1" customWidth="1"/>
    <col min="16" max="16" width="23" style="40" bestFit="1" customWidth="1"/>
    <col min="17" max="31" width="14.42578125" style="40" bestFit="1" customWidth="1"/>
    <col min="32" max="32" width="14.42578125" style="40" customWidth="1"/>
    <col min="33" max="33" width="6.7109375" style="40" bestFit="1" customWidth="1"/>
    <col min="34" max="16384" width="11.42578125" style="40"/>
  </cols>
  <sheetData>
    <row r="1" spans="1:33">
      <c r="A1" s="9" t="s">
        <v>55</v>
      </c>
      <c r="L1" s="41"/>
      <c r="M1" s="41"/>
      <c r="N1" s="41"/>
      <c r="O1" s="41"/>
      <c r="P1" s="41"/>
      <c r="Q1" s="41"/>
      <c r="R1" s="41"/>
      <c r="S1" s="41"/>
      <c r="T1" s="41"/>
      <c r="U1" s="41"/>
      <c r="V1" s="41"/>
      <c r="W1" s="41"/>
      <c r="X1" s="41"/>
      <c r="Y1" s="41"/>
      <c r="Z1" s="41"/>
      <c r="AA1" s="41"/>
      <c r="AB1" s="41"/>
      <c r="AC1" s="41"/>
      <c r="AD1" s="41"/>
      <c r="AE1" s="41"/>
      <c r="AF1" s="41"/>
      <c r="AG1" s="41"/>
    </row>
    <row r="2" spans="1:33" ht="18.75">
      <c r="B2" s="84" t="s">
        <v>676</v>
      </c>
      <c r="L2" s="41"/>
      <c r="M2" s="41"/>
      <c r="N2" s="41"/>
      <c r="O2" s="41"/>
      <c r="P2" s="41"/>
      <c r="Q2" s="41"/>
      <c r="R2" s="41"/>
      <c r="S2" s="41"/>
      <c r="T2" s="41"/>
      <c r="U2" s="41"/>
      <c r="V2" s="41"/>
      <c r="W2" s="41"/>
      <c r="X2" s="41"/>
      <c r="Y2" s="41"/>
      <c r="Z2" s="41"/>
      <c r="AA2" s="41"/>
      <c r="AB2" s="41"/>
      <c r="AC2" s="41"/>
      <c r="AD2" s="41"/>
      <c r="AE2" s="41"/>
      <c r="AF2" s="41"/>
      <c r="AG2" s="41"/>
    </row>
    <row r="3" spans="1:33">
      <c r="B3" s="40" t="s">
        <v>677</v>
      </c>
      <c r="L3" s="41"/>
      <c r="M3" s="41"/>
      <c r="N3" s="41"/>
      <c r="O3" s="41"/>
      <c r="P3" s="41"/>
      <c r="Q3" s="41"/>
      <c r="R3" s="41"/>
      <c r="S3" s="41"/>
      <c r="T3" s="41"/>
      <c r="U3" s="41"/>
      <c r="V3" s="41"/>
      <c r="W3" s="41"/>
      <c r="X3" s="41"/>
      <c r="Y3" s="41"/>
      <c r="Z3" s="41"/>
      <c r="AA3" s="41"/>
      <c r="AB3" s="41"/>
      <c r="AC3" s="41"/>
      <c r="AD3" s="41"/>
      <c r="AE3" s="41"/>
      <c r="AF3" s="41"/>
      <c r="AG3" s="41"/>
    </row>
    <row r="4" spans="1:33" ht="10.5" customHeight="1">
      <c r="L4" s="41"/>
      <c r="M4" s="41"/>
      <c r="N4" s="41"/>
      <c r="O4" s="41"/>
      <c r="P4" s="41"/>
      <c r="Q4" s="41"/>
      <c r="R4" s="41"/>
      <c r="S4" s="41"/>
      <c r="T4" s="41"/>
      <c r="U4" s="41"/>
      <c r="V4" s="41"/>
      <c r="W4" s="41"/>
      <c r="X4" s="41"/>
      <c r="Y4" s="41"/>
      <c r="Z4" s="41"/>
      <c r="AA4" s="41"/>
      <c r="AB4" s="41"/>
      <c r="AC4" s="41"/>
      <c r="AD4" s="41"/>
      <c r="AE4" s="41"/>
      <c r="AF4" s="41"/>
      <c r="AG4" s="41"/>
    </row>
    <row r="5" spans="1:33">
      <c r="C5" s="40"/>
      <c r="D5" s="40"/>
      <c r="E5" s="40"/>
      <c r="F5" s="40"/>
      <c r="G5" s="40"/>
      <c r="H5" s="279"/>
      <c r="I5" s="279"/>
      <c r="J5" s="542" t="s">
        <v>678</v>
      </c>
      <c r="K5" s="542" t="s">
        <v>679</v>
      </c>
      <c r="L5" s="542" t="s">
        <v>680</v>
      </c>
      <c r="M5" s="542" t="s">
        <v>681</v>
      </c>
      <c r="N5" s="542" t="s">
        <v>682</v>
      </c>
      <c r="O5" s="542" t="s">
        <v>683</v>
      </c>
      <c r="P5" s="542" t="s">
        <v>684</v>
      </c>
      <c r="Q5" s="542" t="s">
        <v>685</v>
      </c>
      <c r="R5" s="542" t="s">
        <v>686</v>
      </c>
      <c r="S5" s="542" t="s">
        <v>687</v>
      </c>
      <c r="T5" s="542" t="s">
        <v>688</v>
      </c>
      <c r="U5" s="542" t="s">
        <v>689</v>
      </c>
      <c r="V5" s="542" t="s">
        <v>690</v>
      </c>
      <c r="W5" s="542" t="s">
        <v>691</v>
      </c>
      <c r="X5" s="542" t="s">
        <v>692</v>
      </c>
      <c r="Y5" s="542" t="s">
        <v>693</v>
      </c>
      <c r="Z5" s="542" t="s">
        <v>694</v>
      </c>
      <c r="AA5" s="542" t="s">
        <v>695</v>
      </c>
      <c r="AB5" s="542" t="s">
        <v>696</v>
      </c>
      <c r="AC5" s="542" t="s">
        <v>697</v>
      </c>
      <c r="AD5" s="542" t="s">
        <v>698</v>
      </c>
      <c r="AE5" s="542" t="s">
        <v>699</v>
      </c>
      <c r="AF5" s="542" t="s">
        <v>700</v>
      </c>
      <c r="AG5" s="41"/>
    </row>
    <row r="6" spans="1:33">
      <c r="B6" s="278"/>
      <c r="C6" s="278"/>
      <c r="D6" s="278"/>
      <c r="E6" s="278"/>
      <c r="F6" s="278"/>
      <c r="G6" s="278"/>
      <c r="H6" s="279"/>
      <c r="I6" s="279"/>
      <c r="J6" s="542">
        <v>2015</v>
      </c>
      <c r="K6" s="542">
        <v>2016</v>
      </c>
      <c r="L6" s="41">
        <v>2017</v>
      </c>
      <c r="M6" s="542">
        <v>2018</v>
      </c>
      <c r="N6" s="41">
        <v>2019</v>
      </c>
      <c r="O6" s="542">
        <v>2020</v>
      </c>
      <c r="P6" s="41">
        <v>2021</v>
      </c>
      <c r="Q6" s="542">
        <v>2022</v>
      </c>
      <c r="R6" s="41">
        <v>2023</v>
      </c>
      <c r="S6" s="542">
        <v>2024</v>
      </c>
      <c r="T6" s="41">
        <v>2025</v>
      </c>
      <c r="U6" s="542">
        <v>2026</v>
      </c>
      <c r="V6" s="41">
        <v>2027</v>
      </c>
      <c r="W6" s="542">
        <v>2028</v>
      </c>
      <c r="X6" s="41">
        <v>2029</v>
      </c>
      <c r="Y6" s="542">
        <v>2030</v>
      </c>
      <c r="Z6" s="41">
        <v>2031</v>
      </c>
      <c r="AA6" s="542">
        <v>2032</v>
      </c>
      <c r="AB6" s="41">
        <v>2033</v>
      </c>
      <c r="AC6" s="542">
        <v>2034</v>
      </c>
      <c r="AD6" s="41">
        <v>2035</v>
      </c>
      <c r="AE6" s="41">
        <v>2036</v>
      </c>
      <c r="AF6" s="41">
        <v>2037</v>
      </c>
      <c r="AG6" s="41"/>
    </row>
    <row r="7" spans="1:33">
      <c r="B7" s="40" t="s">
        <v>410</v>
      </c>
      <c r="C7" s="278"/>
      <c r="D7" s="278"/>
      <c r="E7" s="278"/>
      <c r="F7" s="278"/>
      <c r="G7" s="278"/>
      <c r="H7" s="278"/>
      <c r="J7" s="542">
        <v>0</v>
      </c>
      <c r="K7" s="19">
        <v>0</v>
      </c>
      <c r="L7" s="19">
        <v>0</v>
      </c>
      <c r="M7" s="19">
        <v>0</v>
      </c>
      <c r="N7" s="19">
        <v>0.3</v>
      </c>
      <c r="O7" s="19">
        <v>0.75</v>
      </c>
      <c r="P7" s="19">
        <v>0.75</v>
      </c>
      <c r="Q7" s="19">
        <v>0.75</v>
      </c>
      <c r="R7" s="19">
        <v>1</v>
      </c>
      <c r="S7" s="19">
        <v>1</v>
      </c>
      <c r="T7" s="19">
        <v>1</v>
      </c>
      <c r="U7" s="19">
        <v>1</v>
      </c>
      <c r="V7" s="19">
        <v>1</v>
      </c>
      <c r="W7" s="19">
        <v>1</v>
      </c>
      <c r="X7" s="19">
        <v>1</v>
      </c>
      <c r="Y7" s="19">
        <v>1</v>
      </c>
      <c r="Z7" s="19">
        <v>1</v>
      </c>
      <c r="AA7" s="19">
        <v>1</v>
      </c>
      <c r="AB7" s="19">
        <v>1</v>
      </c>
      <c r="AC7" s="19">
        <v>1</v>
      </c>
      <c r="AD7" s="19">
        <v>1</v>
      </c>
      <c r="AE7" s="19">
        <v>1</v>
      </c>
      <c r="AF7" s="19">
        <v>0.25</v>
      </c>
      <c r="AG7" s="41">
        <v>16.55</v>
      </c>
    </row>
    <row r="8" spans="1:33">
      <c r="C8" s="277" t="s">
        <v>701</v>
      </c>
      <c r="I8" s="278" t="s">
        <v>4</v>
      </c>
      <c r="L8" s="41"/>
      <c r="M8" s="41"/>
      <c r="N8" s="41"/>
      <c r="O8" s="41"/>
      <c r="P8" s="41"/>
      <c r="Q8" s="41"/>
      <c r="R8" s="41"/>
      <c r="S8" s="41"/>
      <c r="T8" s="41"/>
      <c r="U8" s="41"/>
      <c r="V8" s="41"/>
      <c r="W8" s="41"/>
      <c r="X8" s="41"/>
      <c r="Y8" s="41"/>
      <c r="Z8" s="41"/>
      <c r="AA8" s="41"/>
      <c r="AB8" s="41"/>
      <c r="AC8" s="41"/>
      <c r="AD8" s="41"/>
      <c r="AE8" s="41"/>
      <c r="AF8" s="41"/>
      <c r="AG8" s="41"/>
    </row>
    <row r="9" spans="1:33">
      <c r="A9"/>
      <c r="B9" s="40" t="s">
        <v>702</v>
      </c>
      <c r="I9" s="308">
        <v>6.5799999999999997E-2</v>
      </c>
      <c r="J9" s="86"/>
      <c r="L9" s="41"/>
      <c r="M9" s="41"/>
      <c r="N9" s="41"/>
      <c r="O9" s="41"/>
      <c r="P9" s="41"/>
      <c r="Q9" s="41"/>
      <c r="R9" s="41"/>
      <c r="S9" s="41"/>
      <c r="T9" s="41"/>
      <c r="U9" s="41"/>
      <c r="V9" s="41"/>
      <c r="W9" s="41"/>
      <c r="X9" s="41"/>
      <c r="Y9" s="41"/>
      <c r="Z9" s="41"/>
      <c r="AA9" s="41"/>
      <c r="AB9" s="41"/>
      <c r="AC9" s="41"/>
      <c r="AD9" s="41"/>
      <c r="AE9" s="41"/>
      <c r="AF9" s="41"/>
      <c r="AG9" s="41"/>
    </row>
    <row r="10" spans="1:33">
      <c r="A10">
        <v>1</v>
      </c>
      <c r="B10" s="40" t="s">
        <v>703</v>
      </c>
      <c r="C10" s="335">
        <v>92419.000000000015</v>
      </c>
      <c r="D10" s="99" t="s">
        <v>704</v>
      </c>
      <c r="J10" s="276">
        <v>93343.190000000017</v>
      </c>
      <c r="K10" s="276">
        <v>94276.621900000013</v>
      </c>
      <c r="L10" s="276">
        <v>95219.38811900001</v>
      </c>
      <c r="M10" s="276">
        <v>96171.582000190014</v>
      </c>
      <c r="N10" s="276">
        <v>97133.297820191918</v>
      </c>
      <c r="O10" s="276">
        <v>98104.630798393831</v>
      </c>
      <c r="P10" s="276">
        <v>99085.677106377771</v>
      </c>
      <c r="Q10" s="276">
        <v>100076.53387744154</v>
      </c>
      <c r="R10" s="276">
        <v>101077.29921621596</v>
      </c>
      <c r="S10" s="276">
        <v>102088.07220837813</v>
      </c>
      <c r="T10" s="276">
        <v>103108.95293046191</v>
      </c>
      <c r="U10" s="276">
        <v>104140.04245976653</v>
      </c>
      <c r="V10" s="276">
        <v>105181.44288436419</v>
      </c>
      <c r="W10" s="276">
        <v>106233.25731320784</v>
      </c>
      <c r="X10" s="276">
        <v>107295.58988633992</v>
      </c>
      <c r="Y10" s="276">
        <v>108368.54578520331</v>
      </c>
      <c r="Z10" s="276">
        <v>109452.23124305534</v>
      </c>
      <c r="AA10" s="276">
        <v>110546.75355548589</v>
      </c>
      <c r="AB10" s="276">
        <v>111652.22109104074</v>
      </c>
      <c r="AC10" s="276">
        <v>112768.74330195115</v>
      </c>
      <c r="AD10" s="276">
        <v>113896.43073497067</v>
      </c>
      <c r="AE10" s="276">
        <v>115035.39504232038</v>
      </c>
      <c r="AF10" s="276">
        <v>116185.74899274358</v>
      </c>
      <c r="AG10" s="41"/>
    </row>
    <row r="11" spans="1:33">
      <c r="A11">
        <v>2</v>
      </c>
      <c r="B11" s="40" t="s">
        <v>705</v>
      </c>
      <c r="C11" s="41">
        <v>9</v>
      </c>
      <c r="D11" s="99" t="s">
        <v>447</v>
      </c>
      <c r="J11" s="41">
        <v>9</v>
      </c>
      <c r="K11" s="41">
        <v>9</v>
      </c>
      <c r="L11" s="41">
        <v>9</v>
      </c>
      <c r="M11" s="41">
        <v>9</v>
      </c>
      <c r="N11" s="41">
        <v>9</v>
      </c>
      <c r="O11" s="41">
        <v>9</v>
      </c>
      <c r="P11" s="41">
        <v>9</v>
      </c>
      <c r="Q11" s="41">
        <v>9</v>
      </c>
      <c r="R11" s="41">
        <v>9</v>
      </c>
      <c r="S11" s="41">
        <v>9</v>
      </c>
      <c r="T11" s="41">
        <v>9</v>
      </c>
      <c r="U11" s="41">
        <v>9</v>
      </c>
      <c r="V11" s="41">
        <v>9</v>
      </c>
      <c r="W11" s="41">
        <v>9</v>
      </c>
      <c r="X11" s="41">
        <v>9</v>
      </c>
      <c r="Y11" s="41">
        <v>9</v>
      </c>
      <c r="Z11" s="41">
        <v>9</v>
      </c>
      <c r="AA11" s="41">
        <v>9</v>
      </c>
      <c r="AB11" s="41">
        <v>9</v>
      </c>
      <c r="AC11" s="41">
        <v>9</v>
      </c>
      <c r="AD11" s="41">
        <v>9</v>
      </c>
      <c r="AE11" s="41">
        <v>9</v>
      </c>
      <c r="AF11" s="41">
        <v>9</v>
      </c>
      <c r="AG11" s="41"/>
    </row>
    <row r="12" spans="1:33">
      <c r="A12">
        <v>3</v>
      </c>
      <c r="B12" s="40" t="s">
        <v>706</v>
      </c>
      <c r="C12" s="292">
        <v>0.65883333333333338</v>
      </c>
      <c r="D12" s="99" t="s">
        <v>707</v>
      </c>
      <c r="J12" s="275">
        <v>0.67859833333333341</v>
      </c>
      <c r="K12" s="275">
        <v>0.69895628333333348</v>
      </c>
      <c r="L12" s="275">
        <v>0.71992497183333348</v>
      </c>
      <c r="M12" s="275">
        <v>0.74152272098833349</v>
      </c>
      <c r="N12" s="275">
        <v>0.76376840261798351</v>
      </c>
      <c r="O12" s="275">
        <v>0.78668145469652306</v>
      </c>
      <c r="P12" s="275">
        <v>0.81028189833741882</v>
      </c>
      <c r="Q12" s="275">
        <v>0.83459035528754144</v>
      </c>
      <c r="R12" s="275">
        <v>0.8596280659461677</v>
      </c>
      <c r="S12" s="275">
        <v>0.88541690792455274</v>
      </c>
      <c r="T12" s="275">
        <v>0.91197941516228931</v>
      </c>
      <c r="U12" s="275">
        <v>0.93933879761715799</v>
      </c>
      <c r="V12" s="275">
        <v>0.96751896154567274</v>
      </c>
      <c r="W12" s="275">
        <v>0.99654453039204294</v>
      </c>
      <c r="X12" s="275">
        <v>1.0264408663038043</v>
      </c>
      <c r="Y12" s="275">
        <v>1.0572340922929184</v>
      </c>
      <c r="Z12" s="275">
        <v>1.0889511150617059</v>
      </c>
      <c r="AA12" s="275">
        <v>1.1216196485135572</v>
      </c>
      <c r="AB12" s="275">
        <v>1.1552682379689641</v>
      </c>
      <c r="AC12" s="275">
        <v>1.189926285108033</v>
      </c>
      <c r="AD12" s="275">
        <v>1.225624073661274</v>
      </c>
      <c r="AE12" s="275">
        <v>1.2623927958711123</v>
      </c>
      <c r="AF12" s="275">
        <v>1.3002645797472456</v>
      </c>
      <c r="AG12" s="41"/>
    </row>
    <row r="13" spans="1:33">
      <c r="A13">
        <v>4</v>
      </c>
      <c r="B13" s="40" t="s">
        <v>708</v>
      </c>
      <c r="C13" s="292">
        <v>5.9295000000000009</v>
      </c>
      <c r="D13" s="99" t="s">
        <v>128</v>
      </c>
      <c r="J13" s="275">
        <v>6.1073850000000007</v>
      </c>
      <c r="K13" s="275">
        <v>6.2906065500000015</v>
      </c>
      <c r="L13" s="275">
        <v>6.4793247465000015</v>
      </c>
      <c r="M13" s="275">
        <v>6.6737044888950017</v>
      </c>
      <c r="N13" s="275">
        <v>6.8739156235618513</v>
      </c>
      <c r="O13" s="275">
        <v>7.0801330922687074</v>
      </c>
      <c r="P13" s="275">
        <v>7.292537085036769</v>
      </c>
      <c r="Q13" s="275">
        <v>7.5113131975878726</v>
      </c>
      <c r="R13" s="275">
        <v>7.736652593515509</v>
      </c>
      <c r="S13" s="275">
        <v>7.9687521713209746</v>
      </c>
      <c r="T13" s="275">
        <v>8.2078147364606036</v>
      </c>
      <c r="U13" s="275">
        <v>8.4540491785544223</v>
      </c>
      <c r="V13" s="275">
        <v>8.7076706539110553</v>
      </c>
      <c r="W13" s="275">
        <v>8.9689007735283859</v>
      </c>
      <c r="X13" s="275">
        <v>9.2379677967342388</v>
      </c>
      <c r="Y13" s="275">
        <v>9.5151068306362667</v>
      </c>
      <c r="Z13" s="275">
        <v>9.8005600355553533</v>
      </c>
      <c r="AA13" s="275">
        <v>10.094576836622014</v>
      </c>
      <c r="AB13" s="275">
        <v>10.397414141720677</v>
      </c>
      <c r="AC13" s="275">
        <v>10.709336565972297</v>
      </c>
      <c r="AD13" s="275">
        <v>11.030616662951466</v>
      </c>
      <c r="AE13" s="275">
        <v>11.36153516284001</v>
      </c>
      <c r="AF13" s="275">
        <v>11.702381217725211</v>
      </c>
      <c r="AG13" s="41"/>
    </row>
    <row r="14" spans="1:33" ht="18.75">
      <c r="A14">
        <v>5</v>
      </c>
      <c r="B14" s="40" t="s">
        <v>709</v>
      </c>
      <c r="C14" s="338">
        <v>0.83</v>
      </c>
      <c r="D14" s="99" t="s">
        <v>710</v>
      </c>
      <c r="J14" s="338">
        <v>0.97</v>
      </c>
      <c r="K14" s="338">
        <v>0.97</v>
      </c>
      <c r="L14" s="338">
        <v>0.97</v>
      </c>
      <c r="M14" s="338">
        <v>0.97</v>
      </c>
      <c r="N14" s="338">
        <v>0.97</v>
      </c>
      <c r="O14" s="338">
        <v>0.97</v>
      </c>
      <c r="P14" s="338">
        <v>0.97</v>
      </c>
      <c r="Q14" s="338">
        <v>0.97</v>
      </c>
      <c r="R14" s="338">
        <v>0.97</v>
      </c>
      <c r="S14" s="338">
        <v>0.97</v>
      </c>
      <c r="T14" s="338">
        <v>0.97</v>
      </c>
      <c r="U14" s="338">
        <v>0.97</v>
      </c>
      <c r="V14" s="338">
        <v>0.97</v>
      </c>
      <c r="W14" s="338">
        <v>0.97</v>
      </c>
      <c r="X14" s="338">
        <v>0.97</v>
      </c>
      <c r="Y14" s="338">
        <v>0.97</v>
      </c>
      <c r="Z14" s="338">
        <v>0.97</v>
      </c>
      <c r="AA14" s="338">
        <v>0.97</v>
      </c>
      <c r="AB14" s="338">
        <v>0.97</v>
      </c>
      <c r="AC14" s="338">
        <v>0.97</v>
      </c>
      <c r="AD14" s="338">
        <v>0.97</v>
      </c>
      <c r="AE14" s="338">
        <v>0.97</v>
      </c>
      <c r="AF14" s="338">
        <v>0.97</v>
      </c>
      <c r="AG14" s="41"/>
    </row>
    <row r="15" spans="1:33" ht="16.5" thickBot="1">
      <c r="A15">
        <v>6</v>
      </c>
      <c r="B15" s="40" t="s">
        <v>711</v>
      </c>
      <c r="C15" s="284">
        <v>454838.72221500013</v>
      </c>
      <c r="D15" s="99" t="s">
        <v>128</v>
      </c>
      <c r="J15" s="336">
        <v>552980.31450440572</v>
      </c>
      <c r="K15" s="336">
        <v>575265.42117893323</v>
      </c>
      <c r="L15" s="336">
        <v>598448.61765244417</v>
      </c>
      <c r="M15" s="336">
        <v>622566.09694383771</v>
      </c>
      <c r="N15" s="336">
        <v>647655.51065067435</v>
      </c>
      <c r="O15" s="336">
        <v>673756.0277298966</v>
      </c>
      <c r="P15" s="336">
        <v>700908.39564741147</v>
      </c>
      <c r="Q15" s="336">
        <v>729155.00399200222</v>
      </c>
      <c r="R15" s="336">
        <v>758539.9506528799</v>
      </c>
      <c r="S15" s="336">
        <v>789109.11066419107</v>
      </c>
      <c r="T15" s="336">
        <v>820910.2078239579</v>
      </c>
      <c r="U15" s="336">
        <v>853992.88919926342</v>
      </c>
      <c r="V15" s="336">
        <v>888408.80263399379</v>
      </c>
      <c r="W15" s="336">
        <v>924211.67738014378</v>
      </c>
      <c r="X15" s="336">
        <v>961457.40797856369</v>
      </c>
      <c r="Y15" s="336">
        <v>1000204.1415200998</v>
      </c>
      <c r="Z15" s="336">
        <v>1040512.3684233596</v>
      </c>
      <c r="AA15" s="336">
        <v>1082445.0168708209</v>
      </c>
      <c r="AB15" s="336">
        <v>1126067.5510507154</v>
      </c>
      <c r="AC15" s="336">
        <v>1171448.0733580592</v>
      </c>
      <c r="AD15" s="336">
        <v>1218657.4307143891</v>
      </c>
      <c r="AE15" s="336">
        <v>1267769.3251721787</v>
      </c>
      <c r="AF15" s="336">
        <v>1318860.428976618</v>
      </c>
      <c r="AG15" s="41"/>
    </row>
    <row r="16" spans="1:33" ht="16.5" thickBot="1">
      <c r="A16"/>
      <c r="B16" s="87" t="s">
        <v>441</v>
      </c>
      <c r="C16" s="274">
        <v>454838.72221500013</v>
      </c>
      <c r="F16" s="274">
        <v>454838.72221500013</v>
      </c>
      <c r="L16" s="41"/>
      <c r="M16" s="41"/>
      <c r="N16" s="41"/>
      <c r="O16" s="41"/>
      <c r="P16" s="41"/>
      <c r="Q16" s="41"/>
      <c r="R16" s="41"/>
      <c r="S16" s="41"/>
      <c r="T16" s="41"/>
      <c r="U16" s="41"/>
      <c r="V16" s="41"/>
      <c r="W16" s="41"/>
      <c r="X16" s="41"/>
      <c r="Y16" s="41"/>
      <c r="Z16" s="41"/>
      <c r="AA16" s="41"/>
      <c r="AB16" s="41"/>
      <c r="AC16" s="41"/>
      <c r="AD16" s="41"/>
      <c r="AE16" s="41"/>
      <c r="AF16" s="41"/>
      <c r="AG16" s="41"/>
    </row>
    <row r="17" spans="1:33" ht="16.5" thickBot="1">
      <c r="A17"/>
      <c r="I17" s="274">
        <v>6783165.9458894841</v>
      </c>
      <c r="J17" s="276">
        <v>0</v>
      </c>
      <c r="K17" s="276">
        <v>0</v>
      </c>
      <c r="L17" s="276">
        <v>0</v>
      </c>
      <c r="M17" s="276">
        <v>0</v>
      </c>
      <c r="N17" s="276">
        <v>194296.65319520229</v>
      </c>
      <c r="O17" s="276">
        <v>505317.02079742245</v>
      </c>
      <c r="P17" s="276">
        <v>525681.29673555866</v>
      </c>
      <c r="Q17" s="276">
        <v>546866.25299400161</v>
      </c>
      <c r="R17" s="276">
        <v>758539.9506528799</v>
      </c>
      <c r="S17" s="276">
        <v>789109.11066419107</v>
      </c>
      <c r="T17" s="276">
        <v>820910.2078239579</v>
      </c>
      <c r="U17" s="276">
        <v>853992.88919926342</v>
      </c>
      <c r="V17" s="276">
        <v>888408.80263399379</v>
      </c>
      <c r="W17" s="276">
        <v>924211.67738014378</v>
      </c>
      <c r="X17" s="276">
        <v>961457.40797856369</v>
      </c>
      <c r="Y17" s="276">
        <v>1000204.1415200998</v>
      </c>
      <c r="Z17" s="276">
        <v>1040512.3684233596</v>
      </c>
      <c r="AA17" s="276">
        <v>1082445.0168708209</v>
      </c>
      <c r="AB17" s="276">
        <v>1126067.5510507154</v>
      </c>
      <c r="AC17" s="276">
        <v>1171448.0733580592</v>
      </c>
      <c r="AD17" s="276">
        <v>1218657.4307143891</v>
      </c>
      <c r="AE17" s="276">
        <v>1267769.3251721787</v>
      </c>
      <c r="AF17" s="276">
        <v>329715.1072441545</v>
      </c>
      <c r="AG17" s="41"/>
    </row>
    <row r="18" spans="1:33">
      <c r="A18"/>
      <c r="I18" s="543"/>
      <c r="J18" s="276"/>
      <c r="K18" s="276"/>
      <c r="L18" s="276"/>
      <c r="M18" s="276"/>
      <c r="N18" s="276"/>
      <c r="O18" s="276"/>
      <c r="P18" s="276"/>
      <c r="Q18" s="276"/>
      <c r="R18" s="276"/>
      <c r="S18" s="276"/>
      <c r="T18" s="276"/>
      <c r="U18" s="276"/>
      <c r="V18" s="276"/>
      <c r="W18" s="276"/>
      <c r="X18" s="276"/>
      <c r="Y18" s="276"/>
      <c r="Z18" s="276"/>
      <c r="AA18" s="276"/>
      <c r="AB18" s="276"/>
      <c r="AC18" s="276"/>
      <c r="AD18" s="276"/>
      <c r="AE18" s="276"/>
      <c r="AF18" s="276"/>
      <c r="AG18" s="41"/>
    </row>
    <row r="19" spans="1:33">
      <c r="A19"/>
      <c r="I19" s="543"/>
      <c r="J19" s="276"/>
      <c r="K19" s="276"/>
      <c r="L19" s="276"/>
      <c r="M19" s="276"/>
      <c r="N19" s="276"/>
      <c r="O19" s="276"/>
      <c r="P19" s="276"/>
      <c r="Q19" s="276"/>
      <c r="R19" s="276"/>
      <c r="S19" s="276"/>
      <c r="T19" s="276"/>
      <c r="U19" s="276"/>
      <c r="V19" s="276"/>
      <c r="W19" s="276"/>
      <c r="X19" s="276"/>
      <c r="Y19" s="276"/>
      <c r="Z19" s="276"/>
      <c r="AA19" s="276"/>
      <c r="AB19" s="276"/>
      <c r="AC19" s="276"/>
      <c r="AD19" s="276"/>
      <c r="AE19" s="276"/>
      <c r="AF19" s="276"/>
      <c r="AG19" s="41"/>
    </row>
    <row r="20" spans="1:33" ht="21">
      <c r="A20" s="185" t="s">
        <v>712</v>
      </c>
    </row>
    <row r="21" spans="1:33">
      <c r="A21">
        <v>1</v>
      </c>
      <c r="B21" s="40" t="s">
        <v>713</v>
      </c>
    </row>
    <row r="22" spans="1:33">
      <c r="A22"/>
    </row>
    <row r="23" spans="1:33">
      <c r="A23"/>
    </row>
    <row r="24" spans="1:33" ht="21">
      <c r="A24" s="185" t="s">
        <v>714</v>
      </c>
      <c r="C24" s="131" t="s">
        <v>579</v>
      </c>
      <c r="D24" s="40"/>
    </row>
    <row r="25" spans="1:33">
      <c r="B25" s="272" t="s">
        <v>581</v>
      </c>
      <c r="C25" s="623" t="s">
        <v>145</v>
      </c>
      <c r="D25" s="623"/>
      <c r="E25" s="42"/>
      <c r="G25" s="42"/>
    </row>
    <row r="26" spans="1:33">
      <c r="B26" s="40" t="s">
        <v>715</v>
      </c>
      <c r="C26" s="41">
        <v>2</v>
      </c>
      <c r="D26" s="41">
        <v>3</v>
      </c>
    </row>
    <row r="27" spans="1:33">
      <c r="B27" s="40" t="s">
        <v>716</v>
      </c>
      <c r="C27" s="41">
        <v>1</v>
      </c>
      <c r="D27" s="41">
        <v>1</v>
      </c>
      <c r="E27" s="40"/>
      <c r="F27" s="40"/>
      <c r="G27" s="40"/>
      <c r="H27" s="40"/>
      <c r="I27" s="40"/>
      <c r="J27" s="40"/>
      <c r="K27" s="40"/>
    </row>
    <row r="28" spans="1:33">
      <c r="B28" s="40" t="s">
        <v>717</v>
      </c>
      <c r="C28" s="41">
        <v>1</v>
      </c>
      <c r="D28" s="41">
        <v>2</v>
      </c>
    </row>
    <row r="29" spans="1:33">
      <c r="B29" s="40" t="s">
        <v>718</v>
      </c>
      <c r="C29" s="41">
        <v>1</v>
      </c>
      <c r="D29" s="41">
        <v>2</v>
      </c>
    </row>
    <row r="30" spans="1:33">
      <c r="B30" s="40" t="s">
        <v>30</v>
      </c>
      <c r="C30" s="271">
        <v>5</v>
      </c>
      <c r="D30" s="271">
        <v>8</v>
      </c>
    </row>
    <row r="31" spans="1:33">
      <c r="C31" s="41" t="s">
        <v>592</v>
      </c>
      <c r="D31" s="270">
        <v>6.5</v>
      </c>
    </row>
    <row r="32" spans="1:33" ht="21">
      <c r="A32" s="185" t="s">
        <v>719</v>
      </c>
      <c r="I32" s="40"/>
      <c r="J32" s="40"/>
      <c r="K32" s="40"/>
    </row>
    <row r="33" spans="2:16">
      <c r="B33" s="91" t="s">
        <v>720</v>
      </c>
      <c r="C33" t="s">
        <v>637</v>
      </c>
      <c r="D33"/>
      <c r="E33"/>
      <c r="F33"/>
      <c r="G33"/>
      <c r="J33" s="91" t="s">
        <v>720</v>
      </c>
      <c r="K33" t="s">
        <v>721</v>
      </c>
      <c r="L33"/>
      <c r="M33"/>
      <c r="N33"/>
    </row>
    <row r="34" spans="2:16">
      <c r="B34"/>
      <c r="C34"/>
      <c r="D34"/>
      <c r="E34"/>
      <c r="F34"/>
      <c r="G34"/>
      <c r="J34"/>
      <c r="K34"/>
      <c r="L34"/>
      <c r="M34"/>
      <c r="N34"/>
    </row>
    <row r="35" spans="2:16">
      <c r="B35" s="91" t="s">
        <v>722</v>
      </c>
      <c r="C35" s="91" t="s">
        <v>558</v>
      </c>
      <c r="D35"/>
      <c r="E35"/>
      <c r="F35"/>
      <c r="G35"/>
      <c r="J35" s="91" t="s">
        <v>722</v>
      </c>
      <c r="K35" s="91" t="s">
        <v>558</v>
      </c>
      <c r="L35"/>
      <c r="M35"/>
      <c r="N35"/>
    </row>
    <row r="36" spans="2:16">
      <c r="B36" s="91" t="s">
        <v>560</v>
      </c>
      <c r="C36">
        <v>2012</v>
      </c>
      <c r="D36">
        <v>2013</v>
      </c>
      <c r="E36">
        <v>2014</v>
      </c>
      <c r="F36" t="s">
        <v>54</v>
      </c>
      <c r="G36" t="s">
        <v>442</v>
      </c>
      <c r="J36" s="91" t="s">
        <v>560</v>
      </c>
      <c r="K36">
        <v>2012</v>
      </c>
      <c r="L36">
        <v>2013</v>
      </c>
      <c r="M36">
        <v>2014</v>
      </c>
      <c r="N36" t="s">
        <v>54</v>
      </c>
    </row>
    <row r="37" spans="2:16">
      <c r="B37" s="195" t="s">
        <v>723</v>
      </c>
      <c r="C37" s="17">
        <v>1419309</v>
      </c>
      <c r="D37" s="17">
        <v>1496613</v>
      </c>
      <c r="E37" s="17">
        <v>1569142</v>
      </c>
      <c r="F37" s="17">
        <v>4485064</v>
      </c>
      <c r="G37" s="17">
        <v>1495021.3333333333</v>
      </c>
      <c r="J37" s="195" t="s">
        <v>723</v>
      </c>
      <c r="K37" s="17">
        <v>2494405</v>
      </c>
      <c r="L37" s="17">
        <v>2518436</v>
      </c>
      <c r="M37" s="17">
        <v>2546052</v>
      </c>
      <c r="N37" s="17">
        <v>7558893</v>
      </c>
    </row>
    <row r="38" spans="2:16">
      <c r="B38" s="195" t="s">
        <v>724</v>
      </c>
      <c r="C38" s="17">
        <v>6250</v>
      </c>
      <c r="D38" s="17">
        <v>7920</v>
      </c>
      <c r="E38" s="17">
        <v>9447</v>
      </c>
      <c r="F38" s="17">
        <v>23617</v>
      </c>
      <c r="G38" s="17">
        <v>7872.333333333333</v>
      </c>
      <c r="J38" s="195" t="s">
        <v>724</v>
      </c>
      <c r="K38" s="17">
        <v>151</v>
      </c>
      <c r="L38" s="17">
        <v>228</v>
      </c>
      <c r="M38" s="17">
        <v>181</v>
      </c>
      <c r="N38" s="17">
        <v>560</v>
      </c>
    </row>
    <row r="39" spans="2:16">
      <c r="B39" s="195" t="s">
        <v>725</v>
      </c>
      <c r="C39" s="17">
        <v>1179</v>
      </c>
      <c r="D39" s="17">
        <v>1183</v>
      </c>
      <c r="E39" s="17">
        <v>921</v>
      </c>
      <c r="F39" s="17">
        <v>3283</v>
      </c>
      <c r="G39" s="342">
        <v>1094.3333333333333</v>
      </c>
      <c r="J39" s="195" t="s">
        <v>725</v>
      </c>
      <c r="K39" s="17">
        <v>181</v>
      </c>
      <c r="L39" s="17">
        <v>194</v>
      </c>
      <c r="M39" s="17">
        <v>265</v>
      </c>
      <c r="N39" s="17">
        <v>640</v>
      </c>
    </row>
    <row r="40" spans="2:16">
      <c r="B40" s="195" t="s">
        <v>564</v>
      </c>
      <c r="C40" s="17">
        <v>54976</v>
      </c>
      <c r="D40" s="17">
        <v>58882</v>
      </c>
      <c r="E40" s="17">
        <v>57561</v>
      </c>
      <c r="F40" s="17">
        <v>171419</v>
      </c>
      <c r="G40" s="342">
        <v>57139.666666666664</v>
      </c>
      <c r="H40" s="473">
        <v>1.1378517191737431E-2</v>
      </c>
      <c r="I40" s="471">
        <v>0.77375565610859731</v>
      </c>
      <c r="J40" s="195" t="s">
        <v>564</v>
      </c>
      <c r="K40" s="17">
        <v>4536</v>
      </c>
      <c r="L40" s="17">
        <v>5002</v>
      </c>
      <c r="M40" s="17">
        <v>5762</v>
      </c>
      <c r="N40" s="17">
        <v>15300</v>
      </c>
      <c r="O40" s="473">
        <v>1.9712559954205016E-3</v>
      </c>
      <c r="P40" s="472">
        <v>0.17324366279043277</v>
      </c>
    </row>
    <row r="41" spans="2:16">
      <c r="B41" s="195" t="s">
        <v>726</v>
      </c>
      <c r="C41" s="17">
        <v>9772</v>
      </c>
      <c r="D41" s="17">
        <v>10760</v>
      </c>
      <c r="E41" s="17">
        <v>10859</v>
      </c>
      <c r="F41" s="17">
        <v>31391</v>
      </c>
      <c r="G41" s="342">
        <v>10463.666666666666</v>
      </c>
      <c r="J41" s="195" t="s">
        <v>726</v>
      </c>
      <c r="K41" s="17">
        <v>378</v>
      </c>
      <c r="L41" s="17">
        <v>366</v>
      </c>
      <c r="M41" s="17">
        <v>368</v>
      </c>
      <c r="N41" s="17">
        <v>1112</v>
      </c>
    </row>
    <row r="42" spans="2:16">
      <c r="B42" s="195" t="s">
        <v>727</v>
      </c>
      <c r="C42" s="17">
        <v>5272</v>
      </c>
      <c r="D42" s="17">
        <v>6593</v>
      </c>
      <c r="E42" s="17">
        <v>7211</v>
      </c>
      <c r="F42" s="17">
        <v>19076</v>
      </c>
      <c r="G42" s="17">
        <v>6358.666666666667</v>
      </c>
      <c r="J42" s="195" t="s">
        <v>727</v>
      </c>
      <c r="K42" s="17">
        <v>2785</v>
      </c>
      <c r="L42" s="17">
        <v>3784</v>
      </c>
      <c r="M42" s="17">
        <v>3873</v>
      </c>
      <c r="N42" s="17">
        <v>10442</v>
      </c>
    </row>
    <row r="43" spans="2:16">
      <c r="B43" s="195" t="s">
        <v>728</v>
      </c>
      <c r="C43" s="17">
        <v>24297</v>
      </c>
      <c r="D43" s="17">
        <v>23659</v>
      </c>
      <c r="E43" s="17">
        <v>22037</v>
      </c>
      <c r="F43" s="17">
        <v>69993</v>
      </c>
      <c r="G43" s="342">
        <v>23331</v>
      </c>
      <c r="J43" s="195" t="s">
        <v>728</v>
      </c>
      <c r="K43" s="17">
        <v>1033</v>
      </c>
      <c r="L43" s="17">
        <v>922</v>
      </c>
      <c r="M43" s="17">
        <v>2930</v>
      </c>
      <c r="N43" s="17">
        <v>4885</v>
      </c>
    </row>
    <row r="44" spans="2:16">
      <c r="B44" s="195" t="s">
        <v>729</v>
      </c>
      <c r="C44" s="17">
        <v>5617</v>
      </c>
      <c r="D44" s="17">
        <v>4170</v>
      </c>
      <c r="E44" s="17">
        <v>4373</v>
      </c>
      <c r="F44" s="17">
        <v>14160</v>
      </c>
      <c r="G44" s="342">
        <v>4720</v>
      </c>
      <c r="J44" s="195" t="s">
        <v>729</v>
      </c>
      <c r="K44" s="17">
        <v>55</v>
      </c>
      <c r="L44" s="17">
        <v>80</v>
      </c>
      <c r="M44" s="17">
        <v>78</v>
      </c>
      <c r="N44" s="17">
        <v>213</v>
      </c>
    </row>
    <row r="45" spans="2:16">
      <c r="B45" s="195" t="s">
        <v>730</v>
      </c>
      <c r="C45" s="17">
        <v>167</v>
      </c>
      <c r="D45" s="17">
        <v>316</v>
      </c>
      <c r="E45" s="17">
        <v>476</v>
      </c>
      <c r="F45" s="17">
        <v>959</v>
      </c>
      <c r="G45" s="342">
        <v>319.66666666666669</v>
      </c>
      <c r="J45" s="195" t="s">
        <v>730</v>
      </c>
      <c r="K45" s="17">
        <v>78</v>
      </c>
      <c r="L45" s="17">
        <v>73</v>
      </c>
      <c r="M45" s="17">
        <v>106</v>
      </c>
      <c r="N45" s="17">
        <v>257</v>
      </c>
    </row>
    <row r="46" spans="2:16">
      <c r="B46" s="195" t="s">
        <v>731</v>
      </c>
      <c r="C46" s="17">
        <v>10686</v>
      </c>
      <c r="D46" s="17">
        <v>12190</v>
      </c>
      <c r="E46" s="17">
        <v>7583</v>
      </c>
      <c r="F46" s="17">
        <v>30459</v>
      </c>
      <c r="G46" s="17">
        <v>10153</v>
      </c>
      <c r="J46" s="195" t="s">
        <v>731</v>
      </c>
      <c r="K46" s="17">
        <v>2641</v>
      </c>
      <c r="L46" s="17">
        <v>2869</v>
      </c>
      <c r="M46" s="17">
        <v>3172</v>
      </c>
      <c r="N46" s="17">
        <v>8682</v>
      </c>
    </row>
    <row r="47" spans="2:16">
      <c r="B47" s="195" t="s">
        <v>732</v>
      </c>
      <c r="C47" s="17">
        <v>3127153</v>
      </c>
      <c r="D47" s="17">
        <v>3071472</v>
      </c>
      <c r="E47" s="17">
        <v>3084141</v>
      </c>
      <c r="F47" s="17">
        <v>9282766</v>
      </c>
      <c r="G47" s="17">
        <v>3094255.3333333335</v>
      </c>
      <c r="J47" s="195" t="s">
        <v>732</v>
      </c>
      <c r="K47" s="17">
        <v>8534</v>
      </c>
      <c r="L47" s="17">
        <v>8115</v>
      </c>
      <c r="M47" s="17">
        <v>8158</v>
      </c>
      <c r="N47" s="17">
        <v>24807</v>
      </c>
    </row>
    <row r="48" spans="2:16">
      <c r="B48" s="195" t="s">
        <v>733</v>
      </c>
      <c r="C48" s="17">
        <v>19517</v>
      </c>
      <c r="D48" s="17">
        <v>20574</v>
      </c>
      <c r="E48" s="17">
        <v>18397</v>
      </c>
      <c r="F48" s="17">
        <v>58488</v>
      </c>
      <c r="G48" s="17">
        <v>19496</v>
      </c>
      <c r="J48" s="195" t="s">
        <v>733</v>
      </c>
      <c r="K48" s="17">
        <v>42734</v>
      </c>
      <c r="L48" s="17">
        <v>44873</v>
      </c>
      <c r="M48" s="17">
        <v>44797</v>
      </c>
      <c r="N48" s="17">
        <v>132404</v>
      </c>
    </row>
    <row r="49" spans="1:14">
      <c r="B49" s="195" t="s">
        <v>734</v>
      </c>
      <c r="C49" s="17">
        <v>19131</v>
      </c>
      <c r="D49" s="17">
        <v>18616</v>
      </c>
      <c r="E49" s="17">
        <v>18298</v>
      </c>
      <c r="F49" s="17">
        <v>56045</v>
      </c>
      <c r="G49" s="342">
        <v>18681.666666666668</v>
      </c>
      <c r="J49" s="195" t="s">
        <v>734</v>
      </c>
      <c r="K49" s="17">
        <v>763</v>
      </c>
      <c r="L49" s="17">
        <v>1043</v>
      </c>
      <c r="M49" s="17">
        <v>1276</v>
      </c>
      <c r="N49" s="17">
        <v>3082</v>
      </c>
    </row>
    <row r="50" spans="1:14">
      <c r="B50" s="195" t="s">
        <v>735</v>
      </c>
      <c r="C50" s="17">
        <v>266026</v>
      </c>
      <c r="D50" s="17">
        <v>287862</v>
      </c>
      <c r="E50" s="17">
        <v>264535</v>
      </c>
      <c r="F50" s="17">
        <v>818423</v>
      </c>
      <c r="G50" s="17">
        <v>272807.66666666669</v>
      </c>
      <c r="J50" s="195" t="s">
        <v>735</v>
      </c>
      <c r="K50" s="17">
        <v>103</v>
      </c>
      <c r="L50" s="17">
        <v>80</v>
      </c>
      <c r="M50" s="17">
        <v>88</v>
      </c>
      <c r="N50" s="17">
        <v>271</v>
      </c>
    </row>
    <row r="51" spans="1:14">
      <c r="B51" s="195" t="s">
        <v>736</v>
      </c>
      <c r="C51" s="17"/>
      <c r="D51" s="17"/>
      <c r="E51" s="17">
        <v>1</v>
      </c>
      <c r="F51" s="17">
        <v>1</v>
      </c>
      <c r="G51" s="17">
        <v>1</v>
      </c>
      <c r="J51" s="195" t="s">
        <v>736</v>
      </c>
      <c r="K51" s="17">
        <v>1</v>
      </c>
      <c r="L51" s="17"/>
      <c r="M51" s="17"/>
      <c r="N51" s="17">
        <v>1</v>
      </c>
    </row>
    <row r="52" spans="1:14">
      <c r="B52" s="195" t="s">
        <v>54</v>
      </c>
      <c r="C52">
        <v>4969352</v>
      </c>
      <c r="D52">
        <v>5020810</v>
      </c>
      <c r="E52">
        <v>5074982</v>
      </c>
      <c r="F52">
        <v>15065144</v>
      </c>
      <c r="G52"/>
      <c r="I52" s="471">
        <v>0.56544333148444703</v>
      </c>
      <c r="J52" s="195" t="s">
        <v>54</v>
      </c>
      <c r="K52">
        <v>2558378</v>
      </c>
      <c r="L52">
        <v>2586065</v>
      </c>
      <c r="M52">
        <v>2617106</v>
      </c>
      <c r="N52" s="474">
        <v>7761549</v>
      </c>
    </row>
    <row r="53" spans="1:14" s="41" customFormat="1">
      <c r="A53" s="40"/>
      <c r="B53"/>
      <c r="C53"/>
      <c r="D53" s="524">
        <v>1.0355072452102407E-2</v>
      </c>
      <c r="E53" s="524">
        <v>1.0789494125449878E-2</v>
      </c>
      <c r="F53"/>
      <c r="G53"/>
    </row>
    <row r="54" spans="1:14" s="41" customFormat="1" ht="16.5" thickBot="1">
      <c r="A54" s="40"/>
      <c r="B54"/>
      <c r="C54"/>
      <c r="D54"/>
      <c r="E54"/>
      <c r="F54" s="90" t="s">
        <v>737</v>
      </c>
      <c r="G54" s="525">
        <v>92419.000000000015</v>
      </c>
    </row>
    <row r="55" spans="1:14" s="41" customFormat="1">
      <c r="A55" s="40"/>
      <c r="B55" s="40"/>
      <c r="C55" s="40"/>
      <c r="D55" s="40"/>
      <c r="E55" s="40"/>
      <c r="F55" s="40"/>
      <c r="G55" s="40"/>
    </row>
    <row r="56" spans="1:14" s="41" customFormat="1">
      <c r="A56" s="40"/>
      <c r="B56" s="40"/>
      <c r="C56" s="40"/>
      <c r="D56" s="40"/>
      <c r="E56" s="40"/>
      <c r="F56" s="40"/>
      <c r="G56" s="40"/>
    </row>
    <row r="57" spans="1:14" s="41" customFormat="1">
      <c r="A57" s="40"/>
      <c r="B57" s="40"/>
      <c r="C57" s="40"/>
      <c r="D57" s="40"/>
      <c r="E57" s="40"/>
      <c r="F57" s="40"/>
      <c r="G57" s="40"/>
    </row>
    <row r="58" spans="1:14" s="41" customFormat="1">
      <c r="A58" s="40"/>
      <c r="B58" s="40"/>
      <c r="C58" s="40"/>
      <c r="D58" s="40"/>
      <c r="E58" s="40"/>
      <c r="F58" s="40"/>
      <c r="G58" s="40"/>
    </row>
    <row r="59" spans="1:14" s="41" customFormat="1">
      <c r="A59" s="40"/>
      <c r="B59" s="40"/>
      <c r="C59" s="40"/>
      <c r="D59" s="40"/>
      <c r="E59" s="40"/>
      <c r="F59" s="40"/>
      <c r="G59" s="40"/>
    </row>
    <row r="60" spans="1:14" s="41" customFormat="1">
      <c r="A60" s="40"/>
      <c r="B60" s="40"/>
      <c r="C60" s="40"/>
      <c r="D60" s="40"/>
      <c r="E60" s="40"/>
      <c r="F60" s="40"/>
      <c r="G60" s="40"/>
    </row>
    <row r="61" spans="1:14" s="41" customFormat="1">
      <c r="A61" s="40"/>
      <c r="B61" s="40"/>
      <c r="C61" s="40"/>
      <c r="D61" s="40"/>
      <c r="E61" s="40"/>
      <c r="F61" s="40"/>
      <c r="G61" s="40"/>
    </row>
    <row r="62" spans="1:14" s="41" customFormat="1">
      <c r="A62" s="40"/>
      <c r="B62" s="40"/>
      <c r="C62" s="40"/>
      <c r="D62" s="40"/>
      <c r="E62" s="40"/>
      <c r="F62" s="40"/>
      <c r="G62" s="40"/>
    </row>
    <row r="63" spans="1:14" s="41" customFormat="1">
      <c r="A63" s="40"/>
      <c r="B63" s="40"/>
      <c r="C63" s="40"/>
      <c r="D63" s="40"/>
      <c r="E63" s="40"/>
      <c r="F63" s="40"/>
      <c r="G63" s="40"/>
    </row>
    <row r="64" spans="1:14" s="41" customFormat="1">
      <c r="A64" s="40"/>
      <c r="B64" s="40"/>
      <c r="C64" s="40"/>
      <c r="D64" s="40"/>
      <c r="E64" s="40"/>
      <c r="F64" s="40"/>
      <c r="G64" s="40"/>
    </row>
    <row r="65" spans="1:7" s="41" customFormat="1">
      <c r="A65" s="40"/>
      <c r="B65" s="40"/>
      <c r="C65" s="40"/>
      <c r="D65" s="40"/>
      <c r="E65" s="40"/>
      <c r="F65" s="40"/>
      <c r="G65" s="40"/>
    </row>
    <row r="66" spans="1:7" s="41" customFormat="1">
      <c r="A66" s="40"/>
      <c r="B66" s="40"/>
      <c r="D66" s="40"/>
      <c r="E66" s="40"/>
      <c r="F66" s="40"/>
      <c r="G66" s="40"/>
    </row>
    <row r="67" spans="1:7" s="41" customFormat="1">
      <c r="A67" s="40"/>
      <c r="B67" s="40"/>
      <c r="D67" s="40"/>
      <c r="E67" s="40"/>
      <c r="F67" s="40"/>
      <c r="G67" s="40"/>
    </row>
    <row r="68" spans="1:7" s="41" customFormat="1">
      <c r="A68" s="40"/>
      <c r="B68" s="40"/>
      <c r="D68" s="40"/>
      <c r="E68" s="40"/>
      <c r="F68" s="40"/>
      <c r="G68" s="40"/>
    </row>
    <row r="89" spans="3:5">
      <c r="C89" s="40"/>
      <c r="D89" s="40"/>
      <c r="E89" s="40"/>
    </row>
  </sheetData>
  <mergeCells count="1">
    <mergeCell ref="C25:D25"/>
  </mergeCells>
  <phoneticPr fontId="64" type="noConversion"/>
  <hyperlinks>
    <hyperlink ref="A2" location="'Summary Detail'!A1" display="Back to Summary Detail" xr:uid="{00000000-0004-0000-1C00-000000000000}"/>
    <hyperlink ref="A1" location="Summary_RealizationSchedule!A1" display="Back to Summary" xr:uid="{00000000-0004-0000-1C00-000001000000}"/>
  </hyperlink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E19"/>
  <sheetViews>
    <sheetView workbookViewId="0">
      <selection activeCell="B11" sqref="B11"/>
    </sheetView>
  </sheetViews>
  <sheetFormatPr defaultRowHeight="15"/>
  <cols>
    <col min="1" max="1" width="15.28515625" style="19" customWidth="1"/>
    <col min="2" max="2" width="32.42578125" style="19" bestFit="1" customWidth="1"/>
    <col min="3" max="4" width="15.28515625" style="19" customWidth="1"/>
    <col min="5" max="5" width="162.7109375" bestFit="1" customWidth="1"/>
  </cols>
  <sheetData>
    <row r="1" spans="1:5" ht="15.75">
      <c r="A1" s="570" t="s">
        <v>0</v>
      </c>
      <c r="B1" s="570" t="s">
        <v>1</v>
      </c>
      <c r="C1" s="600" t="s">
        <v>2</v>
      </c>
      <c r="D1" s="600"/>
      <c r="E1" s="550" t="s">
        <v>3</v>
      </c>
    </row>
    <row r="2" spans="1:5">
      <c r="C2" s="19" t="s">
        <v>4</v>
      </c>
      <c r="D2" s="19" t="s">
        <v>5</v>
      </c>
    </row>
    <row r="3" spans="1:5">
      <c r="A3" s="540">
        <v>44236</v>
      </c>
      <c r="B3" s="541" t="s">
        <v>6</v>
      </c>
      <c r="C3" s="488">
        <f>'Eliminate Regular Meter Reading'!C65</f>
        <v>1662268</v>
      </c>
      <c r="D3" s="488">
        <f>'Eliminate Regular Meter Reading'!D65</f>
        <v>3889497</v>
      </c>
      <c r="E3" t="s">
        <v>7</v>
      </c>
    </row>
    <row r="4" spans="1:5">
      <c r="A4" s="540">
        <v>44236</v>
      </c>
      <c r="B4" s="541" t="s">
        <v>8</v>
      </c>
      <c r="C4" s="488">
        <f>'Reduce Special Meter Reading'!G15</f>
        <v>13025</v>
      </c>
      <c r="D4" s="488">
        <f>SUM('Reduce Special Meter Reading'!J15:AE15)</f>
        <v>30488</v>
      </c>
      <c r="E4" t="s">
        <v>9</v>
      </c>
    </row>
    <row r="5" spans="1:5">
      <c r="A5" s="540">
        <v>44236</v>
      </c>
      <c r="B5" s="541" t="s">
        <v>10</v>
      </c>
      <c r="C5" s="488">
        <v>254992</v>
      </c>
      <c r="D5" s="488">
        <v>622954</v>
      </c>
      <c r="E5" t="s">
        <v>11</v>
      </c>
    </row>
    <row r="6" spans="1:5">
      <c r="A6" s="540">
        <v>44236</v>
      </c>
      <c r="B6" s="541" t="s">
        <v>12</v>
      </c>
      <c r="C6" s="488">
        <v>92958</v>
      </c>
      <c r="D6" s="488">
        <v>227100</v>
      </c>
      <c r="E6" t="s">
        <v>11</v>
      </c>
    </row>
    <row r="7" spans="1:5">
      <c r="A7" s="540">
        <v>44236</v>
      </c>
      <c r="B7" s="541" t="s">
        <v>13</v>
      </c>
      <c r="C7" s="488">
        <v>41907</v>
      </c>
      <c r="D7" s="488">
        <v>98421</v>
      </c>
      <c r="E7" t="s">
        <v>11</v>
      </c>
    </row>
    <row r="8" spans="1:5">
      <c r="A8" s="540">
        <v>44236</v>
      </c>
      <c r="B8" s="541" t="s">
        <v>14</v>
      </c>
      <c r="C8" s="488">
        <v>38035</v>
      </c>
      <c r="D8" s="488">
        <v>92921</v>
      </c>
      <c r="E8" t="s">
        <v>11</v>
      </c>
    </row>
    <row r="9" spans="1:5">
      <c r="A9" s="540">
        <v>44236</v>
      </c>
      <c r="B9" s="541" t="s">
        <v>15</v>
      </c>
      <c r="C9" s="488">
        <v>211650</v>
      </c>
      <c r="D9" s="488">
        <v>347472</v>
      </c>
      <c r="E9" t="s">
        <v>11</v>
      </c>
    </row>
    <row r="10" spans="1:5">
      <c r="A10" s="540">
        <v>44236</v>
      </c>
      <c r="B10" s="541" t="s">
        <v>16</v>
      </c>
      <c r="C10" s="488">
        <v>193754</v>
      </c>
      <c r="D10" s="488">
        <v>318573</v>
      </c>
      <c r="E10" t="s">
        <v>11</v>
      </c>
    </row>
    <row r="11" spans="1:5">
      <c r="A11" s="540">
        <v>44236</v>
      </c>
      <c r="B11" s="496" t="s">
        <v>17</v>
      </c>
      <c r="C11" s="488">
        <v>1695284.9741935451</v>
      </c>
      <c r="D11" s="488">
        <v>1813390</v>
      </c>
      <c r="E11" t="s">
        <v>18</v>
      </c>
    </row>
    <row r="12" spans="1:5">
      <c r="A12" s="540">
        <v>44238</v>
      </c>
      <c r="B12" s="496" t="s">
        <v>19</v>
      </c>
      <c r="C12" s="488">
        <v>767289.40198807698</v>
      </c>
      <c r="D12" s="488">
        <v>1540273.8985861158</v>
      </c>
      <c r="E12" t="s">
        <v>20</v>
      </c>
    </row>
    <row r="13" spans="1:5">
      <c r="C13" s="488">
        <f>SUM(C3:C12)</f>
        <v>4971163.376181622</v>
      </c>
      <c r="D13" s="488">
        <f>SUM(D3:D12)</f>
        <v>8981089.8985861167</v>
      </c>
      <c r="E13" s="19"/>
    </row>
    <row r="14" spans="1:5">
      <c r="C14"/>
      <c r="D14"/>
    </row>
    <row r="15" spans="1:5">
      <c r="C15"/>
      <c r="D15"/>
    </row>
    <row r="17" spans="3:4">
      <c r="C17"/>
      <c r="D17"/>
    </row>
    <row r="18" spans="3:4">
      <c r="C18"/>
      <c r="D18"/>
    </row>
    <row r="19" spans="3:4">
      <c r="C19"/>
      <c r="D19"/>
    </row>
  </sheetData>
  <mergeCells count="1">
    <mergeCell ref="C1:D1"/>
  </mergeCells>
  <hyperlinks>
    <hyperlink ref="B3" location="'Eliminate Regular Meter Reading'!A1" display="Meter Reading" xr:uid="{00000000-0004-0000-0200-000000000000}"/>
    <hyperlink ref="B4" location="'Reduce Special Meter Reading'!A1" display="Special Reads" xr:uid="{00000000-0004-0000-0200-000001000000}"/>
    <hyperlink ref="B5" location="'Estimated Bills'!A1" display="Estimated Bills" xr:uid="{00000000-0004-0000-0200-000002000000}"/>
    <hyperlink ref="B6" location="'Bill Inquiries'!A1" display="Bill Inquiries" xr:uid="{00000000-0004-0000-0200-000003000000}"/>
    <hyperlink ref="B7" location="'Billing Analysis'!A1" display="Billing Analysis" xr:uid="{00000000-0004-0000-0200-000004000000}"/>
    <hyperlink ref="B8" location="Rebilling!A1" display="Rebilling" xr:uid="{00000000-0004-0000-0200-000005000000}"/>
    <hyperlink ref="B9" location="'Slow Failed Meters'!A1" display="Slow/Failed Meters" xr:uid="{00000000-0004-0000-0200-000006000000}"/>
    <hyperlink ref="B10" location="'Stopped Meters'!A1" display="Stopped Meters" xr:uid="{00000000-0004-0000-0200-000007000000}"/>
    <hyperlink ref="B11" location="'Customer Meter Base Repairs'!A1" display="Customer Meter Base Repairs" xr:uid="{00000000-0004-0000-0200-000008000000}"/>
    <hyperlink ref="B12" location="'Natural Gas Meter Module Refres'!A1" display="Natural Gas Meter Module Refresh" xr:uid="{00000000-0004-0000-0200-000009000000}"/>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18">
    <tabColor rgb="FF09FF78"/>
  </sheetPr>
  <dimension ref="A1:AI47"/>
  <sheetViews>
    <sheetView workbookViewId="0"/>
  </sheetViews>
  <sheetFormatPr defaultColWidth="11.42578125" defaultRowHeight="15.75"/>
  <cols>
    <col min="1" max="1" width="4.140625" style="285" customWidth="1"/>
    <col min="2" max="2" width="62" style="285" customWidth="1"/>
    <col min="3" max="3" width="26.28515625" style="266" bestFit="1" customWidth="1"/>
    <col min="4" max="4" width="14.140625" style="266" customWidth="1"/>
    <col min="5" max="8" width="16.5703125" style="266" customWidth="1"/>
    <col min="9" max="9" width="4.5703125" style="266" customWidth="1"/>
    <col min="10" max="10" width="16.5703125" style="266" customWidth="1"/>
    <col min="11" max="11" width="12" style="285" bestFit="1" customWidth="1"/>
    <col min="12" max="33" width="12.7109375" style="285" bestFit="1" customWidth="1"/>
    <col min="34" max="34" width="12.7109375" style="285" customWidth="1"/>
    <col min="35" max="16384" width="11.42578125" style="285"/>
  </cols>
  <sheetData>
    <row r="1" spans="1:35">
      <c r="A1" s="9" t="s">
        <v>55</v>
      </c>
      <c r="K1" s="9" t="s">
        <v>55</v>
      </c>
    </row>
    <row r="2" spans="1:35" ht="18.75">
      <c r="B2" s="286" t="s">
        <v>738</v>
      </c>
    </row>
    <row r="3" spans="1:35">
      <c r="B3" s="303" t="s">
        <v>12</v>
      </c>
    </row>
    <row r="5" spans="1:35" ht="50.25" customHeight="1">
      <c r="B5" s="610" t="s">
        <v>739</v>
      </c>
      <c r="C5" s="610"/>
      <c r="D5" s="610"/>
      <c r="E5" s="610"/>
      <c r="F5" s="610"/>
      <c r="G5" s="610"/>
      <c r="H5" s="610"/>
      <c r="I5" s="610"/>
      <c r="J5" s="610"/>
      <c r="K5" s="279"/>
      <c r="L5" s="279" t="s">
        <v>678</v>
      </c>
      <c r="M5" s="279" t="s">
        <v>679</v>
      </c>
      <c r="N5" s="279" t="s">
        <v>680</v>
      </c>
      <c r="O5" s="279" t="s">
        <v>681</v>
      </c>
      <c r="P5" s="279" t="s">
        <v>682</v>
      </c>
      <c r="Q5" s="279" t="s">
        <v>683</v>
      </c>
      <c r="R5" s="279" t="s">
        <v>684</v>
      </c>
      <c r="S5" s="279" t="s">
        <v>685</v>
      </c>
      <c r="T5" s="279" t="s">
        <v>686</v>
      </c>
      <c r="U5" s="279" t="s">
        <v>687</v>
      </c>
      <c r="V5" s="279" t="s">
        <v>688</v>
      </c>
      <c r="W5" s="279" t="s">
        <v>689</v>
      </c>
      <c r="X5" s="279" t="s">
        <v>690</v>
      </c>
      <c r="Y5" s="279" t="s">
        <v>691</v>
      </c>
      <c r="Z5" s="279" t="s">
        <v>692</v>
      </c>
      <c r="AA5" s="279" t="s">
        <v>693</v>
      </c>
      <c r="AB5" s="279" t="s">
        <v>694</v>
      </c>
      <c r="AC5" s="279" t="s">
        <v>695</v>
      </c>
      <c r="AD5" s="279" t="s">
        <v>696</v>
      </c>
      <c r="AE5" s="279" t="s">
        <v>697</v>
      </c>
      <c r="AF5" s="279" t="s">
        <v>698</v>
      </c>
      <c r="AG5" s="279" t="s">
        <v>699</v>
      </c>
      <c r="AH5" s="279" t="s">
        <v>700</v>
      </c>
      <c r="AI5" s="40"/>
    </row>
    <row r="6" spans="1:35" ht="34.5" customHeight="1">
      <c r="B6" s="285" t="s">
        <v>410</v>
      </c>
      <c r="C6" s="287"/>
      <c r="D6" s="528"/>
      <c r="E6" s="528"/>
      <c r="F6" s="528"/>
      <c r="G6" s="528"/>
      <c r="H6" s="528"/>
      <c r="I6" s="528"/>
      <c r="J6" s="528"/>
      <c r="K6" s="279"/>
      <c r="L6" s="279">
        <v>2015</v>
      </c>
      <c r="M6" s="279">
        <v>2016</v>
      </c>
      <c r="N6" s="40">
        <v>2017</v>
      </c>
      <c r="O6" s="279">
        <v>2018</v>
      </c>
      <c r="P6" s="40">
        <v>2019</v>
      </c>
      <c r="Q6" s="279">
        <v>2020</v>
      </c>
      <c r="R6" s="40">
        <v>2021</v>
      </c>
      <c r="S6" s="279">
        <v>2022</v>
      </c>
      <c r="T6" s="40">
        <v>2023</v>
      </c>
      <c r="U6" s="279">
        <v>2024</v>
      </c>
      <c r="V6" s="40">
        <v>2025</v>
      </c>
      <c r="W6" s="279">
        <v>2026</v>
      </c>
      <c r="X6" s="40">
        <v>2027</v>
      </c>
      <c r="Y6" s="279">
        <v>2028</v>
      </c>
      <c r="Z6" s="40">
        <v>2029</v>
      </c>
      <c r="AA6" s="279">
        <v>2030</v>
      </c>
      <c r="AB6" s="40">
        <v>2031</v>
      </c>
      <c r="AC6" s="279">
        <v>2032</v>
      </c>
      <c r="AD6" s="40">
        <v>2033</v>
      </c>
      <c r="AE6" s="279">
        <v>2034</v>
      </c>
      <c r="AF6" s="40">
        <v>2035</v>
      </c>
      <c r="AG6" s="40">
        <v>2036</v>
      </c>
      <c r="AH6" s="40">
        <v>2037</v>
      </c>
      <c r="AI6" s="40"/>
    </row>
    <row r="7" spans="1:35" ht="31.5">
      <c r="C7" s="277" t="s">
        <v>701</v>
      </c>
      <c r="D7" s="287" t="s">
        <v>57</v>
      </c>
      <c r="F7" s="268"/>
      <c r="G7" s="268"/>
      <c r="H7" s="267"/>
      <c r="K7" s="41"/>
      <c r="L7" s="278">
        <v>0</v>
      </c>
      <c r="M7" s="19">
        <v>0</v>
      </c>
      <c r="N7" s="19">
        <v>0</v>
      </c>
      <c r="O7" s="19">
        <v>0</v>
      </c>
      <c r="P7" s="19">
        <v>0.3</v>
      </c>
      <c r="Q7" s="19">
        <v>0.75</v>
      </c>
      <c r="R7" s="19">
        <v>0.75</v>
      </c>
      <c r="S7" s="19">
        <v>0.75</v>
      </c>
      <c r="T7" s="19">
        <v>1</v>
      </c>
      <c r="U7" s="19">
        <v>1</v>
      </c>
      <c r="V7" s="19">
        <v>1</v>
      </c>
      <c r="W7" s="19">
        <v>1</v>
      </c>
      <c r="X7" s="19">
        <v>1</v>
      </c>
      <c r="Y7" s="19">
        <v>1</v>
      </c>
      <c r="Z7" s="19">
        <v>1</v>
      </c>
      <c r="AA7" s="19">
        <v>1</v>
      </c>
      <c r="AB7" s="19">
        <v>1</v>
      </c>
      <c r="AC7" s="19">
        <v>1</v>
      </c>
      <c r="AD7" s="19">
        <v>1</v>
      </c>
      <c r="AE7" s="19">
        <v>1</v>
      </c>
      <c r="AF7" s="19">
        <v>1</v>
      </c>
      <c r="AG7" s="19">
        <v>1</v>
      </c>
      <c r="AH7" s="19">
        <v>0.25</v>
      </c>
      <c r="AI7" s="40">
        <v>16.55</v>
      </c>
    </row>
    <row r="8" spans="1:35">
      <c r="B8" s="285" t="s">
        <v>702</v>
      </c>
      <c r="K8" s="278" t="s">
        <v>4</v>
      </c>
      <c r="L8" s="41"/>
      <c r="M8" s="41"/>
      <c r="N8" s="40"/>
      <c r="O8" s="40"/>
      <c r="P8" s="40"/>
      <c r="Q8" s="40"/>
      <c r="R8" s="40"/>
      <c r="S8" s="40"/>
      <c r="T8" s="40"/>
      <c r="U8" s="40"/>
      <c r="V8" s="40"/>
      <c r="W8" s="40"/>
      <c r="X8" s="40"/>
      <c r="Y8" s="40"/>
      <c r="Z8" s="40"/>
      <c r="AA8" s="40"/>
      <c r="AB8" s="40"/>
      <c r="AC8" s="40"/>
      <c r="AD8" s="40"/>
      <c r="AE8" s="40"/>
      <c r="AF8" s="40"/>
      <c r="AG8" s="40"/>
      <c r="AH8" s="40"/>
      <c r="AI8" s="40"/>
    </row>
    <row r="9" spans="1:35">
      <c r="A9" s="266"/>
      <c r="B9" s="285" t="s">
        <v>740</v>
      </c>
      <c r="C9" s="333">
        <v>650129.66666666663</v>
      </c>
      <c r="D9" s="288" t="s">
        <v>447</v>
      </c>
      <c r="K9" s="308">
        <v>6.5799999999999997E-2</v>
      </c>
      <c r="L9" s="86"/>
      <c r="M9" s="41"/>
      <c r="N9" s="40"/>
      <c r="O9" s="40"/>
      <c r="P9" s="40"/>
      <c r="Q9" s="40"/>
      <c r="R9" s="40"/>
      <c r="S9" s="40"/>
      <c r="T9" s="40"/>
      <c r="U9" s="40"/>
      <c r="V9" s="40"/>
      <c r="W9" s="40"/>
      <c r="X9" s="40"/>
      <c r="Y9" s="40"/>
      <c r="Z9" s="40"/>
      <c r="AA9" s="40"/>
      <c r="AB9" s="40"/>
      <c r="AC9" s="40"/>
      <c r="AD9" s="40"/>
      <c r="AE9" s="40"/>
      <c r="AF9" s="40"/>
      <c r="AG9" s="40"/>
      <c r="AH9" s="40"/>
      <c r="AI9" s="40"/>
    </row>
    <row r="10" spans="1:35">
      <c r="A10" s="266"/>
      <c r="B10" s="285" t="s">
        <v>741</v>
      </c>
      <c r="C10" s="288">
        <v>0.42666666666666669</v>
      </c>
      <c r="D10" s="288" t="s">
        <v>447</v>
      </c>
      <c r="K10" s="41"/>
      <c r="L10" s="276">
        <v>39609.18730544061</v>
      </c>
      <c r="M10" s="276">
        <v>40005.279178495017</v>
      </c>
      <c r="N10" s="276">
        <v>40405.331970279971</v>
      </c>
      <c r="O10" s="276">
        <v>40809.385289982769</v>
      </c>
      <c r="P10" s="276">
        <v>41217.479142882599</v>
      </c>
      <c r="Q10" s="276">
        <v>41629.653934311427</v>
      </c>
      <c r="R10" s="276">
        <v>42045.950473654542</v>
      </c>
      <c r="S10" s="276">
        <v>42466.409978391086</v>
      </c>
      <c r="T10" s="276">
        <v>42891.074078174999</v>
      </c>
      <c r="U10" s="276">
        <v>43319.984818956749</v>
      </c>
      <c r="V10" s="276">
        <v>43753.184667146314</v>
      </c>
      <c r="W10" s="276">
        <v>44190.716513817781</v>
      </c>
      <c r="X10" s="276">
        <v>44632.623678955955</v>
      </c>
      <c r="Y10" s="276">
        <v>45078.949915745514</v>
      </c>
      <c r="Z10" s="276">
        <v>45529.739414902971</v>
      </c>
      <c r="AA10" s="276">
        <v>45985.036809051999</v>
      </c>
      <c r="AB10" s="276">
        <v>46444.887177142518</v>
      </c>
      <c r="AC10" s="276">
        <v>46909.336048913945</v>
      </c>
      <c r="AD10" s="276">
        <v>47378.429409403085</v>
      </c>
      <c r="AE10" s="276">
        <v>47852.213703497117</v>
      </c>
      <c r="AF10" s="276">
        <v>48330.735840532085</v>
      </c>
      <c r="AG10" s="276">
        <v>48814.043198937405</v>
      </c>
      <c r="AH10" s="276">
        <v>49302.183630926782</v>
      </c>
      <c r="AI10" s="40"/>
    </row>
    <row r="11" spans="1:35">
      <c r="A11" s="266"/>
      <c r="B11" s="285" t="s">
        <v>742</v>
      </c>
      <c r="C11" s="289">
        <v>277388.65777777776</v>
      </c>
      <c r="D11" s="288" t="s">
        <v>128</v>
      </c>
      <c r="E11" s="290"/>
      <c r="F11" s="265"/>
      <c r="K11" s="41"/>
      <c r="L11" s="269">
        <v>7.5</v>
      </c>
      <c r="M11" s="269">
        <v>7.5</v>
      </c>
      <c r="N11" s="269">
        <v>7.5</v>
      </c>
      <c r="O11" s="269">
        <v>7.5</v>
      </c>
      <c r="P11" s="269">
        <v>7.5</v>
      </c>
      <c r="Q11" s="269">
        <v>7.5</v>
      </c>
      <c r="R11" s="269">
        <v>7.5</v>
      </c>
      <c r="S11" s="269">
        <v>7.5</v>
      </c>
      <c r="T11" s="269">
        <v>7.5</v>
      </c>
      <c r="U11" s="269">
        <v>7.5</v>
      </c>
      <c r="V11" s="269">
        <v>7.5</v>
      </c>
      <c r="W11" s="269">
        <v>7.5</v>
      </c>
      <c r="X11" s="269">
        <v>7.5</v>
      </c>
      <c r="Y11" s="269">
        <v>7.5</v>
      </c>
      <c r="Z11" s="269">
        <v>7.5</v>
      </c>
      <c r="AA11" s="269">
        <v>7.5</v>
      </c>
      <c r="AB11" s="269">
        <v>7.5</v>
      </c>
      <c r="AC11" s="269">
        <v>7.5</v>
      </c>
      <c r="AD11" s="269">
        <v>7.5</v>
      </c>
      <c r="AE11" s="269">
        <v>7.5</v>
      </c>
      <c r="AF11" s="269">
        <v>7.5</v>
      </c>
      <c r="AG11" s="269">
        <v>7.5</v>
      </c>
      <c r="AH11" s="269">
        <v>7.5</v>
      </c>
      <c r="AI11" s="40"/>
    </row>
    <row r="12" spans="1:35">
      <c r="A12" s="266"/>
      <c r="B12" s="285" t="s">
        <v>743</v>
      </c>
      <c r="C12" s="318">
        <v>0.25</v>
      </c>
      <c r="D12" s="290" t="s">
        <v>744</v>
      </c>
      <c r="F12" s="265"/>
      <c r="K12" s="41"/>
      <c r="L12" s="275">
        <v>0.67859833333333341</v>
      </c>
      <c r="M12" s="275">
        <v>0.69895628333333348</v>
      </c>
      <c r="N12" s="107">
        <v>0.71992497183333348</v>
      </c>
      <c r="O12" s="275">
        <v>0.74152272098833349</v>
      </c>
      <c r="P12" s="107">
        <v>0.76376840261798351</v>
      </c>
      <c r="Q12" s="275">
        <v>0.78668145469652306</v>
      </c>
      <c r="R12" s="107">
        <v>0.81028189833741882</v>
      </c>
      <c r="S12" s="275">
        <v>0.83459035528754144</v>
      </c>
      <c r="T12" s="107">
        <v>0.8596280659461677</v>
      </c>
      <c r="U12" s="275">
        <v>0.88541690792455274</v>
      </c>
      <c r="V12" s="107">
        <v>0.91197941516228931</v>
      </c>
      <c r="W12" s="275">
        <v>0.93933879761715799</v>
      </c>
      <c r="X12" s="107">
        <v>0.96751896154567274</v>
      </c>
      <c r="Y12" s="275">
        <v>0.99654453039204294</v>
      </c>
      <c r="Z12" s="107">
        <v>1.0264408663038043</v>
      </c>
      <c r="AA12" s="275">
        <v>1.0572340922929184</v>
      </c>
      <c r="AB12" s="107">
        <v>1.0889511150617059</v>
      </c>
      <c r="AC12" s="275">
        <v>1.1216196485135572</v>
      </c>
      <c r="AD12" s="107">
        <v>1.1552682379689641</v>
      </c>
      <c r="AE12" s="275">
        <v>1.189926285108033</v>
      </c>
      <c r="AF12" s="107">
        <v>1.225624073661274</v>
      </c>
      <c r="AG12" s="107">
        <v>1.2623927958711123</v>
      </c>
      <c r="AH12" s="107">
        <v>1.3002645797472456</v>
      </c>
      <c r="AI12" s="40"/>
    </row>
    <row r="13" spans="1:35">
      <c r="A13" s="266"/>
      <c r="B13" s="285" t="s">
        <v>745</v>
      </c>
      <c r="C13" s="318">
        <v>0.56551724137931036</v>
      </c>
      <c r="D13" s="290" t="s">
        <v>746</v>
      </c>
      <c r="K13" s="41"/>
      <c r="L13" s="275">
        <v>5.0894875000000006</v>
      </c>
      <c r="M13" s="275">
        <v>5.2421721250000015</v>
      </c>
      <c r="N13" s="275">
        <v>5.3994372887500015</v>
      </c>
      <c r="O13" s="275">
        <v>5.5614204074125011</v>
      </c>
      <c r="P13" s="275">
        <v>5.7282630196348761</v>
      </c>
      <c r="Q13" s="275">
        <v>5.9001109102239226</v>
      </c>
      <c r="R13" s="275">
        <v>6.0771142375306413</v>
      </c>
      <c r="S13" s="275">
        <v>6.2594276646565605</v>
      </c>
      <c r="T13" s="275">
        <v>6.4472104945962574</v>
      </c>
      <c r="U13" s="275">
        <v>6.6406268094341456</v>
      </c>
      <c r="V13" s="275">
        <v>6.8398456137171699</v>
      </c>
      <c r="W13" s="275">
        <v>7.0450409821286852</v>
      </c>
      <c r="X13" s="275">
        <v>7.2563922115925452</v>
      </c>
      <c r="Y13" s="275">
        <v>7.4740839779403219</v>
      </c>
      <c r="Z13" s="275">
        <v>7.6983064972785318</v>
      </c>
      <c r="AA13" s="275">
        <v>7.9292556921968878</v>
      </c>
      <c r="AB13" s="275">
        <v>8.1671333629627938</v>
      </c>
      <c r="AC13" s="275">
        <v>8.4121473638516786</v>
      </c>
      <c r="AD13" s="275">
        <v>8.6645117847672299</v>
      </c>
      <c r="AE13" s="275">
        <v>8.9244471383102475</v>
      </c>
      <c r="AF13" s="275">
        <v>9.1921805524595559</v>
      </c>
      <c r="AG13" s="275">
        <v>9.4679459690333427</v>
      </c>
      <c r="AH13" s="275">
        <v>9.751984348104342</v>
      </c>
      <c r="AI13" s="40"/>
    </row>
    <row r="14" spans="1:35">
      <c r="A14" s="266"/>
      <c r="B14" s="285" t="s">
        <v>747</v>
      </c>
      <c r="C14" s="337">
        <v>39217.017134099617</v>
      </c>
      <c r="D14" s="290" t="s">
        <v>128</v>
      </c>
      <c r="K14" s="41"/>
      <c r="L14" s="338"/>
      <c r="M14" s="338"/>
      <c r="N14" s="338"/>
      <c r="O14" s="338"/>
      <c r="P14" s="338"/>
      <c r="Q14" s="338"/>
      <c r="R14" s="338"/>
      <c r="S14" s="338"/>
      <c r="T14" s="338"/>
      <c r="U14" s="338"/>
      <c r="V14" s="338"/>
      <c r="W14" s="338"/>
      <c r="X14" s="338"/>
      <c r="Y14" s="338"/>
      <c r="Z14" s="338"/>
      <c r="AA14" s="338"/>
      <c r="AB14" s="338"/>
      <c r="AC14" s="338"/>
      <c r="AD14" s="338"/>
      <c r="AE14" s="338"/>
      <c r="AF14" s="338"/>
      <c r="AG14" s="338"/>
      <c r="AH14" s="338"/>
      <c r="AI14" s="40"/>
    </row>
    <row r="15" spans="1:35" ht="16.5" thickBot="1">
      <c r="A15" s="266"/>
      <c r="B15" s="40" t="s">
        <v>748</v>
      </c>
      <c r="C15" s="266">
        <v>7.5</v>
      </c>
      <c r="D15" s="290" t="s">
        <v>704</v>
      </c>
      <c r="K15" s="41"/>
      <c r="L15" s="336">
        <v>201590.46367619868</v>
      </c>
      <c r="M15" s="336">
        <v>209714.55936234954</v>
      </c>
      <c r="N15" s="336">
        <v>218166.05610465223</v>
      </c>
      <c r="O15" s="336">
        <v>226958.1481656697</v>
      </c>
      <c r="P15" s="336">
        <v>236104.56153674619</v>
      </c>
      <c r="Q15" s="336">
        <v>245619.57536667711</v>
      </c>
      <c r="R15" s="336">
        <v>255518.04425395423</v>
      </c>
      <c r="S15" s="336">
        <v>265815.42143738858</v>
      </c>
      <c r="T15" s="336">
        <v>276527.78292131535</v>
      </c>
      <c r="U15" s="336">
        <v>287671.85257304437</v>
      </c>
      <c r="V15" s="336">
        <v>299265.02823173802</v>
      </c>
      <c r="W15" s="336">
        <v>311325.40886947711</v>
      </c>
      <c r="X15" s="336">
        <v>323871.82284691703</v>
      </c>
      <c r="Y15" s="336">
        <v>336923.85730764776</v>
      </c>
      <c r="Z15" s="336">
        <v>350501.88875714602</v>
      </c>
      <c r="AA15" s="336">
        <v>364627.11487405899</v>
      </c>
      <c r="AB15" s="336">
        <v>379321.58760348352</v>
      </c>
      <c r="AC15" s="336">
        <v>394608.24758390395</v>
      </c>
      <c r="AD15" s="336">
        <v>410510.95996153535</v>
      </c>
      <c r="AE15" s="336">
        <v>427054.55164798524</v>
      </c>
      <c r="AF15" s="336">
        <v>444264.85007939907</v>
      </c>
      <c r="AG15" s="336">
        <v>462168.72353759885</v>
      </c>
      <c r="AH15" s="336">
        <v>480794.12309616408</v>
      </c>
      <c r="AI15" s="40"/>
    </row>
    <row r="16" spans="1:35">
      <c r="A16" s="266"/>
      <c r="B16" s="40" t="s">
        <v>706</v>
      </c>
      <c r="C16" s="292">
        <v>0.65883333333333338</v>
      </c>
      <c r="D16" s="99" t="s">
        <v>707</v>
      </c>
      <c r="K16" s="41"/>
      <c r="L16" s="41"/>
      <c r="M16" s="41"/>
      <c r="N16" s="40"/>
      <c r="O16" s="40"/>
      <c r="P16" s="40"/>
      <c r="Q16" s="40"/>
      <c r="R16" s="40"/>
      <c r="S16" s="40"/>
      <c r="T16" s="40"/>
      <c r="U16" s="40"/>
      <c r="V16" s="40"/>
      <c r="W16" s="40"/>
      <c r="X16" s="40"/>
      <c r="Y16" s="40"/>
      <c r="Z16" s="40"/>
      <c r="AA16" s="40"/>
      <c r="AB16" s="40"/>
      <c r="AC16" s="40"/>
      <c r="AD16" s="40"/>
      <c r="AE16" s="40"/>
      <c r="AF16" s="40"/>
      <c r="AG16" s="40"/>
      <c r="AH16" s="40"/>
      <c r="AI16" s="40"/>
    </row>
    <row r="17" spans="1:35" ht="16.5" thickBot="1">
      <c r="A17" s="266"/>
      <c r="B17" s="40" t="s">
        <v>708</v>
      </c>
      <c r="C17" s="292">
        <v>4.9412500000000001</v>
      </c>
      <c r="D17" s="290"/>
      <c r="K17" s="274">
        <v>2472821.4230374163</v>
      </c>
      <c r="L17" s="273">
        <v>0</v>
      </c>
      <c r="M17" s="273">
        <v>0</v>
      </c>
      <c r="N17" s="273">
        <v>0</v>
      </c>
      <c r="O17" s="273">
        <v>0</v>
      </c>
      <c r="P17" s="273">
        <v>70831.368461023856</v>
      </c>
      <c r="Q17" s="273">
        <v>184214.68152500782</v>
      </c>
      <c r="R17" s="273">
        <v>191638.53319046568</v>
      </c>
      <c r="S17" s="273">
        <v>199361.56607804145</v>
      </c>
      <c r="T17" s="273">
        <v>276527.78292131535</v>
      </c>
      <c r="U17" s="273">
        <v>287671.85257304437</v>
      </c>
      <c r="V17" s="273">
        <v>299265.02823173802</v>
      </c>
      <c r="W17" s="273">
        <v>311325.40886947711</v>
      </c>
      <c r="X17" s="273">
        <v>323871.82284691703</v>
      </c>
      <c r="Y17" s="273">
        <v>336923.85730764776</v>
      </c>
      <c r="Z17" s="273">
        <v>350501.88875714602</v>
      </c>
      <c r="AA17" s="273">
        <v>364627.11487405899</v>
      </c>
      <c r="AB17" s="273">
        <v>379321.58760348352</v>
      </c>
      <c r="AC17" s="273">
        <v>394608.24758390395</v>
      </c>
      <c r="AD17" s="273">
        <v>410510.95996153535</v>
      </c>
      <c r="AE17" s="273">
        <v>427054.55164798524</v>
      </c>
      <c r="AF17" s="273">
        <v>444264.85007939907</v>
      </c>
      <c r="AG17" s="273">
        <v>462168.72353759885</v>
      </c>
      <c r="AH17" s="273">
        <v>120198.53077404102</v>
      </c>
      <c r="AI17" s="40"/>
    </row>
    <row r="18" spans="1:35" ht="16.5" thickBot="1">
      <c r="A18" s="266"/>
      <c r="B18" s="294" t="s">
        <v>441</v>
      </c>
      <c r="C18" s="334">
        <v>193781.08591386973</v>
      </c>
      <c r="D18" s="288"/>
      <c r="G18" s="264"/>
      <c r="K18" s="41"/>
      <c r="L18" s="41"/>
      <c r="M18" s="41"/>
      <c r="N18" s="40"/>
      <c r="O18" s="40"/>
      <c r="P18" s="40"/>
      <c r="Q18" s="40"/>
      <c r="R18" s="40"/>
      <c r="S18" s="40"/>
      <c r="T18" s="40"/>
      <c r="U18" s="40"/>
      <c r="V18" s="40"/>
      <c r="W18" s="40"/>
      <c r="X18" s="40"/>
      <c r="Y18" s="40"/>
      <c r="Z18" s="40"/>
      <c r="AA18" s="40"/>
      <c r="AB18" s="40"/>
      <c r="AC18" s="40"/>
      <c r="AD18" s="40"/>
      <c r="AE18" s="40"/>
      <c r="AF18" s="40"/>
      <c r="AG18" s="40"/>
      <c r="AH18" s="40"/>
      <c r="AI18" s="40"/>
    </row>
    <row r="19" spans="1:35">
      <c r="K19" s="41"/>
      <c r="L19" s="41"/>
      <c r="M19" s="41"/>
      <c r="N19" s="40"/>
      <c r="O19" s="40"/>
      <c r="P19" s="40"/>
      <c r="Q19" s="40"/>
      <c r="R19" s="40"/>
      <c r="S19" s="40"/>
      <c r="T19" s="40"/>
      <c r="U19" s="40"/>
      <c r="V19" s="40"/>
      <c r="W19" s="40"/>
      <c r="X19" s="40"/>
      <c r="Y19" s="40"/>
      <c r="Z19" s="40"/>
      <c r="AA19" s="40"/>
      <c r="AB19" s="40"/>
      <c r="AC19" s="40"/>
      <c r="AD19" s="40"/>
      <c r="AE19" s="40"/>
      <c r="AF19" s="40"/>
      <c r="AG19" s="40"/>
      <c r="AH19" s="40"/>
      <c r="AI19" s="40"/>
    </row>
    <row r="20" spans="1:35">
      <c r="K20" s="41"/>
      <c r="L20" s="41"/>
      <c r="M20" s="41"/>
      <c r="N20" s="40"/>
      <c r="O20" s="40"/>
      <c r="P20" s="40"/>
      <c r="Q20" s="40"/>
      <c r="R20" s="40"/>
      <c r="S20" s="40"/>
      <c r="T20" s="40"/>
      <c r="U20" s="40"/>
      <c r="V20" s="40"/>
      <c r="W20" s="40"/>
      <c r="X20" s="40"/>
      <c r="Y20" s="40"/>
      <c r="Z20" s="40"/>
      <c r="AA20" s="40"/>
      <c r="AB20" s="40"/>
      <c r="AC20" s="40"/>
      <c r="AD20" s="40"/>
      <c r="AE20" s="40"/>
      <c r="AF20" s="40"/>
      <c r="AG20" s="40"/>
      <c r="AH20" s="40"/>
      <c r="AI20" s="40"/>
    </row>
    <row r="21" spans="1:35" ht="18.75">
      <c r="A21" s="286" t="s">
        <v>749</v>
      </c>
    </row>
    <row r="22" spans="1:35" ht="16.5" thickBot="1">
      <c r="B22" s="296" t="s">
        <v>750</v>
      </c>
      <c r="C22" s="297">
        <v>2012</v>
      </c>
      <c r="D22" s="297">
        <v>2013</v>
      </c>
      <c r="E22" s="297">
        <v>2014</v>
      </c>
    </row>
    <row r="23" spans="1:35" ht="16.5" thickBot="1">
      <c r="B23" s="298" t="s">
        <v>751</v>
      </c>
      <c r="C23" s="321">
        <v>1158458</v>
      </c>
      <c r="D23" s="320">
        <v>1112163</v>
      </c>
      <c r="E23" s="320">
        <v>1162947</v>
      </c>
    </row>
    <row r="24" spans="1:35" ht="16.5" thickBot="1">
      <c r="B24" s="299" t="s">
        <v>752</v>
      </c>
      <c r="C24" s="323">
        <v>175148</v>
      </c>
      <c r="D24" s="322">
        <v>170156</v>
      </c>
      <c r="E24" s="322">
        <v>153285</v>
      </c>
    </row>
    <row r="25" spans="1:35" ht="16.5" thickBot="1">
      <c r="B25" s="300" t="s">
        <v>753</v>
      </c>
      <c r="C25" s="324">
        <v>1333606</v>
      </c>
      <c r="D25" s="324">
        <v>1282319</v>
      </c>
      <c r="E25" s="324">
        <v>1316232</v>
      </c>
    </row>
    <row r="26" spans="1:35">
      <c r="B26" s="301"/>
      <c r="C26" s="301"/>
      <c r="D26" s="301"/>
      <c r="E26" s="301"/>
    </row>
    <row r="27" spans="1:35" ht="16.5" thickBot="1">
      <c r="B27" s="296" t="s">
        <v>754</v>
      </c>
      <c r="C27" s="297">
        <v>2012</v>
      </c>
      <c r="D27" s="297">
        <v>2013</v>
      </c>
      <c r="E27" s="297">
        <v>2014</v>
      </c>
    </row>
    <row r="28" spans="1:35" ht="16.5" thickBot="1">
      <c r="B28" s="298" t="s">
        <v>755</v>
      </c>
      <c r="C28" s="321">
        <v>445609</v>
      </c>
      <c r="D28" s="320">
        <v>421136</v>
      </c>
      <c r="E28" s="320">
        <v>407971</v>
      </c>
    </row>
    <row r="29" spans="1:35" ht="16.5" thickBot="1">
      <c r="B29" s="299" t="s">
        <v>756</v>
      </c>
      <c r="C29" s="323">
        <v>303065</v>
      </c>
      <c r="D29" s="322">
        <v>271122</v>
      </c>
      <c r="E29" s="322">
        <v>256628</v>
      </c>
    </row>
    <row r="30" spans="1:35" ht="16.5" thickBot="1">
      <c r="B30" s="300" t="s">
        <v>757</v>
      </c>
      <c r="C30" s="324">
        <v>748674</v>
      </c>
      <c r="D30" s="324">
        <v>692258</v>
      </c>
      <c r="E30" s="324">
        <v>664599</v>
      </c>
    </row>
    <row r="31" spans="1:35">
      <c r="B31" s="301"/>
      <c r="C31" s="301"/>
      <c r="D31" s="301"/>
      <c r="E31" s="301"/>
    </row>
    <row r="32" spans="1:35" ht="16.5" thickBot="1">
      <c r="B32" s="296" t="s">
        <v>758</v>
      </c>
      <c r="C32" s="297">
        <v>2012</v>
      </c>
      <c r="D32" s="297">
        <v>2013</v>
      </c>
      <c r="E32" s="297">
        <v>2014</v>
      </c>
      <c r="F32" s="297" t="s">
        <v>442</v>
      </c>
    </row>
    <row r="33" spans="1:6" ht="16.5" thickBot="1">
      <c r="B33" s="298" t="s">
        <v>759</v>
      </c>
      <c r="C33" s="321">
        <v>664109</v>
      </c>
      <c r="D33" s="320">
        <v>640287</v>
      </c>
      <c r="E33" s="320">
        <v>645993</v>
      </c>
      <c r="F33" s="320">
        <v>650129.66666666663</v>
      </c>
    </row>
    <row r="34" spans="1:6" ht="16.5" thickBot="1">
      <c r="B34" s="299" t="s">
        <v>754</v>
      </c>
      <c r="C34" s="323">
        <v>303065</v>
      </c>
      <c r="D34" s="322">
        <v>271122</v>
      </c>
      <c r="E34" s="322">
        <v>256628</v>
      </c>
      <c r="F34" s="322">
        <v>276938.33333333331</v>
      </c>
    </row>
    <row r="35" spans="1:6" ht="16.5" thickBot="1">
      <c r="B35" s="332" t="s">
        <v>760</v>
      </c>
      <c r="C35" s="302">
        <v>0.46</v>
      </c>
      <c r="D35" s="302">
        <v>0.42</v>
      </c>
      <c r="E35" s="302">
        <v>0.4</v>
      </c>
      <c r="F35" s="302">
        <v>0.42666666666666669</v>
      </c>
    </row>
    <row r="36" spans="1:6">
      <c r="A36" s="624" t="s">
        <v>761</v>
      </c>
      <c r="B36" s="624"/>
      <c r="C36" s="624"/>
      <c r="D36" s="624"/>
      <c r="E36" s="624"/>
      <c r="F36" s="624"/>
    </row>
    <row r="38" spans="1:6">
      <c r="A38" s="303" t="s">
        <v>762</v>
      </c>
    </row>
    <row r="40" spans="1:6" ht="21">
      <c r="A40" s="185" t="s">
        <v>763</v>
      </c>
      <c r="B40" s="40"/>
      <c r="C40" s="131" t="s">
        <v>579</v>
      </c>
      <c r="D40" s="40"/>
      <c r="E40" s="41"/>
      <c r="F40" s="41"/>
    </row>
    <row r="41" spans="1:6">
      <c r="A41" s="40"/>
      <c r="B41" s="272" t="s">
        <v>581</v>
      </c>
      <c r="C41" s="623" t="s">
        <v>145</v>
      </c>
      <c r="D41" s="623"/>
      <c r="E41" s="42"/>
      <c r="F41" s="41"/>
    </row>
    <row r="42" spans="1:6">
      <c r="A42" s="40"/>
      <c r="B42" s="40" t="s">
        <v>764</v>
      </c>
      <c r="C42" s="41">
        <v>0.5</v>
      </c>
      <c r="D42" s="41">
        <v>0.5</v>
      </c>
      <c r="E42" s="41"/>
      <c r="F42" s="41"/>
    </row>
    <row r="43" spans="1:6">
      <c r="A43" s="40"/>
      <c r="B43" s="40" t="s">
        <v>765</v>
      </c>
      <c r="C43" s="41">
        <v>2</v>
      </c>
      <c r="D43" s="41">
        <v>4</v>
      </c>
      <c r="E43" s="40"/>
      <c r="F43" s="40"/>
    </row>
    <row r="44" spans="1:6">
      <c r="A44" s="40"/>
      <c r="B44" s="40" t="s">
        <v>766</v>
      </c>
      <c r="C44" s="41">
        <v>1</v>
      </c>
      <c r="D44" s="41">
        <v>3</v>
      </c>
      <c r="E44" s="41"/>
      <c r="F44" s="41"/>
    </row>
    <row r="45" spans="1:6">
      <c r="A45" s="40"/>
      <c r="B45" s="40" t="s">
        <v>767</v>
      </c>
      <c r="C45" s="41">
        <v>1</v>
      </c>
      <c r="D45" s="41">
        <v>3</v>
      </c>
      <c r="E45" s="41"/>
      <c r="F45" s="41"/>
    </row>
    <row r="46" spans="1:6">
      <c r="A46" s="40"/>
      <c r="B46" s="40" t="s">
        <v>30</v>
      </c>
      <c r="C46" s="271">
        <v>4.5</v>
      </c>
      <c r="D46" s="271">
        <v>10.5</v>
      </c>
      <c r="E46" s="41"/>
      <c r="F46" s="41"/>
    </row>
    <row r="47" spans="1:6">
      <c r="A47" s="40"/>
      <c r="B47" s="40"/>
      <c r="C47" s="41" t="s">
        <v>592</v>
      </c>
      <c r="D47" s="270">
        <v>7.5</v>
      </c>
      <c r="E47" s="41"/>
      <c r="F47" s="41"/>
    </row>
  </sheetData>
  <mergeCells count="3">
    <mergeCell ref="B5:J5"/>
    <mergeCell ref="A36:F36"/>
    <mergeCell ref="C41:D41"/>
  </mergeCells>
  <phoneticPr fontId="64" type="noConversion"/>
  <hyperlinks>
    <hyperlink ref="A1" location="Summary_RealizationSchedule!A1" display="Back to Summary" xr:uid="{00000000-0004-0000-1D00-000000000000}"/>
    <hyperlink ref="K1" location="Summary_RealizationSchedule!A1" display="Back to Summary" xr:uid="{00000000-0004-0000-1D00-00000100000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19">
    <tabColor rgb="FF09FF78"/>
  </sheetPr>
  <dimension ref="A1:AC48"/>
  <sheetViews>
    <sheetView topLeftCell="A34" workbookViewId="0">
      <selection activeCell="D23" sqref="D23"/>
    </sheetView>
  </sheetViews>
  <sheetFormatPr defaultColWidth="11.42578125" defaultRowHeight="15.75"/>
  <cols>
    <col min="1" max="1" width="4.140625" style="285" customWidth="1"/>
    <col min="2" max="2" width="69.140625" style="285" bestFit="1" customWidth="1"/>
    <col min="3" max="3" width="14.140625" style="266" bestFit="1" customWidth="1"/>
    <col min="4" max="4" width="61.5703125" style="266" customWidth="1"/>
    <col min="5" max="9" width="16.5703125" style="266" customWidth="1"/>
    <col min="10" max="28" width="12.7109375" style="285" bestFit="1" customWidth="1"/>
    <col min="29" max="16384" width="11.42578125" style="285"/>
  </cols>
  <sheetData>
    <row r="1" spans="1:29">
      <c r="A1" s="9" t="s">
        <v>55</v>
      </c>
      <c r="F1" s="9" t="s">
        <v>55</v>
      </c>
    </row>
    <row r="2" spans="1:29" ht="18.75">
      <c r="B2" s="286" t="s">
        <v>768</v>
      </c>
    </row>
    <row r="3" spans="1:29">
      <c r="B3" s="285" t="s">
        <v>769</v>
      </c>
    </row>
    <row r="4" spans="1:29" ht="51" customHeight="1">
      <c r="B4" s="610" t="s">
        <v>770</v>
      </c>
      <c r="C4" s="610"/>
      <c r="D4" s="610"/>
      <c r="E4" s="610"/>
      <c r="F4" s="610"/>
      <c r="G4" s="610"/>
      <c r="H4" s="610"/>
      <c r="I4" s="610"/>
    </row>
    <row r="5" spans="1:29" ht="34.5" customHeight="1">
      <c r="C5" s="528"/>
      <c r="D5" s="528"/>
      <c r="E5" s="528"/>
      <c r="F5" s="528"/>
      <c r="G5" s="528"/>
      <c r="H5" s="528"/>
      <c r="I5" s="528"/>
    </row>
    <row r="6" spans="1:29">
      <c r="B6" s="285" t="s">
        <v>410</v>
      </c>
      <c r="C6" s="266" t="s">
        <v>771</v>
      </c>
      <c r="D6" s="287" t="s">
        <v>772</v>
      </c>
      <c r="F6" s="267"/>
      <c r="G6" s="267"/>
      <c r="H6" s="267"/>
    </row>
    <row r="7" spans="1:29">
      <c r="B7" s="285" t="s">
        <v>702</v>
      </c>
      <c r="D7" s="290"/>
    </row>
    <row r="8" spans="1:29">
      <c r="A8" s="266">
        <v>1</v>
      </c>
      <c r="B8" s="285" t="s">
        <v>773</v>
      </c>
      <c r="C8" s="283">
        <v>5974035.5</v>
      </c>
      <c r="D8" s="290" t="s">
        <v>774</v>
      </c>
      <c r="F8" s="279"/>
      <c r="G8" s="279" t="s">
        <v>678</v>
      </c>
      <c r="H8" s="279" t="s">
        <v>679</v>
      </c>
      <c r="I8" s="279" t="s">
        <v>680</v>
      </c>
      <c r="J8" s="279" t="s">
        <v>681</v>
      </c>
      <c r="K8" s="279" t="s">
        <v>682</v>
      </c>
      <c r="L8" s="279" t="s">
        <v>683</v>
      </c>
      <c r="M8" s="279" t="s">
        <v>684</v>
      </c>
      <c r="N8" s="279" t="s">
        <v>685</v>
      </c>
      <c r="O8" s="279" t="s">
        <v>686</v>
      </c>
      <c r="P8" s="279" t="s">
        <v>687</v>
      </c>
      <c r="Q8" s="279" t="s">
        <v>688</v>
      </c>
      <c r="R8" s="279" t="s">
        <v>689</v>
      </c>
      <c r="S8" s="279" t="s">
        <v>690</v>
      </c>
      <c r="T8" s="279" t="s">
        <v>691</v>
      </c>
      <c r="U8" s="279" t="s">
        <v>692</v>
      </c>
      <c r="V8" s="279" t="s">
        <v>693</v>
      </c>
      <c r="W8" s="279" t="s">
        <v>694</v>
      </c>
      <c r="X8" s="279" t="s">
        <v>695</v>
      </c>
      <c r="Y8" s="279" t="s">
        <v>696</v>
      </c>
      <c r="Z8" s="279" t="s">
        <v>697</v>
      </c>
      <c r="AA8" s="279" t="s">
        <v>698</v>
      </c>
      <c r="AB8" s="279" t="s">
        <v>699</v>
      </c>
      <c r="AC8" s="279" t="s">
        <v>700</v>
      </c>
    </row>
    <row r="9" spans="1:29">
      <c r="A9" s="266">
        <v>2</v>
      </c>
      <c r="B9" s="285" t="s">
        <v>775</v>
      </c>
      <c r="C9" s="291">
        <v>0.03</v>
      </c>
      <c r="D9" s="290" t="s">
        <v>776</v>
      </c>
      <c r="F9" s="279"/>
      <c r="G9" s="279">
        <v>2015</v>
      </c>
      <c r="H9" s="279">
        <v>2016</v>
      </c>
      <c r="I9" s="40">
        <v>2017</v>
      </c>
      <c r="J9" s="279">
        <v>2018</v>
      </c>
      <c r="K9" s="40">
        <v>2019</v>
      </c>
      <c r="L9" s="279">
        <v>2020</v>
      </c>
      <c r="M9" s="40">
        <v>2021</v>
      </c>
      <c r="N9" s="279">
        <v>2022</v>
      </c>
      <c r="O9" s="40">
        <v>2023</v>
      </c>
      <c r="P9" s="279">
        <v>2024</v>
      </c>
      <c r="Q9" s="40">
        <v>2025</v>
      </c>
      <c r="R9" s="279">
        <v>2026</v>
      </c>
      <c r="S9" s="40">
        <v>2027</v>
      </c>
      <c r="T9" s="279">
        <v>2028</v>
      </c>
      <c r="U9" s="40">
        <v>2029</v>
      </c>
      <c r="V9" s="279">
        <v>2030</v>
      </c>
      <c r="W9" s="40">
        <v>2031</v>
      </c>
      <c r="X9" s="279">
        <v>2032</v>
      </c>
      <c r="Y9" s="40">
        <v>2033</v>
      </c>
      <c r="Z9" s="279">
        <v>2034</v>
      </c>
      <c r="AA9" s="40">
        <v>2035</v>
      </c>
      <c r="AB9" s="40">
        <v>2036</v>
      </c>
      <c r="AC9" s="40">
        <v>2037</v>
      </c>
    </row>
    <row r="10" spans="1:29">
      <c r="A10" s="266">
        <v>3</v>
      </c>
      <c r="B10" s="285" t="s">
        <v>777</v>
      </c>
      <c r="C10" s="289">
        <v>179221.065</v>
      </c>
      <c r="D10" s="290" t="s">
        <v>128</v>
      </c>
      <c r="F10" s="41"/>
      <c r="G10" s="278">
        <v>0</v>
      </c>
      <c r="H10" s="19">
        <v>0</v>
      </c>
      <c r="I10" s="19">
        <v>0</v>
      </c>
      <c r="J10" s="19">
        <v>0</v>
      </c>
      <c r="K10" s="19">
        <v>0.3</v>
      </c>
      <c r="L10" s="19">
        <v>0.75</v>
      </c>
      <c r="M10" s="19">
        <v>0.75</v>
      </c>
      <c r="N10" s="19">
        <v>0.75</v>
      </c>
      <c r="O10" s="19">
        <v>1</v>
      </c>
      <c r="P10" s="19">
        <v>1</v>
      </c>
      <c r="Q10" s="19">
        <v>1</v>
      </c>
      <c r="R10" s="19">
        <v>1</v>
      </c>
      <c r="S10" s="19">
        <v>1</v>
      </c>
      <c r="T10" s="19">
        <v>1</v>
      </c>
      <c r="U10" s="19">
        <v>1</v>
      </c>
      <c r="V10" s="19">
        <v>1</v>
      </c>
      <c r="W10" s="19">
        <v>1</v>
      </c>
      <c r="X10" s="19">
        <v>1</v>
      </c>
      <c r="Y10" s="19">
        <v>1</v>
      </c>
      <c r="Z10" s="19">
        <v>1</v>
      </c>
      <c r="AA10" s="19">
        <v>1</v>
      </c>
      <c r="AB10" s="19">
        <v>1</v>
      </c>
      <c r="AC10" s="19">
        <v>0.25</v>
      </c>
    </row>
    <row r="11" spans="1:29">
      <c r="A11" s="266">
        <v>4</v>
      </c>
      <c r="B11" s="285" t="s">
        <v>778</v>
      </c>
      <c r="C11" s="338">
        <v>0.56551724137931036</v>
      </c>
      <c r="D11" s="290" t="s">
        <v>746</v>
      </c>
      <c r="F11" s="278" t="s">
        <v>4</v>
      </c>
      <c r="G11" s="41"/>
      <c r="H11" s="41"/>
      <c r="I11" s="40"/>
      <c r="J11" s="40"/>
      <c r="K11" s="40"/>
      <c r="L11" s="40"/>
      <c r="M11" s="40"/>
      <c r="N11" s="40"/>
      <c r="O11" s="40"/>
      <c r="P11" s="40"/>
      <c r="Q11" s="40"/>
      <c r="R11" s="40"/>
      <c r="S11" s="40"/>
      <c r="T11" s="40"/>
      <c r="U11" s="40"/>
      <c r="V11" s="40"/>
      <c r="W11" s="40"/>
      <c r="X11" s="40"/>
      <c r="Y11" s="40"/>
      <c r="Z11" s="40"/>
      <c r="AA11" s="40"/>
      <c r="AB11" s="40"/>
      <c r="AC11" s="40"/>
    </row>
    <row r="12" spans="1:29">
      <c r="A12" s="266">
        <v>5</v>
      </c>
      <c r="B12" s="285" t="s">
        <v>779</v>
      </c>
      <c r="C12" s="338">
        <v>0.89</v>
      </c>
      <c r="D12" s="290" t="s">
        <v>774</v>
      </c>
      <c r="F12" s="526">
        <v>6.5799999999999997E-2</v>
      </c>
      <c r="G12" s="86"/>
      <c r="H12" s="41"/>
      <c r="I12" s="40"/>
      <c r="J12" s="40"/>
      <c r="K12" s="40"/>
      <c r="L12" s="40"/>
      <c r="M12" s="40"/>
      <c r="N12" s="40"/>
      <c r="O12" s="40"/>
      <c r="P12" s="40"/>
      <c r="Q12" s="40"/>
      <c r="R12" s="40"/>
      <c r="S12" s="40"/>
      <c r="T12" s="40"/>
      <c r="U12" s="40"/>
      <c r="V12" s="40"/>
      <c r="W12" s="40"/>
      <c r="X12" s="40"/>
      <c r="Y12" s="40"/>
      <c r="Z12" s="40"/>
      <c r="AA12" s="40"/>
      <c r="AB12" s="40"/>
      <c r="AC12" s="40"/>
    </row>
    <row r="13" spans="1:29">
      <c r="A13" s="266">
        <v>6</v>
      </c>
      <c r="B13" s="285" t="s">
        <v>780</v>
      </c>
      <c r="C13" s="304">
        <v>357.95165089490973</v>
      </c>
      <c r="D13" s="290" t="s">
        <v>774</v>
      </c>
      <c r="F13" s="41"/>
      <c r="G13" s="276">
        <v>167027.39934058278</v>
      </c>
      <c r="H13" s="276">
        <v>168697.67333398861</v>
      </c>
      <c r="I13" s="276">
        <v>170384.6500673285</v>
      </c>
      <c r="J13" s="276">
        <v>172088.49656800178</v>
      </c>
      <c r="K13" s="276">
        <v>173809.38153368179</v>
      </c>
      <c r="L13" s="276">
        <v>175547.47534901861</v>
      </c>
      <c r="M13" s="276">
        <v>177302.9501025088</v>
      </c>
      <c r="N13" s="276">
        <v>179075.97960353389</v>
      </c>
      <c r="O13" s="276">
        <v>180866.73939956923</v>
      </c>
      <c r="P13" s="276">
        <v>182675.40679356491</v>
      </c>
      <c r="Q13" s="276">
        <v>184502.16086150057</v>
      </c>
      <c r="R13" s="276">
        <v>186347.18247011557</v>
      </c>
      <c r="S13" s="276">
        <v>188210.65429481672</v>
      </c>
      <c r="T13" s="276">
        <v>190092.76083776489</v>
      </c>
      <c r="U13" s="276">
        <v>191993.68844614254</v>
      </c>
      <c r="V13" s="276">
        <v>193913.62533060397</v>
      </c>
      <c r="W13" s="276">
        <v>195852.76158391</v>
      </c>
      <c r="X13" s="276">
        <v>197811.2891997491</v>
      </c>
      <c r="Y13" s="276">
        <v>199789.4020917466</v>
      </c>
      <c r="Z13" s="276">
        <v>201787.29611266407</v>
      </c>
      <c r="AA13" s="276">
        <v>203805.16907379072</v>
      </c>
      <c r="AB13" s="276">
        <v>205843.22076452864</v>
      </c>
      <c r="AC13" s="276">
        <v>207901.65297217394</v>
      </c>
    </row>
    <row r="14" spans="1:29">
      <c r="A14" s="266">
        <v>7</v>
      </c>
      <c r="B14" s="285" t="s">
        <v>781</v>
      </c>
      <c r="C14" s="338">
        <v>0.33333333333333331</v>
      </c>
      <c r="D14" s="290"/>
      <c r="F14" s="41"/>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row>
    <row r="15" spans="1:29">
      <c r="A15" s="266">
        <v>8</v>
      </c>
      <c r="B15" s="285" t="s">
        <v>782</v>
      </c>
      <c r="C15" s="305">
        <v>39.53</v>
      </c>
      <c r="D15" s="99" t="s">
        <v>707</v>
      </c>
      <c r="F15" s="41"/>
      <c r="G15" s="262">
        <v>0.67859833333333341</v>
      </c>
      <c r="H15" s="275">
        <v>0.69895628333333348</v>
      </c>
      <c r="I15" s="107">
        <v>0.71992497183333348</v>
      </c>
      <c r="J15" s="275">
        <v>0.74152272098833349</v>
      </c>
      <c r="K15" s="107">
        <v>0.76376840261798351</v>
      </c>
      <c r="L15" s="275">
        <v>0.78668145469652306</v>
      </c>
      <c r="M15" s="107">
        <v>0.81028189833741882</v>
      </c>
      <c r="N15" s="275">
        <v>0.83459035528754144</v>
      </c>
      <c r="O15" s="107">
        <v>0.8596280659461677</v>
      </c>
      <c r="P15" s="275">
        <v>0.88541690792455274</v>
      </c>
      <c r="Q15" s="107">
        <v>0.91197941516228931</v>
      </c>
      <c r="R15" s="275">
        <v>0.93933879761715799</v>
      </c>
      <c r="S15" s="107">
        <v>0.96751896154567274</v>
      </c>
      <c r="T15" s="275">
        <v>0.99654453039204294</v>
      </c>
      <c r="U15" s="107">
        <v>1.0264408663038043</v>
      </c>
      <c r="V15" s="275">
        <v>1.0572340922929184</v>
      </c>
      <c r="W15" s="107">
        <v>1.0889511150617059</v>
      </c>
      <c r="X15" s="275">
        <v>1.1216196485135572</v>
      </c>
      <c r="Y15" s="107">
        <v>1.1552682379689641</v>
      </c>
      <c r="Z15" s="275">
        <v>1.189926285108033</v>
      </c>
      <c r="AA15" s="107">
        <v>1.225624073661274</v>
      </c>
      <c r="AB15" s="107">
        <v>1.2623927958711123</v>
      </c>
      <c r="AC15" s="107">
        <v>1.3002645797472456</v>
      </c>
    </row>
    <row r="16" spans="1:29">
      <c r="A16" s="266">
        <v>9</v>
      </c>
      <c r="B16" s="285" t="s">
        <v>705</v>
      </c>
      <c r="C16" s="527">
        <v>5.5</v>
      </c>
      <c r="D16" s="528" t="s">
        <v>704</v>
      </c>
      <c r="F16" s="41"/>
      <c r="G16" s="86">
        <v>0.8</v>
      </c>
      <c r="H16" s="86">
        <v>0.8</v>
      </c>
      <c r="I16" s="86">
        <v>0.8</v>
      </c>
      <c r="J16" s="86">
        <v>0.8</v>
      </c>
      <c r="K16" s="86">
        <v>0.8</v>
      </c>
      <c r="L16" s="86">
        <v>0.8</v>
      </c>
      <c r="M16" s="86">
        <v>0.8</v>
      </c>
      <c r="N16" s="86">
        <v>0.8</v>
      </c>
      <c r="O16" s="86">
        <v>0.8</v>
      </c>
      <c r="P16" s="86">
        <v>0.8</v>
      </c>
      <c r="Q16" s="86">
        <v>0.8</v>
      </c>
      <c r="R16" s="86">
        <v>0.8</v>
      </c>
      <c r="S16" s="86">
        <v>0.8</v>
      </c>
      <c r="T16" s="86">
        <v>0.8</v>
      </c>
      <c r="U16" s="86">
        <v>0.8</v>
      </c>
      <c r="V16" s="86">
        <v>0.8</v>
      </c>
      <c r="W16" s="86">
        <v>0.8</v>
      </c>
      <c r="X16" s="86">
        <v>0.8</v>
      </c>
      <c r="Y16" s="86">
        <v>0.8</v>
      </c>
      <c r="Z16" s="86">
        <v>0.8</v>
      </c>
      <c r="AA16" s="86">
        <v>0.8</v>
      </c>
      <c r="AB16" s="86">
        <v>0.8</v>
      </c>
      <c r="AC16" s="86">
        <v>0.8</v>
      </c>
    </row>
    <row r="17" spans="1:29">
      <c r="A17" s="266">
        <v>10</v>
      </c>
      <c r="B17" s="285" t="s">
        <v>783</v>
      </c>
      <c r="C17" s="289">
        <v>165373.66271344828</v>
      </c>
      <c r="D17" s="290" t="s">
        <v>128</v>
      </c>
      <c r="F17" s="41"/>
      <c r="G17" s="86">
        <v>0.7</v>
      </c>
      <c r="H17" s="86">
        <v>0.7</v>
      </c>
      <c r="I17" s="86">
        <v>0.7</v>
      </c>
      <c r="J17" s="86">
        <v>0.7</v>
      </c>
      <c r="K17" s="86">
        <v>0.7</v>
      </c>
      <c r="L17" s="86">
        <v>0.7</v>
      </c>
      <c r="M17" s="86">
        <v>0.7</v>
      </c>
      <c r="N17" s="86">
        <v>0.7</v>
      </c>
      <c r="O17" s="86">
        <v>0.7</v>
      </c>
      <c r="P17" s="86">
        <v>0.7</v>
      </c>
      <c r="Q17" s="86">
        <v>0.7</v>
      </c>
      <c r="R17" s="86">
        <v>0.7</v>
      </c>
      <c r="S17" s="86">
        <v>0.7</v>
      </c>
      <c r="T17" s="86">
        <v>0.7</v>
      </c>
      <c r="U17" s="86">
        <v>0.7</v>
      </c>
      <c r="V17" s="86">
        <v>0.7</v>
      </c>
      <c r="W17" s="86">
        <v>0.7</v>
      </c>
      <c r="X17" s="86">
        <v>0.7</v>
      </c>
      <c r="Y17" s="86">
        <v>0.7</v>
      </c>
      <c r="Z17" s="86">
        <v>0.7</v>
      </c>
      <c r="AA17" s="86">
        <v>0.7</v>
      </c>
      <c r="AB17" s="86">
        <v>0.7</v>
      </c>
      <c r="AC17" s="86">
        <v>0.7</v>
      </c>
    </row>
    <row r="18" spans="1:29" ht="16.5" thickBot="1">
      <c r="A18" s="266">
        <v>11</v>
      </c>
      <c r="B18" s="285" t="s">
        <v>784</v>
      </c>
      <c r="C18" s="265">
        <v>0.65883333333333338</v>
      </c>
      <c r="D18" s="290"/>
      <c r="F18" s="41"/>
      <c r="G18" s="263">
        <v>99176.450461830493</v>
      </c>
      <c r="H18" s="341">
        <v>134958.13866719088</v>
      </c>
      <c r="I18" s="341">
        <v>136307.72005386281</v>
      </c>
      <c r="J18" s="341">
        <v>137670.79725440143</v>
      </c>
      <c r="K18" s="341">
        <v>139047.50522694545</v>
      </c>
      <c r="L18" s="341">
        <v>140437.98027921488</v>
      </c>
      <c r="M18" s="341">
        <v>141842.36008200704</v>
      </c>
      <c r="N18" s="341">
        <v>143260.78368282711</v>
      </c>
      <c r="O18" s="341">
        <v>144693.39151965539</v>
      </c>
      <c r="P18" s="341">
        <v>146140.32543485193</v>
      </c>
      <c r="Q18" s="341">
        <v>147601.72868920045</v>
      </c>
      <c r="R18" s="341">
        <v>149077.74597609247</v>
      </c>
      <c r="S18" s="341">
        <v>150568.52343585339</v>
      </c>
      <c r="T18" s="341">
        <v>152074.20867021193</v>
      </c>
      <c r="U18" s="341">
        <v>153594.95075691404</v>
      </c>
      <c r="V18" s="341">
        <v>155130.90026448318</v>
      </c>
      <c r="W18" s="341">
        <v>156682.209267128</v>
      </c>
      <c r="X18" s="341">
        <v>158249.03135979929</v>
      </c>
      <c r="Y18" s="341">
        <v>159831.52167339728</v>
      </c>
      <c r="Z18" s="341">
        <v>161429.83689013126</v>
      </c>
      <c r="AA18" s="341">
        <v>163044.1352590326</v>
      </c>
      <c r="AB18" s="341">
        <v>164674.57661162294</v>
      </c>
      <c r="AC18" s="341">
        <v>166321.32237773915</v>
      </c>
    </row>
    <row r="19" spans="1:29">
      <c r="A19" s="266">
        <v>12</v>
      </c>
      <c r="B19" s="285" t="s">
        <v>785</v>
      </c>
      <c r="C19" s="338">
        <v>0.8</v>
      </c>
      <c r="D19" s="290" t="s">
        <v>786</v>
      </c>
      <c r="F19" s="41"/>
      <c r="G19" s="41"/>
      <c r="H19" s="41"/>
      <c r="I19" s="40"/>
      <c r="J19" s="40"/>
      <c r="K19" s="40"/>
      <c r="L19" s="40"/>
      <c r="M19" s="40"/>
      <c r="N19" s="40"/>
      <c r="O19" s="40"/>
      <c r="P19" s="40"/>
      <c r="Q19" s="40"/>
      <c r="R19" s="40"/>
      <c r="S19" s="40"/>
      <c r="T19" s="40"/>
      <c r="U19" s="40"/>
      <c r="V19" s="40"/>
      <c r="W19" s="40"/>
      <c r="X19" s="40"/>
      <c r="Y19" s="40"/>
      <c r="Z19" s="40"/>
      <c r="AA19" s="40"/>
      <c r="AB19" s="40"/>
      <c r="AC19" s="40"/>
    </row>
    <row r="20" spans="1:29" ht="16.5" thickBot="1">
      <c r="A20" s="266">
        <v>13</v>
      </c>
      <c r="B20" s="285" t="s">
        <v>787</v>
      </c>
      <c r="C20" s="338">
        <v>0.7</v>
      </c>
      <c r="D20" s="290" t="s">
        <v>788</v>
      </c>
      <c r="F20" s="274">
        <v>1138568.8916612456</v>
      </c>
      <c r="G20" s="273">
        <v>0</v>
      </c>
      <c r="H20" s="273">
        <v>0</v>
      </c>
      <c r="I20" s="273">
        <v>0</v>
      </c>
      <c r="J20" s="273">
        <v>0</v>
      </c>
      <c r="K20" s="273">
        <v>41714.25156808363</v>
      </c>
      <c r="L20" s="273">
        <v>105328.48520941116</v>
      </c>
      <c r="M20" s="273">
        <v>106381.77006150529</v>
      </c>
      <c r="N20" s="273">
        <v>107445.58776212033</v>
      </c>
      <c r="O20" s="273">
        <v>144693.39151965539</v>
      </c>
      <c r="P20" s="273">
        <v>146140.32543485193</v>
      </c>
      <c r="Q20" s="273">
        <v>147601.72868920045</v>
      </c>
      <c r="R20" s="273">
        <v>149077.74597609247</v>
      </c>
      <c r="S20" s="273">
        <v>150568.52343585339</v>
      </c>
      <c r="T20" s="273">
        <v>152074.20867021193</v>
      </c>
      <c r="U20" s="273">
        <v>153594.95075691404</v>
      </c>
      <c r="V20" s="273">
        <v>155130.90026448318</v>
      </c>
      <c r="W20" s="273">
        <v>156682.209267128</v>
      </c>
      <c r="X20" s="273">
        <v>158249.03135979929</v>
      </c>
      <c r="Y20" s="273">
        <v>159831.52167339728</v>
      </c>
      <c r="Z20" s="273">
        <v>161429.83689013126</v>
      </c>
      <c r="AA20" s="273">
        <v>163044.1352590326</v>
      </c>
      <c r="AB20" s="273">
        <v>164674.57661162294</v>
      </c>
      <c r="AC20" s="273">
        <v>41580.330594434789</v>
      </c>
    </row>
    <row r="21" spans="1:29" ht="16.5" thickBot="1">
      <c r="A21" s="266">
        <v>14</v>
      </c>
      <c r="B21" s="285" t="s">
        <v>789</v>
      </c>
      <c r="C21" s="529">
        <v>95334.47126966306</v>
      </c>
      <c r="D21" s="290" t="s">
        <v>128</v>
      </c>
      <c r="F21" s="295"/>
      <c r="G21" s="295"/>
      <c r="I21" s="266" t="s">
        <v>790</v>
      </c>
    </row>
    <row r="22" spans="1:29">
      <c r="B22" s="294"/>
      <c r="C22" s="293"/>
    </row>
    <row r="23" spans="1:29">
      <c r="A23" s="285" t="s">
        <v>447</v>
      </c>
      <c r="C23" s="293">
        <v>90203.816025517241</v>
      </c>
    </row>
    <row r="24" spans="1:29" ht="34.5" customHeight="1">
      <c r="B24" s="285" t="s">
        <v>292</v>
      </c>
      <c r="C24" s="528"/>
      <c r="D24" s="528"/>
      <c r="E24" s="528"/>
      <c r="F24" s="528"/>
      <c r="G24" s="528"/>
      <c r="H24" s="528"/>
      <c r="I24" s="528"/>
    </row>
    <row r="25" spans="1:29">
      <c r="A25" s="285" t="s">
        <v>791</v>
      </c>
      <c r="B25" s="285" t="s">
        <v>792</v>
      </c>
      <c r="D25" s="295">
        <v>1581.2</v>
      </c>
      <c r="E25" s="293"/>
      <c r="F25" s="293">
        <v>1581.2</v>
      </c>
      <c r="G25" s="293"/>
      <c r="H25" s="292"/>
      <c r="I25" s="292"/>
    </row>
    <row r="26" spans="1:29" ht="31.5">
      <c r="A26" s="285" t="s">
        <v>793</v>
      </c>
      <c r="B26" s="327" t="s">
        <v>794</v>
      </c>
      <c r="D26" s="295"/>
      <c r="E26" s="293">
        <v>16000</v>
      </c>
      <c r="F26" s="293"/>
      <c r="G26" s="293">
        <v>16000</v>
      </c>
      <c r="H26" s="292"/>
      <c r="I26" s="292"/>
    </row>
    <row r="27" spans="1:29">
      <c r="A27" s="285" t="s">
        <v>795</v>
      </c>
      <c r="B27" s="285" t="s">
        <v>796</v>
      </c>
      <c r="D27" s="295"/>
      <c r="E27" s="293"/>
      <c r="F27" s="293"/>
      <c r="G27" s="293"/>
      <c r="H27" s="292"/>
      <c r="I27" s="292"/>
    </row>
    <row r="28" spans="1:29">
      <c r="A28" s="285" t="s">
        <v>797</v>
      </c>
      <c r="B28" s="285" t="s">
        <v>798</v>
      </c>
      <c r="D28" s="293">
        <v>8000</v>
      </c>
      <c r="E28" s="293"/>
      <c r="F28" s="293">
        <v>8000</v>
      </c>
      <c r="G28" s="293"/>
      <c r="H28" s="292"/>
      <c r="I28" s="292"/>
    </row>
    <row r="29" spans="1:29">
      <c r="B29" s="306" t="s">
        <v>799</v>
      </c>
      <c r="D29" s="295">
        <v>9581.2000000000007</v>
      </c>
      <c r="E29" s="293">
        <v>16000</v>
      </c>
      <c r="F29" s="293">
        <v>9581.2000000000007</v>
      </c>
      <c r="G29" s="293">
        <v>16000</v>
      </c>
      <c r="H29" s="292"/>
      <c r="I29" s="292"/>
    </row>
    <row r="30" spans="1:29">
      <c r="B30" s="294" t="s">
        <v>441</v>
      </c>
      <c r="D30" s="295">
        <v>9581.2000000000007</v>
      </c>
      <c r="E30" s="293"/>
      <c r="F30" s="293"/>
      <c r="G30" s="293">
        <v>9581.2000000000007</v>
      </c>
      <c r="H30" s="292"/>
      <c r="I30" s="292"/>
    </row>
    <row r="31" spans="1:29">
      <c r="B31" s="294"/>
      <c r="D31" s="305"/>
      <c r="E31" s="292"/>
      <c r="F31" s="292"/>
      <c r="G31" s="292"/>
      <c r="H31" s="292"/>
      <c r="I31" s="292"/>
    </row>
    <row r="32" spans="1:29">
      <c r="B32" s="294"/>
      <c r="D32" s="305"/>
      <c r="E32" s="292"/>
      <c r="F32" s="292"/>
      <c r="G32" s="292"/>
      <c r="H32" s="292"/>
      <c r="I32" s="292"/>
    </row>
    <row r="33" spans="2:9">
      <c r="B33" s="326"/>
      <c r="D33" s="305"/>
      <c r="E33" s="292"/>
      <c r="F33" s="292"/>
      <c r="G33" s="292"/>
      <c r="H33" s="292"/>
      <c r="I33" s="292"/>
    </row>
    <row r="34" spans="2:9">
      <c r="B34" s="294"/>
      <c r="D34" s="305"/>
      <c r="E34" s="292"/>
      <c r="F34" s="292"/>
      <c r="G34" s="292"/>
      <c r="H34" s="292"/>
      <c r="I34" s="292"/>
    </row>
    <row r="35" spans="2:9">
      <c r="B35" s="285" t="s">
        <v>800</v>
      </c>
    </row>
    <row r="36" spans="2:9" ht="21">
      <c r="C36" s="185" t="s">
        <v>578</v>
      </c>
      <c r="D36" s="40"/>
      <c r="E36" s="131" t="s">
        <v>579</v>
      </c>
      <c r="F36" s="40"/>
    </row>
    <row r="37" spans="2:9">
      <c r="C37" s="40"/>
      <c r="D37" s="272" t="s">
        <v>581</v>
      </c>
      <c r="E37" s="623" t="s">
        <v>145</v>
      </c>
      <c r="F37" s="623"/>
    </row>
    <row r="38" spans="2:9">
      <c r="C38" s="40"/>
      <c r="D38" s="40" t="s">
        <v>583</v>
      </c>
      <c r="E38" s="41">
        <v>1</v>
      </c>
      <c r="F38" s="41">
        <v>1</v>
      </c>
    </row>
    <row r="39" spans="2:9">
      <c r="C39" s="40"/>
      <c r="D39" s="40" t="s">
        <v>585</v>
      </c>
      <c r="E39" s="41">
        <v>1</v>
      </c>
      <c r="F39" s="41">
        <v>2</v>
      </c>
    </row>
    <row r="40" spans="2:9">
      <c r="C40" s="40"/>
      <c r="D40" s="40" t="s">
        <v>587</v>
      </c>
      <c r="E40" s="41">
        <v>1</v>
      </c>
      <c r="F40" s="41">
        <v>1</v>
      </c>
    </row>
    <row r="41" spans="2:9">
      <c r="C41" s="40"/>
      <c r="D41" s="40" t="s">
        <v>589</v>
      </c>
      <c r="E41" s="41">
        <v>1</v>
      </c>
      <c r="F41" s="41">
        <v>3</v>
      </c>
    </row>
    <row r="42" spans="2:9">
      <c r="C42" s="40"/>
      <c r="D42" s="40" t="s">
        <v>30</v>
      </c>
      <c r="E42" s="271">
        <v>4</v>
      </c>
      <c r="F42" s="271">
        <v>7</v>
      </c>
    </row>
    <row r="43" spans="2:9">
      <c r="C43" s="40"/>
      <c r="D43" s="40"/>
      <c r="E43" s="41" t="s">
        <v>592</v>
      </c>
      <c r="F43" s="270">
        <v>5.5</v>
      </c>
    </row>
    <row r="48" spans="2:9">
      <c r="B48" s="285" t="s">
        <v>801</v>
      </c>
    </row>
  </sheetData>
  <mergeCells count="2">
    <mergeCell ref="B4:I4"/>
    <mergeCell ref="E37:F37"/>
  </mergeCells>
  <phoneticPr fontId="64" type="noConversion"/>
  <hyperlinks>
    <hyperlink ref="A1" location="Summary_RealizationSchedule!A1" display="Back to Summary" xr:uid="{00000000-0004-0000-1E00-000000000000}"/>
    <hyperlink ref="F1" location="Summary_RealizationSchedule!A1" display="Back to Summary" xr:uid="{00000000-0004-0000-1E00-000001000000}"/>
  </hyperlinks>
  <pageMargins left="0.7" right="0.7" top="0.75" bottom="0.75" header="0.3" footer="0.3"/>
  <drawing r:id="rId1"/>
  <legacy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0">
    <tabColor rgb="FF09FF78"/>
  </sheetPr>
  <dimension ref="A1:AF57"/>
  <sheetViews>
    <sheetView topLeftCell="A4" workbookViewId="0">
      <selection activeCell="D55" sqref="D55"/>
    </sheetView>
  </sheetViews>
  <sheetFormatPr defaultColWidth="11.42578125" defaultRowHeight="15.75"/>
  <cols>
    <col min="1" max="1" width="4.140625" style="285" customWidth="1"/>
    <col min="2" max="2" width="69.140625" style="285" customWidth="1"/>
    <col min="3" max="3" width="16" style="266" bestFit="1" customWidth="1"/>
    <col min="4" max="4" width="28.5703125" style="266" customWidth="1"/>
    <col min="5" max="5" width="8.85546875" style="266" customWidth="1"/>
    <col min="6" max="6" width="18.28515625" style="266" customWidth="1"/>
    <col min="7" max="7" width="16.42578125" style="266" customWidth="1"/>
    <col min="8" max="8" width="23.85546875" style="266" customWidth="1"/>
    <col min="9" max="9" width="16.85546875" style="266" customWidth="1"/>
    <col min="10" max="16" width="11.5703125" style="266" bestFit="1" customWidth="1"/>
    <col min="17" max="27" width="11.42578125" style="285"/>
    <col min="28" max="31" width="12.7109375" style="285" bestFit="1" customWidth="1"/>
    <col min="32" max="16384" width="11.42578125" style="285"/>
  </cols>
  <sheetData>
    <row r="1" spans="1:32">
      <c r="A1" s="9" t="s">
        <v>55</v>
      </c>
    </row>
    <row r="2" spans="1:32" ht="18.75">
      <c r="A2" s="286" t="s">
        <v>768</v>
      </c>
      <c r="B2" s="307"/>
    </row>
    <row r="3" spans="1:32">
      <c r="A3" s="307"/>
      <c r="B3" s="285" t="s">
        <v>802</v>
      </c>
    </row>
    <row r="4" spans="1:32" ht="34.5" customHeight="1">
      <c r="A4" s="307"/>
      <c r="B4" s="610" t="s">
        <v>803</v>
      </c>
      <c r="C4" s="610"/>
      <c r="D4" s="610"/>
      <c r="E4" s="610"/>
      <c r="F4" s="610"/>
      <c r="G4" s="610"/>
      <c r="H4" s="610"/>
      <c r="I4" s="610"/>
      <c r="J4" s="610"/>
    </row>
    <row r="5" spans="1:32" ht="58.5" customHeight="1">
      <c r="A5" s="307"/>
      <c r="B5" s="285" t="s">
        <v>410</v>
      </c>
      <c r="C5" s="528" t="s">
        <v>771</v>
      </c>
      <c r="D5" s="287"/>
      <c r="E5" s="287"/>
      <c r="F5" s="267"/>
      <c r="G5" s="267"/>
      <c r="H5" s="267"/>
      <c r="I5" s="287"/>
      <c r="J5" s="287"/>
    </row>
    <row r="6" spans="1:32">
      <c r="A6" s="307"/>
      <c r="I6" s="279"/>
      <c r="J6" s="279" t="s">
        <v>678</v>
      </c>
      <c r="K6" s="279" t="s">
        <v>679</v>
      </c>
      <c r="L6" s="279" t="s">
        <v>680</v>
      </c>
      <c r="M6" s="279" t="s">
        <v>681</v>
      </c>
      <c r="N6" s="279" t="s">
        <v>682</v>
      </c>
      <c r="O6" s="279" t="s">
        <v>683</v>
      </c>
      <c r="P6" s="279" t="s">
        <v>684</v>
      </c>
      <c r="Q6" s="279" t="s">
        <v>685</v>
      </c>
      <c r="R6" s="279" t="s">
        <v>686</v>
      </c>
      <c r="S6" s="279" t="s">
        <v>687</v>
      </c>
      <c r="T6" s="279" t="s">
        <v>688</v>
      </c>
      <c r="U6" s="279" t="s">
        <v>689</v>
      </c>
      <c r="V6" s="279" t="s">
        <v>690</v>
      </c>
      <c r="W6" s="279" t="s">
        <v>691</v>
      </c>
      <c r="X6" s="279" t="s">
        <v>692</v>
      </c>
      <c r="Y6" s="279" t="s">
        <v>693</v>
      </c>
      <c r="Z6" s="279" t="s">
        <v>694</v>
      </c>
      <c r="AA6" s="279" t="s">
        <v>695</v>
      </c>
      <c r="AB6" s="279" t="s">
        <v>696</v>
      </c>
      <c r="AC6" s="279" t="s">
        <v>697</v>
      </c>
      <c r="AD6" s="279" t="s">
        <v>698</v>
      </c>
      <c r="AE6" s="279" t="s">
        <v>699</v>
      </c>
      <c r="AF6" s="279" t="s">
        <v>700</v>
      </c>
    </row>
    <row r="7" spans="1:32">
      <c r="A7" s="307">
        <v>1</v>
      </c>
      <c r="B7" s="285" t="s">
        <v>773</v>
      </c>
      <c r="C7" s="283">
        <v>5974035.5</v>
      </c>
      <c r="D7" s="291"/>
      <c r="I7" s="279"/>
      <c r="J7" s="279">
        <v>2015</v>
      </c>
      <c r="K7" s="279">
        <v>2016</v>
      </c>
      <c r="L7" s="40">
        <v>2017</v>
      </c>
      <c r="M7" s="279">
        <v>2018</v>
      </c>
      <c r="N7" s="40">
        <v>2019</v>
      </c>
      <c r="O7" s="279">
        <v>2020</v>
      </c>
      <c r="P7" s="40">
        <v>2021</v>
      </c>
      <c r="Q7" s="279">
        <v>2022</v>
      </c>
      <c r="R7" s="40">
        <v>2023</v>
      </c>
      <c r="S7" s="279">
        <v>2024</v>
      </c>
      <c r="T7" s="40">
        <v>2025</v>
      </c>
      <c r="U7" s="279">
        <v>2026</v>
      </c>
      <c r="V7" s="40">
        <v>2027</v>
      </c>
      <c r="W7" s="279">
        <v>2028</v>
      </c>
      <c r="X7" s="40">
        <v>2029</v>
      </c>
      <c r="Y7" s="279">
        <v>2030</v>
      </c>
      <c r="Z7" s="40">
        <v>2031</v>
      </c>
      <c r="AA7" s="279">
        <v>2032</v>
      </c>
      <c r="AB7" s="40">
        <v>2033</v>
      </c>
      <c r="AC7" s="279">
        <v>2034</v>
      </c>
      <c r="AD7" s="40">
        <v>2035</v>
      </c>
      <c r="AE7" s="40">
        <v>2036</v>
      </c>
      <c r="AF7" s="40">
        <v>2037</v>
      </c>
    </row>
    <row r="8" spans="1:32">
      <c r="A8" s="307">
        <v>2</v>
      </c>
      <c r="B8" s="285" t="s">
        <v>804</v>
      </c>
      <c r="C8" s="283">
        <v>18572</v>
      </c>
      <c r="D8" s="311" t="s">
        <v>805</v>
      </c>
      <c r="I8" s="41"/>
      <c r="J8" s="278">
        <v>0</v>
      </c>
      <c r="K8" s="19">
        <v>0</v>
      </c>
      <c r="L8" s="19">
        <v>0</v>
      </c>
      <c r="M8" s="19">
        <v>0</v>
      </c>
      <c r="N8" s="19">
        <v>0.3</v>
      </c>
      <c r="O8" s="19">
        <v>0.75</v>
      </c>
      <c r="P8" s="19">
        <v>0.75</v>
      </c>
      <c r="Q8" s="19">
        <v>0.75</v>
      </c>
      <c r="R8" s="19">
        <v>1</v>
      </c>
      <c r="S8" s="19">
        <v>1</v>
      </c>
      <c r="T8" s="19">
        <v>1</v>
      </c>
      <c r="U8" s="19">
        <v>1</v>
      </c>
      <c r="V8" s="19">
        <v>1</v>
      </c>
      <c r="W8" s="19">
        <v>1</v>
      </c>
      <c r="X8" s="19">
        <v>1</v>
      </c>
      <c r="Y8" s="19">
        <v>1</v>
      </c>
      <c r="Z8" s="19">
        <v>1</v>
      </c>
      <c r="AA8" s="19">
        <v>1</v>
      </c>
      <c r="AB8" s="19">
        <v>1</v>
      </c>
      <c r="AC8" s="19">
        <v>1</v>
      </c>
      <c r="AD8" s="19">
        <v>1</v>
      </c>
      <c r="AE8" s="19">
        <v>1</v>
      </c>
      <c r="AF8" s="19">
        <v>0.25</v>
      </c>
    </row>
    <row r="9" spans="1:32">
      <c r="A9" s="307">
        <v>3</v>
      </c>
      <c r="B9" s="285" t="s">
        <v>806</v>
      </c>
      <c r="C9" s="516">
        <v>0.9</v>
      </c>
      <c r="D9" s="311" t="s">
        <v>807</v>
      </c>
      <c r="I9" s="278" t="s">
        <v>4</v>
      </c>
      <c r="J9" s="41"/>
      <c r="K9" s="41"/>
      <c r="L9" s="40"/>
      <c r="M9" s="40"/>
      <c r="N9" s="40"/>
      <c r="O9" s="40"/>
      <c r="P9" s="40"/>
      <c r="Q9" s="40"/>
      <c r="R9" s="40"/>
      <c r="S9" s="40"/>
      <c r="T9" s="40"/>
      <c r="U9" s="40"/>
      <c r="V9" s="40"/>
      <c r="W9" s="40"/>
      <c r="X9" s="40"/>
      <c r="Y9" s="40"/>
      <c r="Z9" s="40"/>
      <c r="AA9" s="40"/>
      <c r="AB9" s="40"/>
      <c r="AC9" s="40"/>
      <c r="AD9" s="40"/>
      <c r="AE9" s="40"/>
      <c r="AF9" s="40"/>
    </row>
    <row r="10" spans="1:32">
      <c r="A10" s="307">
        <v>4</v>
      </c>
      <c r="B10" s="285" t="s">
        <v>808</v>
      </c>
      <c r="C10" s="308">
        <v>3.1087863471852485E-3</v>
      </c>
      <c r="D10" s="290" t="s">
        <v>128</v>
      </c>
      <c r="I10" s="308">
        <v>6.5799999999999997E-2</v>
      </c>
      <c r="J10" s="86"/>
      <c r="K10" s="41"/>
      <c r="L10" s="40"/>
      <c r="M10" s="40"/>
      <c r="N10" s="40"/>
      <c r="O10" s="40"/>
      <c r="P10" s="40"/>
      <c r="Q10" s="40"/>
      <c r="R10" s="40"/>
      <c r="S10" s="40"/>
      <c r="T10" s="40"/>
      <c r="U10" s="40"/>
      <c r="V10" s="40"/>
      <c r="W10" s="40"/>
      <c r="X10" s="40"/>
      <c r="Y10" s="40"/>
      <c r="Z10" s="40"/>
      <c r="AA10" s="40"/>
      <c r="AB10" s="40"/>
      <c r="AC10" s="40"/>
      <c r="AD10" s="40"/>
      <c r="AE10" s="40"/>
      <c r="AF10" s="40"/>
    </row>
    <row r="11" spans="1:32">
      <c r="A11" s="307">
        <v>5</v>
      </c>
      <c r="B11" s="285" t="s">
        <v>809</v>
      </c>
      <c r="C11" s="304">
        <v>64.111561643835614</v>
      </c>
      <c r="D11" s="290" t="s">
        <v>128</v>
      </c>
      <c r="I11" s="41"/>
      <c r="J11" s="276">
        <v>16881.948</v>
      </c>
      <c r="K11" s="276">
        <v>17050.767480000002</v>
      </c>
      <c r="L11" s="276">
        <v>17221.275154800001</v>
      </c>
      <c r="M11" s="276">
        <v>17393.487906348</v>
      </c>
      <c r="N11" s="276">
        <v>17567.42278541148</v>
      </c>
      <c r="O11" s="276">
        <v>17743.097013265593</v>
      </c>
      <c r="P11" s="276">
        <v>17920.527983398249</v>
      </c>
      <c r="Q11" s="276">
        <v>18099.733263232232</v>
      </c>
      <c r="R11" s="276">
        <v>18280.730595864556</v>
      </c>
      <c r="S11" s="276">
        <v>18463.537901823202</v>
      </c>
      <c r="T11" s="276">
        <v>18648.173280841434</v>
      </c>
      <c r="U11" s="276">
        <v>18834.655013649848</v>
      </c>
      <c r="V11" s="276">
        <v>19023.001563786347</v>
      </c>
      <c r="W11" s="276">
        <v>19213.231579424209</v>
      </c>
      <c r="X11" s="276">
        <v>19405.363895218452</v>
      </c>
      <c r="Y11" s="276">
        <v>19599.417534170636</v>
      </c>
      <c r="Z11" s="276">
        <v>19795.411709512344</v>
      </c>
      <c r="AA11" s="276">
        <v>19993.365826607467</v>
      </c>
      <c r="AB11" s="276">
        <v>20193.299484873543</v>
      </c>
      <c r="AC11" s="276">
        <v>20395.232479722279</v>
      </c>
      <c r="AD11" s="276">
        <v>20599.184804519504</v>
      </c>
      <c r="AE11" s="276">
        <v>20805.1766525647</v>
      </c>
      <c r="AF11" s="276">
        <v>21013.228419090348</v>
      </c>
    </row>
    <row r="12" spans="1:32">
      <c r="A12" s="307">
        <v>6</v>
      </c>
      <c r="B12" s="285" t="s">
        <v>810</v>
      </c>
      <c r="C12" s="520">
        <v>0.65883333333333338</v>
      </c>
      <c r="D12" s="99" t="s">
        <v>707</v>
      </c>
      <c r="I12" s="41"/>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row>
    <row r="13" spans="1:32">
      <c r="A13" s="307">
        <v>7</v>
      </c>
      <c r="B13" s="285" t="s">
        <v>811</v>
      </c>
      <c r="C13" s="266">
        <v>9</v>
      </c>
      <c r="D13" s="530" t="s">
        <v>812</v>
      </c>
      <c r="E13" s="531"/>
      <c r="F13" s="531"/>
      <c r="G13" s="531"/>
      <c r="H13" s="531"/>
      <c r="I13" s="41"/>
      <c r="J13" s="262">
        <v>6.1073850000000007</v>
      </c>
      <c r="K13" s="275">
        <v>6.2906065500000006</v>
      </c>
      <c r="L13" s="107">
        <v>6.4793247465000006</v>
      </c>
      <c r="M13" s="275">
        <v>6.6737044888950008</v>
      </c>
      <c r="N13" s="107">
        <v>6.8739156235618513</v>
      </c>
      <c r="O13" s="275">
        <v>7.0801330922687074</v>
      </c>
      <c r="P13" s="107">
        <v>7.292537085036769</v>
      </c>
      <c r="Q13" s="275">
        <v>7.5113131975878726</v>
      </c>
      <c r="R13" s="107">
        <v>7.736652593515509</v>
      </c>
      <c r="S13" s="275">
        <v>7.9687521713209746</v>
      </c>
      <c r="T13" s="107">
        <v>8.2078147364606036</v>
      </c>
      <c r="U13" s="275">
        <v>8.4540491785544223</v>
      </c>
      <c r="V13" s="107">
        <v>8.7076706539110553</v>
      </c>
      <c r="W13" s="275">
        <v>8.9689007735283877</v>
      </c>
      <c r="X13" s="107">
        <v>9.2379677967342388</v>
      </c>
      <c r="Y13" s="275">
        <v>9.5151068306362667</v>
      </c>
      <c r="Z13" s="107">
        <v>9.800560035555355</v>
      </c>
      <c r="AA13" s="275">
        <v>10.094576836622016</v>
      </c>
      <c r="AB13" s="107">
        <v>10.397414141720677</v>
      </c>
      <c r="AC13" s="275">
        <v>10.709336565972299</v>
      </c>
      <c r="AD13" s="107">
        <v>11.030616662951468</v>
      </c>
      <c r="AE13" s="107">
        <v>11.361535162840012</v>
      </c>
      <c r="AF13" s="107">
        <v>11.702381217725213</v>
      </c>
    </row>
    <row r="14" spans="1:32">
      <c r="A14" s="307">
        <v>8</v>
      </c>
      <c r="B14" s="285" t="s">
        <v>813</v>
      </c>
      <c r="C14" s="305">
        <v>5.9295000000000009</v>
      </c>
      <c r="D14" s="290" t="s">
        <v>814</v>
      </c>
      <c r="I14" s="41"/>
      <c r="J14" s="86">
        <v>0.8</v>
      </c>
      <c r="K14" s="86">
        <v>0.8</v>
      </c>
      <c r="L14" s="86">
        <v>0.8</v>
      </c>
      <c r="M14" s="86">
        <v>0.8</v>
      </c>
      <c r="N14" s="86">
        <v>0.8</v>
      </c>
      <c r="O14" s="86">
        <v>0.8</v>
      </c>
      <c r="P14" s="86">
        <v>0.8</v>
      </c>
      <c r="Q14" s="86">
        <v>0.8</v>
      </c>
      <c r="R14" s="86">
        <v>0.8</v>
      </c>
      <c r="S14" s="86">
        <v>0.8</v>
      </c>
      <c r="T14" s="86">
        <v>0.8</v>
      </c>
      <c r="U14" s="86">
        <v>0.8</v>
      </c>
      <c r="V14" s="86">
        <v>0.8</v>
      </c>
      <c r="W14" s="86">
        <v>0.8</v>
      </c>
      <c r="X14" s="86">
        <v>0.8</v>
      </c>
      <c r="Y14" s="86">
        <v>0.8</v>
      </c>
      <c r="Z14" s="86">
        <v>0.8</v>
      </c>
      <c r="AA14" s="86">
        <v>0.8</v>
      </c>
      <c r="AB14" s="86">
        <v>0.8</v>
      </c>
      <c r="AC14" s="86">
        <v>0.8</v>
      </c>
      <c r="AD14" s="86">
        <v>0.8</v>
      </c>
      <c r="AE14" s="86">
        <v>0.8</v>
      </c>
      <c r="AF14" s="86">
        <v>0.8</v>
      </c>
    </row>
    <row r="15" spans="1:32">
      <c r="A15" s="307">
        <v>9</v>
      </c>
      <c r="B15" s="285" t="s">
        <v>815</v>
      </c>
      <c r="C15" s="532">
        <v>99110.406600000017</v>
      </c>
      <c r="D15" s="290" t="s">
        <v>128</v>
      </c>
      <c r="I15" s="41"/>
      <c r="J15" s="86"/>
      <c r="K15" s="86"/>
      <c r="L15" s="86"/>
      <c r="M15" s="86"/>
      <c r="N15" s="86"/>
      <c r="O15" s="86"/>
      <c r="P15" s="86"/>
      <c r="Q15" s="86"/>
      <c r="R15" s="86"/>
      <c r="S15" s="86"/>
      <c r="T15" s="86"/>
      <c r="U15" s="86"/>
      <c r="V15" s="86"/>
      <c r="W15" s="86"/>
      <c r="X15" s="86"/>
      <c r="Y15" s="86"/>
      <c r="Z15" s="86"/>
      <c r="AA15" s="86"/>
      <c r="AB15" s="86"/>
      <c r="AC15" s="86"/>
      <c r="AD15" s="86"/>
      <c r="AE15" s="86"/>
      <c r="AF15" s="86"/>
    </row>
    <row r="16" spans="1:32" ht="16.5" thickBot="1">
      <c r="A16" s="307">
        <v>10</v>
      </c>
      <c r="B16" s="285" t="s">
        <v>816</v>
      </c>
      <c r="C16" s="338">
        <v>0.8</v>
      </c>
      <c r="D16" s="290" t="s">
        <v>817</v>
      </c>
      <c r="I16" s="41"/>
      <c r="J16" s="263">
        <v>82483.644788784019</v>
      </c>
      <c r="K16" s="263">
        <v>85807.735673772026</v>
      </c>
      <c r="L16" s="263">
        <v>89265.787421425033</v>
      </c>
      <c r="M16" s="263">
        <v>92863.198654508451</v>
      </c>
      <c r="N16" s="263">
        <v>96605.585560285137</v>
      </c>
      <c r="O16" s="263">
        <v>100498.79065836464</v>
      </c>
      <c r="P16" s="263">
        <v>104548.89192189673</v>
      </c>
      <c r="Q16" s="263">
        <v>108762.21226634919</v>
      </c>
      <c r="R16" s="263">
        <v>113145.32942068308</v>
      </c>
      <c r="S16" s="263">
        <v>117705.0861963366</v>
      </c>
      <c r="T16" s="263">
        <v>122448.60117004896</v>
      </c>
      <c r="U16" s="263">
        <v>127383.27979720196</v>
      </c>
      <c r="V16" s="263">
        <v>132516.82597302922</v>
      </c>
      <c r="W16" s="263">
        <v>137857.25405974229</v>
      </c>
      <c r="X16" s="263">
        <v>143412.90139834987</v>
      </c>
      <c r="Y16" s="263">
        <v>149192.4413247034</v>
      </c>
      <c r="Z16" s="263">
        <v>155204.89671008894</v>
      </c>
      <c r="AA16" s="263">
        <v>161459.65404750555</v>
      </c>
      <c r="AB16" s="263">
        <v>167966.47810562004</v>
      </c>
      <c r="AC16" s="263">
        <v>174735.52717327655</v>
      </c>
      <c r="AD16" s="263">
        <v>181777.36891835963</v>
      </c>
      <c r="AE16" s="263">
        <v>189102.99688576953</v>
      </c>
      <c r="AF16" s="263">
        <v>196723.84766026607</v>
      </c>
    </row>
    <row r="17" spans="1:32">
      <c r="A17" s="307">
        <v>11</v>
      </c>
      <c r="B17" s="285" t="s">
        <v>818</v>
      </c>
      <c r="C17" s="533">
        <v>79288.325280000019</v>
      </c>
      <c r="D17" s="290" t="s">
        <v>128</v>
      </c>
      <c r="I17" s="41"/>
      <c r="J17" s="41"/>
      <c r="K17" s="41"/>
      <c r="L17" s="40"/>
      <c r="M17" s="40"/>
      <c r="N17" s="40"/>
      <c r="O17" s="40"/>
      <c r="P17" s="40"/>
      <c r="Q17" s="40"/>
      <c r="R17" s="40"/>
      <c r="S17" s="40"/>
      <c r="T17" s="40"/>
      <c r="U17" s="40"/>
      <c r="V17" s="40"/>
      <c r="W17" s="40"/>
      <c r="X17" s="40"/>
      <c r="Y17" s="40"/>
      <c r="Z17" s="40"/>
      <c r="AA17" s="40"/>
      <c r="AB17" s="40"/>
      <c r="AC17" s="40"/>
      <c r="AD17" s="40"/>
      <c r="AE17" s="40"/>
      <c r="AF17" s="40"/>
    </row>
    <row r="18" spans="1:32" ht="16.5" thickBot="1">
      <c r="B18" s="294" t="s">
        <v>441</v>
      </c>
      <c r="C18" s="309">
        <v>79288.325280000019</v>
      </c>
      <c r="D18" s="290"/>
      <c r="E18" s="295"/>
      <c r="G18" s="295"/>
      <c r="I18" s="274">
        <v>1011790.5389192057</v>
      </c>
      <c r="J18" s="273">
        <v>0</v>
      </c>
      <c r="K18" s="273">
        <v>0</v>
      </c>
      <c r="L18" s="273">
        <v>0</v>
      </c>
      <c r="M18" s="273">
        <v>0</v>
      </c>
      <c r="N18" s="273">
        <v>28981.67566808554</v>
      </c>
      <c r="O18" s="273">
        <v>75374.092993773476</v>
      </c>
      <c r="P18" s="273">
        <v>78411.668941422555</v>
      </c>
      <c r="Q18" s="273">
        <v>81571.659199761896</v>
      </c>
      <c r="R18" s="273">
        <v>113145.32942068308</v>
      </c>
      <c r="S18" s="273">
        <v>117705.0861963366</v>
      </c>
      <c r="T18" s="273">
        <v>122448.60117004896</v>
      </c>
      <c r="U18" s="273">
        <v>127383.27979720196</v>
      </c>
      <c r="V18" s="273">
        <v>132516.82597302922</v>
      </c>
      <c r="W18" s="273">
        <v>137857.25405974229</v>
      </c>
      <c r="X18" s="273">
        <v>143412.90139834987</v>
      </c>
      <c r="Y18" s="273">
        <v>149192.4413247034</v>
      </c>
      <c r="Z18" s="273">
        <v>155204.89671008894</v>
      </c>
      <c r="AA18" s="273">
        <v>161459.65404750555</v>
      </c>
      <c r="AB18" s="273">
        <v>167966.47810562004</v>
      </c>
      <c r="AC18" s="273">
        <v>174735.52717327655</v>
      </c>
      <c r="AD18" s="273">
        <v>181777.36891835963</v>
      </c>
      <c r="AE18" s="273">
        <v>189102.99688576953</v>
      </c>
      <c r="AF18" s="273">
        <v>49180.961915066517</v>
      </c>
    </row>
    <row r="19" spans="1:32">
      <c r="B19" s="294"/>
      <c r="C19" s="309"/>
      <c r="D19" s="290"/>
      <c r="E19" s="295"/>
      <c r="G19" s="295"/>
    </row>
    <row r="20" spans="1:32">
      <c r="D20" s="305"/>
    </row>
    <row r="21" spans="1:32" ht="21.75" thickBot="1">
      <c r="A21" s="325" t="s">
        <v>447</v>
      </c>
      <c r="G21" s="185" t="s">
        <v>819</v>
      </c>
      <c r="H21" s="40"/>
      <c r="I21" s="131" t="s">
        <v>579</v>
      </c>
      <c r="J21" s="40"/>
    </row>
    <row r="22" spans="1:32">
      <c r="B22" s="312" t="s">
        <v>820</v>
      </c>
      <c r="C22" s="313" t="s">
        <v>821</v>
      </c>
      <c r="G22" s="40"/>
      <c r="H22" s="272" t="s">
        <v>581</v>
      </c>
      <c r="I22" s="623" t="s">
        <v>145</v>
      </c>
      <c r="J22" s="623"/>
    </row>
    <row r="23" spans="1:32">
      <c r="B23" s="314">
        <v>970</v>
      </c>
      <c r="C23" s="315" t="s">
        <v>721</v>
      </c>
      <c r="G23" s="40"/>
      <c r="H23" s="40" t="s">
        <v>822</v>
      </c>
      <c r="I23" s="41">
        <v>1</v>
      </c>
      <c r="J23" s="41">
        <v>1</v>
      </c>
    </row>
    <row r="24" spans="1:32">
      <c r="B24" s="314">
        <v>16773</v>
      </c>
      <c r="C24" s="315" t="s">
        <v>637</v>
      </c>
      <c r="D24" s="534">
        <v>0.90313374973077754</v>
      </c>
      <c r="G24" s="40"/>
      <c r="H24" s="40" t="s">
        <v>585</v>
      </c>
      <c r="I24" s="41">
        <v>1</v>
      </c>
      <c r="J24" s="41">
        <v>2</v>
      </c>
    </row>
    <row r="25" spans="1:32">
      <c r="B25" s="314">
        <v>829</v>
      </c>
      <c r="C25" s="315" t="s">
        <v>823</v>
      </c>
      <c r="G25" s="40"/>
      <c r="H25" s="40" t="s">
        <v>587</v>
      </c>
      <c r="I25" s="41">
        <v>1</v>
      </c>
      <c r="J25" s="41">
        <v>1</v>
      </c>
    </row>
    <row r="26" spans="1:32" ht="16.5" thickBot="1">
      <c r="B26" s="316">
        <v>18572</v>
      </c>
      <c r="C26" s="317"/>
      <c r="G26" s="40"/>
      <c r="H26" s="40" t="s">
        <v>589</v>
      </c>
      <c r="I26" s="41">
        <v>1</v>
      </c>
      <c r="J26" s="41">
        <v>3</v>
      </c>
    </row>
    <row r="27" spans="1:32">
      <c r="B27" s="290" t="s">
        <v>824</v>
      </c>
      <c r="G27" s="40"/>
      <c r="H27" s="40" t="s">
        <v>30</v>
      </c>
      <c r="I27" s="271">
        <v>4</v>
      </c>
      <c r="J27" s="271">
        <v>7</v>
      </c>
    </row>
    <row r="28" spans="1:32">
      <c r="G28" s="40"/>
      <c r="H28" s="40"/>
      <c r="I28" s="41" t="s">
        <v>592</v>
      </c>
      <c r="J28" s="270">
        <v>5.5</v>
      </c>
    </row>
    <row r="30" spans="1:32" ht="21">
      <c r="A30" s="325" t="s">
        <v>704</v>
      </c>
    </row>
    <row r="31" spans="1:32">
      <c r="B31" s="285" t="s">
        <v>825</v>
      </c>
      <c r="D31" s="266">
        <v>1</v>
      </c>
      <c r="E31" s="266">
        <v>2</v>
      </c>
      <c r="F31" s="266">
        <v>3</v>
      </c>
      <c r="G31" s="266">
        <v>4</v>
      </c>
      <c r="H31" s="266">
        <v>5</v>
      </c>
      <c r="I31" s="266">
        <v>6</v>
      </c>
      <c r="J31" s="266">
        <v>7</v>
      </c>
      <c r="K31" s="266">
        <v>8</v>
      </c>
      <c r="L31" s="266">
        <v>9</v>
      </c>
      <c r="M31" s="266">
        <v>10</v>
      </c>
      <c r="N31" s="266">
        <v>11</v>
      </c>
      <c r="O31" s="266">
        <v>12</v>
      </c>
      <c r="P31" s="266" t="s">
        <v>30</v>
      </c>
    </row>
    <row r="32" spans="1:32">
      <c r="B32" s="285" t="s">
        <v>826</v>
      </c>
      <c r="C32" s="266">
        <v>2014</v>
      </c>
      <c r="D32" s="266">
        <v>170</v>
      </c>
      <c r="E32" s="266">
        <v>107</v>
      </c>
      <c r="F32" s="266">
        <v>122</v>
      </c>
      <c r="G32" s="266">
        <v>120</v>
      </c>
      <c r="H32" s="266">
        <v>95</v>
      </c>
      <c r="I32" s="266">
        <v>125</v>
      </c>
      <c r="J32" s="266">
        <v>109</v>
      </c>
      <c r="K32" s="266">
        <v>149</v>
      </c>
      <c r="L32" s="266">
        <v>131</v>
      </c>
      <c r="M32" s="266">
        <v>628</v>
      </c>
      <c r="N32" s="266">
        <v>529</v>
      </c>
      <c r="O32" s="266">
        <v>573</v>
      </c>
      <c r="P32" s="310">
        <v>2858</v>
      </c>
    </row>
    <row r="33" spans="2:16">
      <c r="B33" s="285" t="s">
        <v>827</v>
      </c>
      <c r="C33" s="266">
        <v>2014</v>
      </c>
      <c r="D33" s="266">
        <v>40</v>
      </c>
      <c r="E33" s="266">
        <v>22</v>
      </c>
      <c r="F33" s="266">
        <v>37</v>
      </c>
      <c r="G33" s="266">
        <v>132</v>
      </c>
      <c r="H33" s="266">
        <v>36</v>
      </c>
      <c r="I33" s="266">
        <v>30</v>
      </c>
      <c r="J33" s="266">
        <v>23</v>
      </c>
      <c r="K33" s="266">
        <v>91</v>
      </c>
      <c r="L33" s="266">
        <v>23</v>
      </c>
      <c r="M33" s="266">
        <v>924</v>
      </c>
      <c r="N33" s="266">
        <v>766</v>
      </c>
      <c r="O33" s="266">
        <v>731</v>
      </c>
      <c r="P33" s="310">
        <v>2855</v>
      </c>
    </row>
    <row r="34" spans="2:16">
      <c r="B34" s="285" t="s">
        <v>828</v>
      </c>
      <c r="C34" s="266">
        <v>2014</v>
      </c>
      <c r="D34" s="266">
        <v>14</v>
      </c>
      <c r="E34" s="266">
        <v>105</v>
      </c>
      <c r="F34" s="266">
        <v>106</v>
      </c>
      <c r="G34" s="266">
        <v>175</v>
      </c>
      <c r="H34" s="266">
        <v>161</v>
      </c>
      <c r="I34" s="266">
        <v>216</v>
      </c>
      <c r="J34" s="266">
        <v>172</v>
      </c>
      <c r="K34" s="266">
        <v>58</v>
      </c>
      <c r="L34" s="266">
        <v>20</v>
      </c>
      <c r="M34" s="266">
        <v>82</v>
      </c>
      <c r="N34" s="266">
        <v>110</v>
      </c>
      <c r="O34" s="266">
        <v>76</v>
      </c>
      <c r="P34" s="266">
        <v>1295</v>
      </c>
    </row>
    <row r="35" spans="2:16">
      <c r="B35" s="285" t="s">
        <v>829</v>
      </c>
      <c r="C35" s="266">
        <v>2014</v>
      </c>
      <c r="D35" s="266">
        <v>11</v>
      </c>
      <c r="E35" s="266">
        <v>5</v>
      </c>
      <c r="F35" s="266">
        <v>12</v>
      </c>
      <c r="G35" s="266">
        <v>23</v>
      </c>
      <c r="H35" s="266">
        <v>5</v>
      </c>
      <c r="I35" s="266">
        <v>9</v>
      </c>
      <c r="J35" s="266">
        <v>6</v>
      </c>
      <c r="K35" s="266">
        <v>22</v>
      </c>
      <c r="L35" s="266">
        <v>14</v>
      </c>
      <c r="M35" s="266">
        <v>491</v>
      </c>
      <c r="N35" s="266">
        <v>253</v>
      </c>
      <c r="O35" s="266">
        <v>275</v>
      </c>
      <c r="P35" s="310">
        <v>1126</v>
      </c>
    </row>
    <row r="36" spans="2:16">
      <c r="B36" s="285" t="s">
        <v>830</v>
      </c>
      <c r="C36" s="266">
        <v>2014</v>
      </c>
      <c r="D36" s="266">
        <v>62</v>
      </c>
      <c r="E36" s="266">
        <v>60</v>
      </c>
      <c r="F36" s="266">
        <v>48</v>
      </c>
      <c r="G36" s="266">
        <v>44</v>
      </c>
      <c r="H36" s="266">
        <v>38</v>
      </c>
      <c r="I36" s="266">
        <v>32</v>
      </c>
      <c r="J36" s="266">
        <v>65</v>
      </c>
      <c r="K36" s="266">
        <v>34</v>
      </c>
      <c r="L36" s="266">
        <v>63</v>
      </c>
      <c r="M36" s="266">
        <v>244</v>
      </c>
      <c r="N36" s="266">
        <v>158</v>
      </c>
      <c r="O36" s="266">
        <v>269</v>
      </c>
      <c r="P36" s="310">
        <v>1117</v>
      </c>
    </row>
    <row r="37" spans="2:16">
      <c r="B37" s="285" t="s">
        <v>831</v>
      </c>
      <c r="C37" s="266">
        <v>2014</v>
      </c>
      <c r="D37" s="266">
        <v>49</v>
      </c>
      <c r="E37" s="266">
        <v>59</v>
      </c>
      <c r="F37" s="266">
        <v>35</v>
      </c>
      <c r="G37" s="266">
        <v>57</v>
      </c>
      <c r="H37" s="266">
        <v>13</v>
      </c>
      <c r="I37" s="266">
        <v>21</v>
      </c>
      <c r="J37" s="266">
        <v>52</v>
      </c>
      <c r="K37" s="266">
        <v>41</v>
      </c>
      <c r="L37" s="266">
        <v>27</v>
      </c>
      <c r="M37" s="266">
        <v>211</v>
      </c>
      <c r="N37" s="266">
        <v>217</v>
      </c>
      <c r="O37" s="266">
        <v>211</v>
      </c>
      <c r="P37" s="310">
        <v>993</v>
      </c>
    </row>
    <row r="38" spans="2:16">
      <c r="B38" s="285" t="s">
        <v>832</v>
      </c>
      <c r="C38" s="266">
        <v>2014</v>
      </c>
      <c r="D38" s="266">
        <v>32</v>
      </c>
      <c r="E38" s="266">
        <v>24</v>
      </c>
      <c r="F38" s="266">
        <v>53</v>
      </c>
      <c r="G38" s="266">
        <v>45</v>
      </c>
      <c r="H38" s="266">
        <v>16</v>
      </c>
      <c r="I38" s="266">
        <v>1</v>
      </c>
      <c r="J38" s="266">
        <v>2</v>
      </c>
      <c r="K38" s="266">
        <v>20</v>
      </c>
      <c r="L38" s="266">
        <v>17</v>
      </c>
      <c r="M38" s="266">
        <v>77</v>
      </c>
      <c r="N38" s="266">
        <v>120</v>
      </c>
      <c r="O38" s="266">
        <v>107</v>
      </c>
      <c r="P38" s="310">
        <v>514</v>
      </c>
    </row>
    <row r="39" spans="2:16">
      <c r="B39" s="285" t="s">
        <v>833</v>
      </c>
      <c r="C39" s="266">
        <v>2014</v>
      </c>
      <c r="D39" s="266">
        <v>9</v>
      </c>
      <c r="E39" s="266">
        <v>15</v>
      </c>
      <c r="H39" s="266">
        <v>33</v>
      </c>
      <c r="I39" s="266">
        <v>256</v>
      </c>
      <c r="J39" s="266">
        <v>23</v>
      </c>
      <c r="K39" s="266">
        <v>3</v>
      </c>
      <c r="L39" s="266">
        <v>16</v>
      </c>
      <c r="M39" s="266">
        <v>23</v>
      </c>
      <c r="N39" s="266">
        <v>20</v>
      </c>
      <c r="O39" s="266">
        <v>52</v>
      </c>
      <c r="P39" s="310">
        <v>450</v>
      </c>
    </row>
    <row r="40" spans="2:16">
      <c r="B40" s="285" t="s">
        <v>834</v>
      </c>
      <c r="C40" s="266">
        <v>2014</v>
      </c>
      <c r="D40" s="266">
        <v>33</v>
      </c>
      <c r="E40" s="266">
        <v>20</v>
      </c>
      <c r="F40" s="266">
        <v>33</v>
      </c>
      <c r="G40" s="266">
        <v>4</v>
      </c>
      <c r="H40" s="266">
        <v>5</v>
      </c>
      <c r="I40" s="266">
        <v>8</v>
      </c>
      <c r="J40" s="266">
        <v>4</v>
      </c>
      <c r="K40" s="266">
        <v>3</v>
      </c>
      <c r="L40" s="266">
        <v>19</v>
      </c>
      <c r="M40" s="266">
        <v>50</v>
      </c>
      <c r="N40" s="266">
        <v>61</v>
      </c>
      <c r="O40" s="266">
        <v>125</v>
      </c>
      <c r="P40" s="310">
        <v>365</v>
      </c>
    </row>
    <row r="41" spans="2:16">
      <c r="B41" s="285" t="s">
        <v>835</v>
      </c>
      <c r="C41" s="266">
        <v>2014</v>
      </c>
      <c r="D41" s="266">
        <v>32</v>
      </c>
      <c r="E41" s="266">
        <v>28</v>
      </c>
      <c r="F41" s="266">
        <v>14</v>
      </c>
      <c r="G41" s="266">
        <v>8</v>
      </c>
      <c r="H41" s="266">
        <v>8</v>
      </c>
      <c r="I41" s="266">
        <v>23</v>
      </c>
      <c r="J41" s="266">
        <v>4</v>
      </c>
      <c r="K41" s="266">
        <v>15</v>
      </c>
      <c r="L41" s="266">
        <v>7</v>
      </c>
      <c r="M41" s="266">
        <v>84</v>
      </c>
      <c r="N41" s="266">
        <v>55</v>
      </c>
      <c r="O41" s="266">
        <v>64</v>
      </c>
      <c r="P41" s="266">
        <v>342</v>
      </c>
    </row>
    <row r="42" spans="2:16">
      <c r="B42" s="285" t="s">
        <v>836</v>
      </c>
      <c r="C42" s="266">
        <v>2014</v>
      </c>
      <c r="D42" s="266">
        <v>15</v>
      </c>
      <c r="E42" s="266">
        <v>24</v>
      </c>
      <c r="F42" s="266">
        <v>23</v>
      </c>
      <c r="G42" s="266">
        <v>6</v>
      </c>
      <c r="H42" s="266">
        <v>12</v>
      </c>
      <c r="I42" s="266">
        <v>15</v>
      </c>
      <c r="J42" s="266">
        <v>12</v>
      </c>
      <c r="K42" s="266">
        <v>13</v>
      </c>
      <c r="L42" s="266">
        <v>35</v>
      </c>
      <c r="M42" s="266">
        <v>38</v>
      </c>
      <c r="N42" s="266">
        <v>35</v>
      </c>
      <c r="O42" s="266">
        <v>109</v>
      </c>
      <c r="P42" s="266">
        <v>337</v>
      </c>
    </row>
    <row r="43" spans="2:16">
      <c r="B43" s="285" t="s">
        <v>837</v>
      </c>
      <c r="C43" s="266">
        <v>2014</v>
      </c>
      <c r="D43" s="266">
        <v>26</v>
      </c>
      <c r="E43" s="266">
        <v>18</v>
      </c>
      <c r="F43" s="266">
        <v>7</v>
      </c>
      <c r="G43" s="266">
        <v>13</v>
      </c>
      <c r="H43" s="266">
        <v>8</v>
      </c>
      <c r="I43" s="266">
        <v>12</v>
      </c>
      <c r="J43" s="266">
        <v>15</v>
      </c>
      <c r="K43" s="266">
        <v>5</v>
      </c>
      <c r="L43" s="266">
        <v>16</v>
      </c>
      <c r="M43" s="266">
        <v>35</v>
      </c>
      <c r="N43" s="266">
        <v>46</v>
      </c>
      <c r="O43" s="266">
        <v>33</v>
      </c>
      <c r="P43" s="310">
        <v>234</v>
      </c>
    </row>
    <row r="44" spans="2:16">
      <c r="B44" s="285" t="s">
        <v>838</v>
      </c>
      <c r="C44" s="266">
        <v>2014</v>
      </c>
      <c r="D44" s="266">
        <v>25</v>
      </c>
      <c r="E44" s="266">
        <v>11</v>
      </c>
      <c r="F44" s="266">
        <v>16</v>
      </c>
      <c r="G44" s="266">
        <v>2</v>
      </c>
      <c r="H44" s="266">
        <v>4</v>
      </c>
      <c r="I44" s="266">
        <v>4</v>
      </c>
      <c r="J44" s="266">
        <v>3</v>
      </c>
      <c r="K44" s="266">
        <v>4</v>
      </c>
      <c r="L44" s="266">
        <v>9</v>
      </c>
      <c r="M44" s="266">
        <v>26</v>
      </c>
      <c r="N44" s="266">
        <v>29</v>
      </c>
      <c r="O44" s="266">
        <v>32</v>
      </c>
      <c r="P44" s="266">
        <v>165</v>
      </c>
    </row>
    <row r="45" spans="2:16">
      <c r="B45" s="285" t="s">
        <v>839</v>
      </c>
      <c r="C45" s="266">
        <v>2014</v>
      </c>
      <c r="D45" s="266">
        <v>7</v>
      </c>
      <c r="E45" s="266">
        <v>12</v>
      </c>
      <c r="F45" s="266">
        <v>7</v>
      </c>
      <c r="G45" s="266">
        <v>11</v>
      </c>
      <c r="H45" s="266">
        <v>1</v>
      </c>
      <c r="I45" s="266">
        <v>1</v>
      </c>
      <c r="J45" s="266">
        <v>1</v>
      </c>
      <c r="K45" s="266">
        <v>4</v>
      </c>
      <c r="L45" s="266">
        <v>2</v>
      </c>
      <c r="M45" s="266">
        <v>42</v>
      </c>
      <c r="N45" s="266">
        <v>9</v>
      </c>
      <c r="O45" s="266">
        <v>30</v>
      </c>
      <c r="P45" s="310">
        <v>127</v>
      </c>
    </row>
    <row r="46" spans="2:16">
      <c r="B46" s="285" t="s">
        <v>840</v>
      </c>
      <c r="C46" s="266">
        <v>2014</v>
      </c>
      <c r="D46" s="266">
        <v>20</v>
      </c>
      <c r="E46" s="266">
        <v>8</v>
      </c>
      <c r="F46" s="266">
        <v>12</v>
      </c>
      <c r="G46" s="266">
        <v>8</v>
      </c>
      <c r="H46" s="266">
        <v>3</v>
      </c>
      <c r="I46" s="266">
        <v>4</v>
      </c>
      <c r="J46" s="266">
        <v>5</v>
      </c>
      <c r="K46" s="266">
        <v>6</v>
      </c>
      <c r="L46" s="266">
        <v>8</v>
      </c>
      <c r="M46" s="266">
        <v>3</v>
      </c>
      <c r="N46" s="266">
        <v>3</v>
      </c>
      <c r="O46" s="266">
        <v>20</v>
      </c>
      <c r="P46" s="310">
        <v>100</v>
      </c>
    </row>
    <row r="47" spans="2:16">
      <c r="B47" s="285" t="s">
        <v>841</v>
      </c>
      <c r="C47" s="266">
        <v>2014</v>
      </c>
      <c r="D47" s="266">
        <v>2</v>
      </c>
      <c r="E47" s="266">
        <v>3</v>
      </c>
      <c r="F47" s="266">
        <v>5</v>
      </c>
      <c r="G47" s="266">
        <v>4</v>
      </c>
      <c r="I47" s="266">
        <v>1</v>
      </c>
      <c r="J47" s="266">
        <v>4</v>
      </c>
      <c r="K47" s="266">
        <v>9</v>
      </c>
      <c r="L47" s="266">
        <v>1</v>
      </c>
      <c r="M47" s="266">
        <v>16</v>
      </c>
      <c r="N47" s="266">
        <v>5</v>
      </c>
      <c r="O47" s="266">
        <v>16</v>
      </c>
      <c r="P47" s="310">
        <v>66</v>
      </c>
    </row>
    <row r="48" spans="2:16">
      <c r="B48" s="285" t="s">
        <v>842</v>
      </c>
      <c r="C48" s="266">
        <v>2014</v>
      </c>
      <c r="E48" s="266">
        <v>1</v>
      </c>
      <c r="I48" s="266">
        <v>12</v>
      </c>
      <c r="M48" s="266">
        <v>36</v>
      </c>
      <c r="O48" s="266">
        <v>8</v>
      </c>
      <c r="P48" s="266">
        <v>57</v>
      </c>
    </row>
    <row r="49" spans="2:17">
      <c r="B49" s="285" t="s">
        <v>843</v>
      </c>
      <c r="C49" s="266">
        <v>2014</v>
      </c>
      <c r="D49" s="266">
        <v>1</v>
      </c>
      <c r="E49" s="266">
        <v>13</v>
      </c>
      <c r="H49" s="266">
        <v>1</v>
      </c>
      <c r="I49" s="266">
        <v>2</v>
      </c>
      <c r="J49" s="266">
        <v>5</v>
      </c>
      <c r="K49" s="266">
        <v>1</v>
      </c>
      <c r="M49" s="266">
        <v>2</v>
      </c>
      <c r="N49" s="266">
        <v>3</v>
      </c>
      <c r="O49" s="266">
        <v>12</v>
      </c>
      <c r="P49" s="266">
        <v>40</v>
      </c>
    </row>
    <row r="50" spans="2:17">
      <c r="B50" s="285" t="s">
        <v>844</v>
      </c>
      <c r="C50" s="266">
        <v>2014</v>
      </c>
      <c r="D50" s="266">
        <v>6</v>
      </c>
      <c r="E50" s="266">
        <v>6</v>
      </c>
      <c r="F50" s="266">
        <v>2</v>
      </c>
      <c r="M50" s="266">
        <v>3</v>
      </c>
      <c r="O50" s="266">
        <v>5</v>
      </c>
      <c r="P50" s="266">
        <v>22</v>
      </c>
    </row>
    <row r="51" spans="2:17">
      <c r="B51" s="285" t="s">
        <v>845</v>
      </c>
      <c r="C51" s="266">
        <v>2014</v>
      </c>
      <c r="D51" s="266">
        <v>1</v>
      </c>
      <c r="F51" s="266">
        <v>1</v>
      </c>
      <c r="G51" s="266">
        <v>1</v>
      </c>
      <c r="H51" s="266">
        <v>2</v>
      </c>
      <c r="J51" s="266">
        <v>2</v>
      </c>
      <c r="L51" s="266">
        <v>3</v>
      </c>
      <c r="O51" s="266">
        <v>3</v>
      </c>
      <c r="P51" s="266">
        <v>13</v>
      </c>
    </row>
    <row r="52" spans="2:17">
      <c r="B52" s="285" t="s">
        <v>846</v>
      </c>
      <c r="C52" s="266">
        <v>2014</v>
      </c>
      <c r="D52" s="266">
        <v>1</v>
      </c>
      <c r="G52" s="266">
        <v>1</v>
      </c>
      <c r="J52" s="266">
        <v>1</v>
      </c>
      <c r="K52" s="266">
        <v>1</v>
      </c>
      <c r="L52" s="266">
        <v>1</v>
      </c>
      <c r="M52" s="266">
        <v>4</v>
      </c>
      <c r="N52" s="266">
        <v>1</v>
      </c>
      <c r="O52" s="266">
        <v>2</v>
      </c>
      <c r="P52" s="310">
        <v>12</v>
      </c>
    </row>
    <row r="53" spans="2:17">
      <c r="B53" s="285" t="s">
        <v>847</v>
      </c>
      <c r="C53" s="266">
        <v>2014</v>
      </c>
      <c r="F53" s="266">
        <v>1</v>
      </c>
      <c r="O53" s="266">
        <v>6</v>
      </c>
      <c r="P53" s="266">
        <v>7</v>
      </c>
    </row>
    <row r="54" spans="2:17">
      <c r="B54" s="285" t="s">
        <v>848</v>
      </c>
      <c r="C54" s="266">
        <v>2014</v>
      </c>
      <c r="M54" s="266">
        <v>4</v>
      </c>
      <c r="N54" s="266">
        <v>2</v>
      </c>
      <c r="P54" s="266">
        <v>6</v>
      </c>
    </row>
    <row r="55" spans="2:17">
      <c r="B55" s="285" t="s">
        <v>849</v>
      </c>
      <c r="C55" s="266">
        <v>2014</v>
      </c>
      <c r="O55" s="266">
        <v>4</v>
      </c>
      <c r="P55" s="266">
        <v>4</v>
      </c>
    </row>
    <row r="56" spans="2:17">
      <c r="B56" s="285" t="s">
        <v>850</v>
      </c>
      <c r="C56" s="266">
        <v>2014</v>
      </c>
      <c r="L56" s="266">
        <v>1</v>
      </c>
      <c r="P56" s="266">
        <v>1</v>
      </c>
    </row>
    <row r="57" spans="2:17">
      <c r="D57" s="266">
        <v>556</v>
      </c>
      <c r="E57" s="266">
        <v>541</v>
      </c>
      <c r="F57" s="266">
        <v>534</v>
      </c>
      <c r="G57" s="266">
        <v>654</v>
      </c>
      <c r="H57" s="266">
        <v>441</v>
      </c>
      <c r="I57" s="266">
        <v>772</v>
      </c>
      <c r="J57" s="266">
        <v>508</v>
      </c>
      <c r="K57" s="266">
        <v>479</v>
      </c>
      <c r="L57" s="266">
        <v>413</v>
      </c>
      <c r="M57" s="266">
        <v>3023</v>
      </c>
      <c r="N57" s="266">
        <v>2422</v>
      </c>
      <c r="O57" s="266">
        <v>2763</v>
      </c>
      <c r="P57" s="266">
        <v>13106</v>
      </c>
      <c r="Q57" s="285">
        <v>0.82534716923546469</v>
      </c>
    </row>
  </sheetData>
  <mergeCells count="2">
    <mergeCell ref="B4:J4"/>
    <mergeCell ref="I22:J22"/>
  </mergeCells>
  <phoneticPr fontId="64" type="noConversion"/>
  <hyperlinks>
    <hyperlink ref="A1" location="Summary_RealizationSchedule!A1" display="Back to Summary" xr:uid="{00000000-0004-0000-1F00-000000000000}"/>
  </hyperlinks>
  <pageMargins left="0.7" right="0.7" top="0.75" bottom="0.75" header="0.3" footer="0.3"/>
  <drawing r:id="rId1"/>
  <legacyDrawing r:id="rId2"/>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2">
    <tabColor rgb="FF09FF78"/>
  </sheetPr>
  <dimension ref="A1:AH58"/>
  <sheetViews>
    <sheetView topLeftCell="A43" workbookViewId="0">
      <selection activeCell="L35" sqref="L35"/>
    </sheetView>
  </sheetViews>
  <sheetFormatPr defaultColWidth="9.140625" defaultRowHeight="15"/>
  <cols>
    <col min="1" max="1" width="7.5703125" customWidth="1"/>
    <col min="2" max="2" width="57.5703125" bestFit="1" customWidth="1"/>
    <col min="3" max="3" width="11.5703125" bestFit="1" customWidth="1"/>
    <col min="4" max="4" width="15.28515625" bestFit="1" customWidth="1"/>
    <col min="5" max="5" width="2.7109375" customWidth="1"/>
    <col min="6" max="6" width="28.140625" customWidth="1"/>
    <col min="7" max="7" width="14.28515625" bestFit="1" customWidth="1"/>
    <col min="8" max="8" width="9.140625" style="19"/>
    <col min="9" max="9" width="10.140625" style="19" customWidth="1"/>
    <col min="10" max="10" width="13.28515625" style="19" bestFit="1" customWidth="1"/>
    <col min="11" max="25" width="11.5703125" style="19" bestFit="1" customWidth="1"/>
    <col min="26" max="27" width="12.5703125" style="19" bestFit="1" customWidth="1"/>
    <col min="28" max="28" width="11.5703125" style="19" bestFit="1" customWidth="1"/>
    <col min="29" max="34" width="10.5703125" style="19" bestFit="1" customWidth="1"/>
  </cols>
  <sheetData>
    <row r="1" spans="1:34">
      <c r="A1" s="9" t="s">
        <v>55</v>
      </c>
    </row>
    <row r="2" spans="1:34">
      <c r="G2" t="s">
        <v>58</v>
      </c>
      <c r="J2" s="19">
        <v>1</v>
      </c>
      <c r="K2" s="19">
        <v>1</v>
      </c>
      <c r="L2" s="19">
        <v>1</v>
      </c>
      <c r="M2" s="19">
        <v>1</v>
      </c>
      <c r="N2" s="19">
        <v>1</v>
      </c>
      <c r="O2" s="19">
        <v>0.75</v>
      </c>
      <c r="P2" s="19">
        <v>0.75</v>
      </c>
      <c r="Q2" s="19">
        <v>1</v>
      </c>
      <c r="R2" s="19">
        <v>1</v>
      </c>
      <c r="S2" s="19">
        <v>1</v>
      </c>
      <c r="T2" s="19">
        <v>1</v>
      </c>
      <c r="U2" s="19">
        <v>1</v>
      </c>
      <c r="V2" s="19">
        <v>1</v>
      </c>
      <c r="W2" s="19">
        <v>1</v>
      </c>
      <c r="X2" s="19">
        <v>1</v>
      </c>
      <c r="Y2" s="19">
        <v>1</v>
      </c>
      <c r="Z2" s="19">
        <v>1</v>
      </c>
      <c r="AA2" s="19">
        <v>1</v>
      </c>
      <c r="AB2" s="19">
        <v>1</v>
      </c>
      <c r="AC2" s="19">
        <v>1</v>
      </c>
      <c r="AD2" s="19">
        <v>1</v>
      </c>
      <c r="AE2" s="19">
        <v>0.25</v>
      </c>
      <c r="AF2" s="19">
        <v>0</v>
      </c>
      <c r="AG2" s="19">
        <v>0</v>
      </c>
      <c r="AH2" s="19">
        <v>0</v>
      </c>
    </row>
    <row r="3" spans="1:34" ht="46.5">
      <c r="A3" s="10" t="s">
        <v>851</v>
      </c>
      <c r="F3" s="11" t="s">
        <v>57</v>
      </c>
      <c r="G3" s="19" t="s">
        <v>4</v>
      </c>
      <c r="H3" s="202" t="s">
        <v>62</v>
      </c>
      <c r="I3" s="202" t="s">
        <v>63</v>
      </c>
      <c r="J3" s="19">
        <v>2016</v>
      </c>
      <c r="K3" s="19">
        <v>2017</v>
      </c>
      <c r="L3" s="19">
        <v>2018</v>
      </c>
      <c r="M3" s="19">
        <v>2019</v>
      </c>
      <c r="N3" s="19">
        <v>2020</v>
      </c>
      <c r="O3" s="19">
        <v>2021</v>
      </c>
      <c r="P3" s="19">
        <v>2022</v>
      </c>
      <c r="Q3" s="19">
        <v>2023</v>
      </c>
      <c r="R3" s="19">
        <v>2024</v>
      </c>
      <c r="S3" s="19">
        <v>2025</v>
      </c>
      <c r="T3" s="19">
        <v>2026</v>
      </c>
      <c r="U3" s="19">
        <v>2027</v>
      </c>
      <c r="V3" s="19">
        <v>2028</v>
      </c>
      <c r="W3" s="19">
        <v>2029</v>
      </c>
      <c r="X3" s="19">
        <v>2030</v>
      </c>
      <c r="Y3" s="19">
        <v>2031</v>
      </c>
      <c r="Z3" s="19">
        <v>2032</v>
      </c>
      <c r="AA3" s="19">
        <v>2033</v>
      </c>
      <c r="AB3" s="19">
        <v>2034</v>
      </c>
      <c r="AC3" s="19">
        <v>2035</v>
      </c>
      <c r="AD3" s="19">
        <v>2036</v>
      </c>
      <c r="AE3" s="19">
        <v>2037</v>
      </c>
      <c r="AF3" s="19">
        <v>2038</v>
      </c>
      <c r="AG3" s="19">
        <v>2039</v>
      </c>
      <c r="AH3" s="19">
        <v>2040</v>
      </c>
    </row>
    <row r="4" spans="1:34">
      <c r="A4" t="s">
        <v>852</v>
      </c>
      <c r="F4" s="12"/>
      <c r="G4" s="12"/>
      <c r="J4" s="19" t="s">
        <v>66</v>
      </c>
    </row>
    <row r="5" spans="1:34" ht="15.75">
      <c r="B5" s="40" t="s">
        <v>410</v>
      </c>
      <c r="C5" s="278"/>
      <c r="F5" s="12"/>
      <c r="G5" s="12"/>
      <c r="J5" s="19" t="s">
        <v>66</v>
      </c>
    </row>
    <row r="6" spans="1:34" ht="15.75">
      <c r="B6" s="40"/>
      <c r="C6" s="41">
        <v>2013</v>
      </c>
      <c r="F6" s="12"/>
      <c r="G6" s="12"/>
      <c r="J6" s="22" t="s">
        <v>66</v>
      </c>
      <c r="K6" s="22" t="s">
        <v>66</v>
      </c>
      <c r="L6" s="22" t="s">
        <v>66</v>
      </c>
      <c r="M6" s="22" t="s">
        <v>66</v>
      </c>
      <c r="N6" s="22" t="s">
        <v>66</v>
      </c>
      <c r="O6" s="22" t="s">
        <v>66</v>
      </c>
      <c r="P6" s="22" t="s">
        <v>66</v>
      </c>
      <c r="Q6" s="22" t="s">
        <v>66</v>
      </c>
      <c r="R6" s="22" t="s">
        <v>66</v>
      </c>
      <c r="S6" s="22" t="s">
        <v>66</v>
      </c>
      <c r="T6" s="22" t="s">
        <v>66</v>
      </c>
      <c r="U6" s="22" t="s">
        <v>66</v>
      </c>
      <c r="V6" s="22" t="s">
        <v>66</v>
      </c>
      <c r="W6" s="22" t="s">
        <v>66</v>
      </c>
      <c r="X6" s="22" t="s">
        <v>66</v>
      </c>
      <c r="Y6" s="22" t="s">
        <v>66</v>
      </c>
      <c r="Z6" s="22" t="s">
        <v>66</v>
      </c>
      <c r="AA6" s="22" t="s">
        <v>66</v>
      </c>
      <c r="AB6" s="22" t="s">
        <v>66</v>
      </c>
      <c r="AC6" s="22" t="s">
        <v>66</v>
      </c>
      <c r="AD6" s="22" t="s">
        <v>66</v>
      </c>
      <c r="AE6" s="22" t="s">
        <v>66</v>
      </c>
      <c r="AF6" s="22" t="s">
        <v>66</v>
      </c>
      <c r="AG6" s="22" t="s">
        <v>66</v>
      </c>
      <c r="AH6" s="22" t="s">
        <v>66</v>
      </c>
    </row>
    <row r="7" spans="1:34" ht="15.75">
      <c r="B7" s="40" t="s">
        <v>702</v>
      </c>
      <c r="C7" s="41"/>
      <c r="D7" s="14"/>
      <c r="F7" s="12"/>
      <c r="G7" s="23"/>
      <c r="H7" s="20"/>
      <c r="I7" s="24"/>
      <c r="J7" s="22"/>
      <c r="K7" s="22"/>
      <c r="L7" s="22"/>
      <c r="M7" s="22"/>
      <c r="N7" s="22"/>
      <c r="O7" s="22"/>
      <c r="P7" s="22"/>
      <c r="Q7" s="22"/>
      <c r="R7" s="22"/>
      <c r="S7" s="22"/>
      <c r="T7" s="22"/>
      <c r="U7" s="22"/>
      <c r="V7" s="22"/>
      <c r="W7" s="22"/>
      <c r="X7" s="22"/>
      <c r="Y7" s="22"/>
      <c r="Z7" s="22"/>
      <c r="AA7" s="22"/>
      <c r="AB7" s="22"/>
      <c r="AC7" s="22"/>
      <c r="AD7" s="22"/>
      <c r="AE7" s="22"/>
      <c r="AF7" s="22"/>
      <c r="AG7" s="22"/>
      <c r="AH7" s="22"/>
    </row>
    <row r="8" spans="1:34" ht="15.75">
      <c r="B8" s="40" t="s">
        <v>853</v>
      </c>
      <c r="C8" s="283">
        <v>650</v>
      </c>
      <c r="F8" s="12"/>
      <c r="G8" s="23"/>
      <c r="J8" s="22"/>
      <c r="K8" s="22"/>
      <c r="L8" s="22"/>
      <c r="M8" s="22"/>
      <c r="N8" s="22"/>
      <c r="O8" s="22"/>
      <c r="P8" s="22"/>
      <c r="Q8" s="22"/>
      <c r="R8" s="22"/>
      <c r="S8" s="22"/>
      <c r="T8" s="22"/>
      <c r="U8" s="22"/>
      <c r="V8" s="22"/>
      <c r="W8" s="22"/>
      <c r="X8" s="22"/>
      <c r="Y8" s="22"/>
      <c r="Z8" s="22"/>
      <c r="AA8" s="22"/>
      <c r="AB8" s="22"/>
      <c r="AC8" s="22"/>
      <c r="AD8" s="22"/>
      <c r="AE8" s="22"/>
      <c r="AF8" s="22"/>
      <c r="AG8" s="22"/>
      <c r="AH8" s="22"/>
    </row>
    <row r="9" spans="1:34" ht="15.75">
      <c r="B9" s="40" t="s">
        <v>854</v>
      </c>
      <c r="C9">
        <v>168</v>
      </c>
    </row>
    <row r="10" spans="1:34" ht="15.75">
      <c r="B10" s="40" t="s">
        <v>855</v>
      </c>
      <c r="C10" s="283">
        <v>217</v>
      </c>
      <c r="F10" s="12"/>
      <c r="G10" s="23"/>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4" ht="15.75">
      <c r="B11" s="40" t="s">
        <v>856</v>
      </c>
      <c r="C11" s="283">
        <v>385</v>
      </c>
      <c r="F11" s="12"/>
      <c r="G11" s="23"/>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row>
    <row r="12" spans="1:34" ht="15.75">
      <c r="B12" s="40" t="s">
        <v>857</v>
      </c>
      <c r="C12" s="42">
        <v>7981.1358333333337</v>
      </c>
      <c r="D12" s="13"/>
      <c r="F12" s="12"/>
      <c r="G12" s="23"/>
      <c r="H12" s="20"/>
      <c r="I12" s="21"/>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4" ht="15.75">
      <c r="B13" s="40" t="s">
        <v>858</v>
      </c>
      <c r="C13" s="293">
        <v>1000</v>
      </c>
      <c r="D13" s="36"/>
      <c r="F13" s="12"/>
      <c r="G13" s="23"/>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row>
    <row r="14" spans="1:34" ht="15.75">
      <c r="B14" s="383" t="s">
        <v>859</v>
      </c>
      <c r="C14" s="293">
        <v>700</v>
      </c>
      <c r="D14" s="36"/>
      <c r="F14" s="12"/>
      <c r="G14" s="23"/>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ht="15.75">
      <c r="B15" s="383" t="s">
        <v>860</v>
      </c>
      <c r="C15" s="293">
        <v>900</v>
      </c>
      <c r="D15" s="36"/>
      <c r="F15" s="12"/>
      <c r="G15" s="23"/>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row>
    <row r="16" spans="1:34" ht="15.75">
      <c r="B16" s="40" t="s">
        <v>861</v>
      </c>
      <c r="C16" s="293">
        <v>312900</v>
      </c>
      <c r="D16" s="14" t="s">
        <v>862</v>
      </c>
      <c r="F16" s="12"/>
      <c r="G16" s="23"/>
      <c r="H16" s="20"/>
      <c r="I16" s="24"/>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1:34" ht="15.75">
      <c r="B17" s="40" t="s">
        <v>863</v>
      </c>
      <c r="C17" s="291">
        <v>0</v>
      </c>
      <c r="D17" s="14"/>
      <c r="F17" s="12"/>
      <c r="G17" s="23"/>
      <c r="H17" s="20"/>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row>
    <row r="18" spans="1:34" ht="15.75">
      <c r="B18" s="40" t="s">
        <v>864</v>
      </c>
      <c r="C18" s="283">
        <v>3.25</v>
      </c>
      <c r="D18" s="14"/>
      <c r="F18" s="12"/>
      <c r="G18" s="23"/>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row>
    <row r="19" spans="1:34" ht="15.75">
      <c r="B19" s="40" t="s">
        <v>865</v>
      </c>
      <c r="C19" s="293">
        <v>2600</v>
      </c>
      <c r="D19" s="14"/>
      <c r="F19" s="12"/>
      <c r="G19" s="23"/>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row>
    <row r="20" spans="1:34" ht="15.75">
      <c r="B20" s="40" t="s">
        <v>866</v>
      </c>
      <c r="C20" s="42">
        <v>47291.018923076925</v>
      </c>
      <c r="F20" s="12"/>
      <c r="G20" s="23"/>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4" ht="15.75">
      <c r="A21" s="34"/>
      <c r="B21" s="40" t="s">
        <v>867</v>
      </c>
      <c r="C21" s="338">
        <v>0.59230769230769231</v>
      </c>
      <c r="F21" s="12"/>
      <c r="G21" s="23"/>
      <c r="J21" s="208"/>
      <c r="K21" s="208"/>
      <c r="L21" s="22"/>
      <c r="M21" s="22"/>
      <c r="N21" s="22"/>
      <c r="O21" s="22"/>
      <c r="P21" s="22"/>
      <c r="Q21" s="22"/>
      <c r="R21" s="22"/>
      <c r="S21" s="22"/>
      <c r="T21" s="22"/>
      <c r="U21" s="22"/>
      <c r="V21" s="22"/>
      <c r="W21" s="22"/>
      <c r="X21" s="22"/>
      <c r="Y21" s="22"/>
      <c r="Z21" s="22"/>
      <c r="AA21" s="22"/>
      <c r="AB21" s="22"/>
      <c r="AC21" s="22"/>
      <c r="AD21" s="22"/>
      <c r="AE21" s="22"/>
      <c r="AF21" s="22"/>
      <c r="AG21" s="22"/>
      <c r="AH21" s="22"/>
    </row>
    <row r="22" spans="1:34" ht="15.75">
      <c r="B22" s="40" t="s">
        <v>868</v>
      </c>
      <c r="C22" s="42">
        <v>312900</v>
      </c>
      <c r="D22" s="43">
        <v>0</v>
      </c>
      <c r="F22" s="12" t="s">
        <v>24</v>
      </c>
      <c r="G22" s="23">
        <v>259545.4242275655</v>
      </c>
      <c r="H22" s="20">
        <v>0.03</v>
      </c>
      <c r="I22" s="19">
        <v>0</v>
      </c>
      <c r="J22" s="19">
        <v>0</v>
      </c>
      <c r="K22" s="19">
        <v>0</v>
      </c>
      <c r="L22" s="22">
        <v>312900</v>
      </c>
      <c r="M22" s="22">
        <v>0</v>
      </c>
      <c r="N22" s="22">
        <v>0</v>
      </c>
      <c r="O22" s="22">
        <v>0</v>
      </c>
      <c r="P22" s="22">
        <v>0</v>
      </c>
      <c r="Q22" s="22"/>
      <c r="R22" s="22"/>
      <c r="S22" s="22"/>
      <c r="T22" s="22"/>
      <c r="U22" s="22"/>
      <c r="V22" s="22">
        <v>0</v>
      </c>
      <c r="W22" s="22">
        <v>0</v>
      </c>
      <c r="X22" s="22">
        <v>0</v>
      </c>
      <c r="Y22" s="22">
        <v>0</v>
      </c>
      <c r="Z22" s="22">
        <v>0</v>
      </c>
      <c r="AA22" s="22">
        <v>0</v>
      </c>
      <c r="AB22" s="22">
        <v>0</v>
      </c>
      <c r="AC22" s="22">
        <v>0</v>
      </c>
      <c r="AD22" s="22">
        <v>0</v>
      </c>
      <c r="AE22" s="22">
        <v>0</v>
      </c>
      <c r="AF22" s="22">
        <v>0</v>
      </c>
      <c r="AG22" s="22">
        <v>0</v>
      </c>
      <c r="AH22" s="22">
        <v>0</v>
      </c>
    </row>
    <row r="23" spans="1:34" ht="15.75">
      <c r="B23" s="40" t="s">
        <v>866</v>
      </c>
      <c r="C23" s="42">
        <v>47291.018923076925</v>
      </c>
      <c r="D23" s="43">
        <v>47291.018923076925</v>
      </c>
      <c r="F23" s="12" t="s">
        <v>24</v>
      </c>
      <c r="G23" s="23">
        <v>613517.66117031395</v>
      </c>
      <c r="H23" s="20">
        <v>0.03</v>
      </c>
      <c r="I23" s="19">
        <v>0</v>
      </c>
      <c r="J23" s="208">
        <v>48709.749490769231</v>
      </c>
      <c r="K23" s="208">
        <v>50171.041975492306</v>
      </c>
      <c r="L23" s="22">
        <v>51676.17323475708</v>
      </c>
      <c r="M23" s="22">
        <v>53226.458431799787</v>
      </c>
      <c r="N23" s="22">
        <v>54823.252184753779</v>
      </c>
      <c r="O23" s="22">
        <v>42350.962312722295</v>
      </c>
      <c r="P23" s="22">
        <v>43621.491182103964</v>
      </c>
      <c r="Q23" s="22">
        <v>59906.847890089441</v>
      </c>
      <c r="R23" s="22">
        <v>61704.053326792127</v>
      </c>
      <c r="S23" s="22">
        <v>63555.174926595893</v>
      </c>
      <c r="T23" s="22">
        <v>65461.83017439377</v>
      </c>
      <c r="U23" s="22">
        <v>67425.685079625575</v>
      </c>
      <c r="V23" s="22">
        <v>69448.455632014331</v>
      </c>
      <c r="W23" s="22">
        <v>71531.909300974774</v>
      </c>
      <c r="X23" s="22">
        <v>73677.866580004018</v>
      </c>
      <c r="Y23" s="22">
        <v>75888.202577404125</v>
      </c>
      <c r="Z23" s="22">
        <v>78164.848654726258</v>
      </c>
      <c r="AA23" s="22">
        <v>80509.794114368036</v>
      </c>
      <c r="AB23" s="22">
        <v>82925.087937799079</v>
      </c>
      <c r="AC23" s="22">
        <v>85412.840575933049</v>
      </c>
      <c r="AD23" s="22">
        <v>87975.225793211037</v>
      </c>
      <c r="AE23" s="22">
        <v>22653.620641751844</v>
      </c>
      <c r="AF23" s="22">
        <v>0</v>
      </c>
      <c r="AG23" s="22">
        <v>0</v>
      </c>
      <c r="AH23" s="22">
        <v>0</v>
      </c>
    </row>
    <row r="24" spans="1:34" ht="15.75">
      <c r="B24" s="40" t="s">
        <v>869</v>
      </c>
      <c r="C24" s="17">
        <v>385</v>
      </c>
      <c r="G24" s="23"/>
      <c r="H24" s="20"/>
      <c r="J24" s="208"/>
      <c r="K24" s="208"/>
      <c r="L24" s="22"/>
      <c r="M24" s="22"/>
      <c r="N24" s="22"/>
      <c r="O24" s="22"/>
      <c r="P24" s="22"/>
      <c r="Q24" s="22"/>
      <c r="R24" s="22"/>
      <c r="S24" s="22"/>
      <c r="T24" s="22"/>
      <c r="U24" s="22"/>
      <c r="V24" s="22"/>
      <c r="W24" s="22"/>
      <c r="X24" s="22"/>
      <c r="Y24" s="22"/>
      <c r="Z24" s="22"/>
      <c r="AA24" s="22"/>
      <c r="AB24" s="22"/>
      <c r="AC24" s="22"/>
      <c r="AD24" s="22"/>
      <c r="AE24" s="22"/>
      <c r="AF24" s="22"/>
      <c r="AG24" s="22"/>
      <c r="AH24" s="22"/>
    </row>
    <row r="25" spans="1:34" ht="15.75">
      <c r="B25" s="535" t="s">
        <v>870</v>
      </c>
      <c r="C25" s="17">
        <v>5</v>
      </c>
      <c r="G25" s="23"/>
      <c r="H25" s="20"/>
      <c r="J25" s="208"/>
      <c r="K25" s="208"/>
      <c r="L25" s="22"/>
      <c r="M25" s="22"/>
      <c r="N25" s="22"/>
      <c r="O25" s="22"/>
      <c r="P25" s="22"/>
      <c r="Q25" s="22"/>
      <c r="R25" s="22"/>
      <c r="S25" s="22"/>
      <c r="T25" s="22"/>
      <c r="U25" s="22"/>
      <c r="V25" s="22"/>
      <c r="W25" s="22"/>
      <c r="X25" s="22"/>
      <c r="Y25" s="22"/>
      <c r="Z25" s="22"/>
      <c r="AA25" s="22"/>
      <c r="AB25" s="22"/>
      <c r="AC25" s="22"/>
      <c r="AD25" s="22"/>
      <c r="AE25" s="22"/>
      <c r="AF25" s="22"/>
      <c r="AG25" s="22"/>
      <c r="AH25" s="22"/>
    </row>
    <row r="26" spans="1:34" ht="15.75">
      <c r="B26" s="535" t="s">
        <v>871</v>
      </c>
      <c r="C26" s="536">
        <v>75</v>
      </c>
      <c r="G26" s="23"/>
      <c r="H26" s="20"/>
      <c r="J26" s="208"/>
      <c r="K26" s="208"/>
      <c r="L26" s="22"/>
      <c r="M26" s="22"/>
      <c r="N26" s="22"/>
      <c r="O26" s="22"/>
      <c r="P26" s="22"/>
      <c r="Q26" s="22"/>
      <c r="R26" s="22"/>
      <c r="S26" s="22"/>
      <c r="T26" s="22"/>
      <c r="U26" s="22"/>
      <c r="V26" s="22"/>
      <c r="W26" s="22"/>
      <c r="X26" s="22"/>
      <c r="Y26" s="22"/>
      <c r="Z26" s="22"/>
      <c r="AA26" s="22"/>
      <c r="AB26" s="22"/>
      <c r="AC26" s="22"/>
      <c r="AD26" s="22"/>
      <c r="AE26" s="22"/>
      <c r="AF26" s="22"/>
      <c r="AG26" s="22"/>
      <c r="AH26" s="22"/>
    </row>
    <row r="27" spans="1:34" ht="15.75">
      <c r="B27" s="535" t="s">
        <v>872</v>
      </c>
      <c r="C27" s="14">
        <v>28875</v>
      </c>
      <c r="D27" s="14">
        <v>28875</v>
      </c>
      <c r="G27" s="23">
        <v>26944.406671817629</v>
      </c>
      <c r="H27" s="19">
        <v>0</v>
      </c>
      <c r="I27" s="19">
        <v>0</v>
      </c>
      <c r="J27" s="208">
        <v>0</v>
      </c>
      <c r="K27" s="208">
        <v>0</v>
      </c>
      <c r="L27" s="22">
        <v>0</v>
      </c>
      <c r="M27" s="22">
        <v>0</v>
      </c>
      <c r="N27" s="22">
        <v>0</v>
      </c>
      <c r="O27" s="22">
        <v>0</v>
      </c>
      <c r="P27" s="22">
        <v>0</v>
      </c>
      <c r="Q27" s="22">
        <v>28875</v>
      </c>
      <c r="R27" s="22">
        <v>0</v>
      </c>
      <c r="S27" s="22">
        <v>0</v>
      </c>
      <c r="T27" s="22">
        <v>0</v>
      </c>
      <c r="U27" s="22">
        <v>0</v>
      </c>
      <c r="V27" s="22">
        <v>0</v>
      </c>
      <c r="W27" s="22">
        <v>0</v>
      </c>
      <c r="X27" s="22">
        <v>0</v>
      </c>
      <c r="Y27" s="22">
        <v>0</v>
      </c>
      <c r="Z27" s="22">
        <v>0</v>
      </c>
      <c r="AA27" s="22">
        <v>28875</v>
      </c>
      <c r="AB27" s="22">
        <v>0</v>
      </c>
      <c r="AC27" s="22">
        <v>0</v>
      </c>
      <c r="AD27" s="22">
        <v>0</v>
      </c>
      <c r="AE27" s="22">
        <v>0</v>
      </c>
      <c r="AF27" s="22">
        <v>0</v>
      </c>
      <c r="AG27" s="22">
        <v>0</v>
      </c>
      <c r="AH27" s="22">
        <v>0</v>
      </c>
    </row>
    <row r="28" spans="1:34">
      <c r="G28" s="23"/>
      <c r="H28" s="20"/>
      <c r="J28" s="208"/>
      <c r="K28" s="208"/>
      <c r="L28" s="22"/>
      <c r="M28" s="22"/>
      <c r="N28" s="22"/>
      <c r="O28" s="22"/>
      <c r="P28" s="22"/>
      <c r="Q28" s="22"/>
      <c r="R28" s="22"/>
      <c r="S28" s="22"/>
      <c r="T28" s="22"/>
      <c r="U28" s="22"/>
      <c r="V28" s="22"/>
      <c r="W28" s="22"/>
      <c r="X28" s="22"/>
      <c r="Y28" s="22"/>
      <c r="Z28" s="22"/>
      <c r="AA28" s="22"/>
      <c r="AB28" s="22"/>
      <c r="AC28" s="22"/>
      <c r="AD28" s="22"/>
      <c r="AE28" s="22"/>
      <c r="AF28" s="22"/>
      <c r="AG28" s="22"/>
      <c r="AH28" s="22"/>
    </row>
    <row r="29" spans="1:34">
      <c r="G29" s="23"/>
      <c r="H29" s="20"/>
      <c r="J29" s="208"/>
      <c r="K29" s="208"/>
      <c r="L29" s="22"/>
      <c r="M29" s="22"/>
      <c r="N29" s="22"/>
      <c r="O29" s="22"/>
      <c r="P29" s="22"/>
      <c r="Q29" s="22"/>
      <c r="R29" s="22"/>
      <c r="S29" s="22"/>
      <c r="T29" s="22"/>
      <c r="U29" s="22"/>
      <c r="V29" s="22"/>
      <c r="W29" s="22"/>
      <c r="X29" s="22"/>
      <c r="Y29" s="22"/>
      <c r="Z29" s="22"/>
      <c r="AA29" s="22"/>
      <c r="AB29" s="22"/>
      <c r="AC29" s="22"/>
      <c r="AD29" s="22"/>
      <c r="AE29" s="22"/>
      <c r="AF29" s="22"/>
      <c r="AG29" s="22"/>
      <c r="AH29" s="22"/>
    </row>
    <row r="30" spans="1:34">
      <c r="A30" t="s">
        <v>200</v>
      </c>
      <c r="D30" s="43"/>
      <c r="F30" s="14">
        <v>1761470.572018082</v>
      </c>
      <c r="G30" s="23">
        <v>979466.95150497009</v>
      </c>
      <c r="H30" s="19">
        <v>0.03</v>
      </c>
      <c r="I30" s="19">
        <v>0.01</v>
      </c>
      <c r="J30" s="208">
        <v>48709.749490769231</v>
      </c>
      <c r="K30" s="208">
        <v>50171.041975492306</v>
      </c>
      <c r="L30" s="22">
        <v>364576.17323475709</v>
      </c>
      <c r="M30" s="22">
        <v>53226.458431799787</v>
      </c>
      <c r="N30" s="22">
        <v>54823.252184753779</v>
      </c>
      <c r="O30" s="22">
        <v>42350.962312722295</v>
      </c>
      <c r="P30" s="22">
        <v>43621.491182103964</v>
      </c>
      <c r="Q30" s="22">
        <v>88781.847890089441</v>
      </c>
      <c r="R30" s="22">
        <v>61704.053326792127</v>
      </c>
      <c r="S30" s="22">
        <v>63555.174926595893</v>
      </c>
      <c r="T30" s="22">
        <v>65461.83017439377</v>
      </c>
      <c r="U30" s="22">
        <v>67425.685079625575</v>
      </c>
      <c r="V30" s="22">
        <v>69448.455632014331</v>
      </c>
      <c r="W30" s="22">
        <v>71531.909300974774</v>
      </c>
      <c r="X30" s="22">
        <v>73677.866580004018</v>
      </c>
      <c r="Y30" s="22">
        <v>75888.202577404125</v>
      </c>
      <c r="Z30" s="22">
        <v>78164.848654726258</v>
      </c>
      <c r="AA30" s="22">
        <v>109384.79411436804</v>
      </c>
      <c r="AB30" s="22">
        <v>82925.087937799079</v>
      </c>
      <c r="AC30" s="22">
        <v>85412.840575933049</v>
      </c>
      <c r="AD30" s="22">
        <v>87975.225793211037</v>
      </c>
      <c r="AE30" s="22">
        <v>22653.620641751844</v>
      </c>
      <c r="AF30" s="22">
        <v>0</v>
      </c>
      <c r="AG30" s="22">
        <v>0</v>
      </c>
      <c r="AH30" s="22">
        <v>0</v>
      </c>
    </row>
    <row r="31" spans="1:34" ht="15.75">
      <c r="D31" s="519"/>
    </row>
    <row r="39" spans="7:14" ht="15.75" thickBot="1"/>
    <row r="40" spans="7:14">
      <c r="G40" s="366"/>
      <c r="H40" s="367" t="s">
        <v>873</v>
      </c>
      <c r="I40" s="368"/>
      <c r="J40" s="368"/>
      <c r="K40" s="368"/>
      <c r="M40" s="19" t="s">
        <v>177</v>
      </c>
      <c r="N40" s="19" t="s">
        <v>874</v>
      </c>
    </row>
    <row r="41" spans="7:14" ht="15.75" thickBot="1">
      <c r="G41" s="369" t="s">
        <v>875</v>
      </c>
      <c r="H41" s="370" t="s">
        <v>876</v>
      </c>
      <c r="I41" s="371" t="s">
        <v>877</v>
      </c>
      <c r="J41" s="371" t="s">
        <v>878</v>
      </c>
      <c r="K41" s="370" t="s">
        <v>879</v>
      </c>
      <c r="M41" s="381">
        <v>2008</v>
      </c>
      <c r="N41" s="382">
        <v>31365.35</v>
      </c>
    </row>
    <row r="42" spans="7:14">
      <c r="G42" s="372" t="s">
        <v>880</v>
      </c>
      <c r="H42" s="373">
        <v>1</v>
      </c>
      <c r="I42" s="374" t="s">
        <v>859</v>
      </c>
      <c r="J42" s="374">
        <v>0.9</v>
      </c>
      <c r="K42" s="373">
        <v>168</v>
      </c>
      <c r="M42" s="381">
        <v>2009</v>
      </c>
      <c r="N42" s="382">
        <v>95955.58</v>
      </c>
    </row>
    <row r="43" spans="7:14" ht="15.75" thickBot="1">
      <c r="G43" s="375" t="s">
        <v>881</v>
      </c>
      <c r="H43" s="376">
        <v>1</v>
      </c>
      <c r="I43" s="377" t="s">
        <v>859</v>
      </c>
      <c r="J43" s="377">
        <v>0.9</v>
      </c>
      <c r="K43" s="376">
        <v>82</v>
      </c>
      <c r="M43" s="381">
        <v>2010</v>
      </c>
      <c r="N43" s="382">
        <v>91768.72</v>
      </c>
    </row>
    <row r="44" spans="7:14" ht="24.75" thickBot="1">
      <c r="G44" s="369" t="s">
        <v>30</v>
      </c>
      <c r="H44" s="370">
        <v>1</v>
      </c>
      <c r="I44" s="371" t="s">
        <v>859</v>
      </c>
      <c r="J44" s="370">
        <v>0.9</v>
      </c>
      <c r="K44" s="370">
        <v>250</v>
      </c>
      <c r="M44" s="381">
        <v>2011</v>
      </c>
      <c r="N44" s="382">
        <v>79596.87</v>
      </c>
    </row>
    <row r="45" spans="7:14" ht="24">
      <c r="G45" s="372" t="s">
        <v>880</v>
      </c>
      <c r="H45" s="378" t="s">
        <v>882</v>
      </c>
      <c r="I45" s="374" t="s">
        <v>883</v>
      </c>
      <c r="J45" s="373">
        <v>0.81</v>
      </c>
      <c r="K45" s="373">
        <v>115</v>
      </c>
      <c r="M45" s="381">
        <v>2012</v>
      </c>
      <c r="N45" s="382">
        <v>98065.71</v>
      </c>
    </row>
    <row r="46" spans="7:14" ht="24.75" thickBot="1">
      <c r="G46" s="375" t="s">
        <v>881</v>
      </c>
      <c r="H46" s="379" t="s">
        <v>882</v>
      </c>
      <c r="I46" s="377" t="s">
        <v>883</v>
      </c>
      <c r="J46" s="376">
        <v>0.78700000000000003</v>
      </c>
      <c r="K46" s="376">
        <v>85</v>
      </c>
      <c r="M46" s="381">
        <v>2013</v>
      </c>
      <c r="N46" s="382">
        <v>95773.63</v>
      </c>
    </row>
    <row r="47" spans="7:14" ht="24.75" thickBot="1">
      <c r="G47" s="369" t="s">
        <v>30</v>
      </c>
      <c r="H47" s="380" t="s">
        <v>882</v>
      </c>
      <c r="I47" s="371" t="s">
        <v>883</v>
      </c>
      <c r="J47" s="370">
        <v>0.8</v>
      </c>
      <c r="K47" s="370">
        <v>200</v>
      </c>
      <c r="M47" s="381">
        <v>2014</v>
      </c>
      <c r="N47" s="382">
        <v>88900.85</v>
      </c>
    </row>
    <row r="48" spans="7:14" ht="36">
      <c r="G48" s="372" t="s">
        <v>880</v>
      </c>
      <c r="H48" s="374" t="s">
        <v>884</v>
      </c>
      <c r="I48" s="374" t="s">
        <v>885</v>
      </c>
      <c r="J48" s="373">
        <v>0.498</v>
      </c>
      <c r="K48" s="373">
        <v>52</v>
      </c>
      <c r="M48" s="381">
        <v>2015</v>
      </c>
      <c r="N48" s="382">
        <v>79841.98</v>
      </c>
    </row>
    <row r="49" spans="7:14" ht="36.75" thickBot="1">
      <c r="G49" s="375" t="s">
        <v>881</v>
      </c>
      <c r="H49" s="377" t="s">
        <v>884</v>
      </c>
      <c r="I49" s="377" t="s">
        <v>885</v>
      </c>
      <c r="J49" s="376">
        <v>0.505</v>
      </c>
      <c r="K49" s="376">
        <v>23</v>
      </c>
      <c r="M49" s="381">
        <v>2016</v>
      </c>
      <c r="N49" s="382">
        <v>31353.47</v>
      </c>
    </row>
    <row r="50" spans="7:14" ht="36.75" thickBot="1">
      <c r="G50" s="369" t="s">
        <v>30</v>
      </c>
      <c r="H50" s="371" t="s">
        <v>884</v>
      </c>
      <c r="I50" s="371" t="s">
        <v>885</v>
      </c>
      <c r="J50" s="370">
        <v>0.5</v>
      </c>
      <c r="K50" s="370">
        <v>75</v>
      </c>
    </row>
    <row r="51" spans="7:14">
      <c r="G51" s="372" t="s">
        <v>880</v>
      </c>
      <c r="H51" s="374" t="s">
        <v>886</v>
      </c>
      <c r="I51" s="374" t="s">
        <v>887</v>
      </c>
      <c r="J51" s="373">
        <v>0.98499999999999999</v>
      </c>
      <c r="K51" s="373">
        <v>50</v>
      </c>
    </row>
    <row r="52" spans="7:14" ht="15.75" thickBot="1">
      <c r="G52" s="375" t="s">
        <v>881</v>
      </c>
      <c r="H52" s="377" t="s">
        <v>886</v>
      </c>
      <c r="I52" s="377" t="s">
        <v>887</v>
      </c>
      <c r="J52" s="376">
        <v>1.034</v>
      </c>
      <c r="K52" s="376">
        <v>25</v>
      </c>
    </row>
    <row r="53" spans="7:14" ht="15.75" thickBot="1">
      <c r="G53" s="369" t="s">
        <v>30</v>
      </c>
      <c r="H53" s="371" t="s">
        <v>886</v>
      </c>
      <c r="I53" s="371" t="s">
        <v>887</v>
      </c>
      <c r="J53" s="370">
        <v>1</v>
      </c>
      <c r="K53" s="370">
        <v>75</v>
      </c>
    </row>
    <row r="55" spans="7:14">
      <c r="G55" t="s">
        <v>888</v>
      </c>
    </row>
    <row r="56" spans="7:14">
      <c r="G56" t="s">
        <v>859</v>
      </c>
      <c r="H56" s="19">
        <v>168</v>
      </c>
    </row>
    <row r="57" spans="7:14">
      <c r="G57" t="s">
        <v>889</v>
      </c>
      <c r="H57" s="19">
        <v>217</v>
      </c>
    </row>
    <row r="58" spans="7:14">
      <c r="H58" s="19">
        <v>385</v>
      </c>
    </row>
  </sheetData>
  <hyperlinks>
    <hyperlink ref="A1" location="Summary_RealizationSchedule!A1" display="Back to Summary" xr:uid="{00000000-0004-0000-2000-000000000000}"/>
  </hyperlinks>
  <pageMargins left="0.7" right="0.7" top="0.75" bottom="0.75" header="0.3" footer="0.3"/>
  <pageSetup orientation="portrait" r:id="rId1"/>
  <legacy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3">
    <tabColor rgb="FF09FF78"/>
  </sheetPr>
  <dimension ref="A1:AC20"/>
  <sheetViews>
    <sheetView workbookViewId="0">
      <selection activeCell="G26" sqref="G26"/>
    </sheetView>
  </sheetViews>
  <sheetFormatPr defaultColWidth="9.140625" defaultRowHeight="15"/>
  <cols>
    <col min="1" max="1" width="3.85546875" customWidth="1"/>
    <col min="2" max="2" width="5.85546875" customWidth="1"/>
    <col min="3" max="3" width="35.7109375" bestFit="1" customWidth="1"/>
    <col min="4" max="4" width="11.5703125" bestFit="1" customWidth="1"/>
    <col min="5" max="5" width="11.5703125" style="19" bestFit="1" customWidth="1"/>
    <col min="6" max="6" width="11.85546875" style="19" bestFit="1" customWidth="1"/>
    <col min="7" max="10" width="11.5703125" style="19" bestFit="1" customWidth="1"/>
    <col min="11" max="23" width="12.5703125" style="19" bestFit="1" customWidth="1"/>
    <col min="24" max="25" width="11.5703125" bestFit="1" customWidth="1"/>
  </cols>
  <sheetData>
    <row r="1" spans="1:29">
      <c r="A1" s="9" t="s">
        <v>55</v>
      </c>
    </row>
    <row r="3" spans="1:29">
      <c r="A3" s="37" t="s">
        <v>161</v>
      </c>
    </row>
    <row r="5" spans="1:29">
      <c r="B5" t="s">
        <v>162</v>
      </c>
    </row>
    <row r="6" spans="1:29">
      <c r="C6" t="s">
        <v>890</v>
      </c>
      <c r="D6" s="205">
        <v>8</v>
      </c>
      <c r="E6" s="195" t="s">
        <v>891</v>
      </c>
    </row>
    <row r="7" spans="1:29">
      <c r="C7" t="s">
        <v>892</v>
      </c>
      <c r="D7" s="205">
        <v>2.5</v>
      </c>
    </row>
    <row r="8" spans="1:29">
      <c r="C8" t="s">
        <v>893</v>
      </c>
      <c r="D8" s="205">
        <v>60</v>
      </c>
    </row>
    <row r="9" spans="1:29">
      <c r="C9" t="s">
        <v>894</v>
      </c>
      <c r="D9" s="205">
        <v>15</v>
      </c>
      <c r="E9" s="208">
        <v>12525</v>
      </c>
      <c r="F9" s="22">
        <v>12525</v>
      </c>
      <c r="G9" s="22">
        <v>12525</v>
      </c>
      <c r="H9" s="22">
        <v>12525</v>
      </c>
      <c r="I9" s="22">
        <v>10020</v>
      </c>
      <c r="J9" s="22">
        <v>10020</v>
      </c>
      <c r="K9" s="22">
        <v>10020</v>
      </c>
      <c r="L9" s="22">
        <v>10020</v>
      </c>
      <c r="M9" s="22">
        <v>10020</v>
      </c>
      <c r="N9" s="22">
        <v>14670</v>
      </c>
      <c r="O9" s="22">
        <v>14670</v>
      </c>
      <c r="P9" s="22">
        <v>14670</v>
      </c>
      <c r="Q9" s="22">
        <v>14670</v>
      </c>
      <c r="R9" s="22">
        <v>14670</v>
      </c>
      <c r="S9" s="22">
        <v>14670</v>
      </c>
      <c r="T9" s="22">
        <v>14670</v>
      </c>
      <c r="U9" s="22">
        <v>14670</v>
      </c>
      <c r="V9" s="22">
        <v>14670</v>
      </c>
      <c r="W9" s="22">
        <v>14670</v>
      </c>
      <c r="X9" s="22">
        <v>14670</v>
      </c>
      <c r="Y9" s="22">
        <v>14670</v>
      </c>
      <c r="Z9" s="22">
        <v>0</v>
      </c>
      <c r="AA9" s="22">
        <v>0</v>
      </c>
      <c r="AB9" s="22">
        <v>0</v>
      </c>
      <c r="AC9" s="22">
        <v>0</v>
      </c>
    </row>
    <row r="10" spans="1:29">
      <c r="C10" t="s">
        <v>895</v>
      </c>
      <c r="D10" s="205">
        <v>5</v>
      </c>
    </row>
    <row r="11" spans="1:29">
      <c r="C11" t="s">
        <v>171</v>
      </c>
      <c r="D11" s="205">
        <v>88</v>
      </c>
    </row>
    <row r="13" spans="1:29">
      <c r="C13" t="s">
        <v>172</v>
      </c>
      <c r="D13" s="14"/>
    </row>
    <row r="15" spans="1:29">
      <c r="C15" t="s">
        <v>239</v>
      </c>
      <c r="D15" s="38">
        <v>0.03</v>
      </c>
    </row>
    <row r="17" spans="2:29">
      <c r="B17" s="15">
        <v>0.09</v>
      </c>
      <c r="E17" s="19">
        <v>0.5</v>
      </c>
      <c r="F17" s="19">
        <v>1</v>
      </c>
      <c r="G17" s="19">
        <v>1</v>
      </c>
      <c r="H17" s="19">
        <v>1</v>
      </c>
      <c r="I17" s="19">
        <v>1</v>
      </c>
      <c r="J17" s="19">
        <v>0.75</v>
      </c>
      <c r="K17" s="19">
        <v>0.75</v>
      </c>
      <c r="L17" s="19">
        <v>1</v>
      </c>
      <c r="M17" s="19">
        <v>1</v>
      </c>
      <c r="N17" s="19">
        <v>1</v>
      </c>
      <c r="O17" s="19">
        <v>1</v>
      </c>
      <c r="P17" s="19">
        <v>1</v>
      </c>
      <c r="Q17" s="19">
        <v>1</v>
      </c>
      <c r="R17" s="19">
        <v>1</v>
      </c>
      <c r="S17" s="19">
        <v>1</v>
      </c>
      <c r="T17" s="19">
        <v>1</v>
      </c>
      <c r="U17" s="19">
        <v>1</v>
      </c>
      <c r="V17" s="19">
        <v>1</v>
      </c>
      <c r="W17" s="19">
        <v>1</v>
      </c>
      <c r="X17" s="19">
        <v>1</v>
      </c>
      <c r="Y17" s="19">
        <v>1</v>
      </c>
      <c r="Z17" s="19">
        <v>0.25</v>
      </c>
      <c r="AA17" s="19">
        <v>0</v>
      </c>
      <c r="AB17" s="19">
        <v>0</v>
      </c>
      <c r="AC17" s="19">
        <v>0</v>
      </c>
    </row>
    <row r="18" spans="2:29">
      <c r="C18" t="s">
        <v>177</v>
      </c>
      <c r="E18" s="19">
        <v>2016</v>
      </c>
      <c r="F18" s="19">
        <v>2017</v>
      </c>
      <c r="G18" s="19">
        <v>2018</v>
      </c>
      <c r="H18" s="19">
        <v>2019</v>
      </c>
      <c r="I18" s="19">
        <v>2020</v>
      </c>
      <c r="J18" s="19">
        <v>2021</v>
      </c>
      <c r="K18" s="19">
        <v>2022</v>
      </c>
      <c r="L18" s="19">
        <v>2023</v>
      </c>
      <c r="M18" s="19">
        <v>2024</v>
      </c>
      <c r="N18" s="19">
        <v>2025</v>
      </c>
      <c r="O18" s="19">
        <v>2026</v>
      </c>
      <c r="P18" s="19">
        <v>2027</v>
      </c>
      <c r="Q18" s="19">
        <v>2028</v>
      </c>
      <c r="R18" s="19">
        <v>2029</v>
      </c>
      <c r="S18" s="19">
        <v>2030</v>
      </c>
      <c r="T18" s="19">
        <v>2031</v>
      </c>
      <c r="U18" s="19">
        <v>2032</v>
      </c>
      <c r="V18" s="19">
        <v>2033</v>
      </c>
      <c r="W18" s="19">
        <v>2034</v>
      </c>
      <c r="X18" s="19">
        <v>2035</v>
      </c>
      <c r="Y18" s="19">
        <v>2036</v>
      </c>
      <c r="Z18" s="19">
        <v>2037</v>
      </c>
      <c r="AA18" s="19">
        <v>2038</v>
      </c>
      <c r="AB18" s="19">
        <v>2039</v>
      </c>
      <c r="AC18" s="19">
        <v>2040</v>
      </c>
    </row>
    <row r="19" spans="2:29">
      <c r="C19" t="s">
        <v>178</v>
      </c>
      <c r="E19" s="537">
        <v>835</v>
      </c>
      <c r="F19" s="25">
        <v>835</v>
      </c>
      <c r="G19" s="25">
        <v>835</v>
      </c>
      <c r="H19" s="25">
        <v>835</v>
      </c>
      <c r="I19" s="25">
        <v>668</v>
      </c>
      <c r="J19" s="25">
        <v>668</v>
      </c>
      <c r="K19" s="25">
        <v>668</v>
      </c>
      <c r="L19" s="25">
        <v>668</v>
      </c>
      <c r="M19" s="25">
        <v>668</v>
      </c>
      <c r="N19" s="25">
        <v>978</v>
      </c>
      <c r="O19" s="25">
        <v>978</v>
      </c>
      <c r="P19" s="25">
        <v>978</v>
      </c>
      <c r="Q19" s="25">
        <v>978</v>
      </c>
      <c r="R19" s="25">
        <v>978</v>
      </c>
      <c r="S19" s="25">
        <v>978</v>
      </c>
      <c r="T19" s="25">
        <v>978</v>
      </c>
      <c r="U19" s="25">
        <v>978</v>
      </c>
      <c r="V19" s="25">
        <v>978</v>
      </c>
      <c r="W19" s="25">
        <v>978</v>
      </c>
      <c r="X19" s="25">
        <v>978</v>
      </c>
      <c r="Y19" s="25">
        <v>978</v>
      </c>
    </row>
    <row r="20" spans="2:29">
      <c r="C20" t="s">
        <v>179</v>
      </c>
      <c r="D20" s="205">
        <v>1071164.5580977038</v>
      </c>
      <c r="E20" s="208">
        <v>37842.200000000004</v>
      </c>
      <c r="F20" s="22">
        <v>77954.932000000001</v>
      </c>
      <c r="G20" s="22">
        <v>80293.579960000003</v>
      </c>
      <c r="H20" s="22">
        <v>82702.387358799999</v>
      </c>
      <c r="I20" s="22">
        <v>68146.767183651187</v>
      </c>
      <c r="J20" s="22">
        <v>52643.377649370545</v>
      </c>
      <c r="K20" s="22">
        <v>54222.678978851669</v>
      </c>
      <c r="L20" s="22">
        <v>74465.812464289615</v>
      </c>
      <c r="M20" s="22">
        <v>76699.786838218308</v>
      </c>
      <c r="N20" s="22">
        <v>115662.8192718725</v>
      </c>
      <c r="O20" s="22">
        <v>119132.70385002867</v>
      </c>
      <c r="P20" s="22">
        <v>122706.68496552952</v>
      </c>
      <c r="Q20" s="22">
        <v>126387.8855144954</v>
      </c>
      <c r="R20" s="22">
        <v>130179.52207993028</v>
      </c>
      <c r="S20" s="22">
        <v>134084.90774232819</v>
      </c>
      <c r="T20" s="22">
        <v>138107.45497459802</v>
      </c>
      <c r="U20" s="22">
        <v>142250.67862383596</v>
      </c>
      <c r="V20" s="22">
        <v>146518.19898255102</v>
      </c>
      <c r="W20" s="22">
        <v>150913.74495202757</v>
      </c>
      <c r="X20" s="22">
        <v>155441.15730058838</v>
      </c>
      <c r="Y20" s="22">
        <v>160104.39201960602</v>
      </c>
      <c r="Z20" s="22">
        <v>0</v>
      </c>
      <c r="AA20" s="22">
        <v>0</v>
      </c>
      <c r="AB20" s="22">
        <v>0</v>
      </c>
      <c r="AC20" s="22">
        <v>0</v>
      </c>
    </row>
  </sheetData>
  <hyperlinks>
    <hyperlink ref="A1" location="Summary_RealizationSchedule!A1" display="Back to Summary" xr:uid="{00000000-0004-0000-2100-00000000000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44"/>
  <dimension ref="A1"/>
  <sheetViews>
    <sheetView workbookViewId="0"/>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theme="9" tint="-0.249977111117893"/>
  </sheetPr>
  <dimension ref="A1:AF55"/>
  <sheetViews>
    <sheetView workbookViewId="0">
      <pane xSplit="2" ySplit="2" topLeftCell="C3" activePane="bottomRight" state="frozen"/>
      <selection pane="topRight" activeCell="C1" sqref="C1"/>
      <selection pane="bottomLeft" activeCell="A3" sqref="A3"/>
      <selection pane="bottomRight" activeCell="O16" sqref="O16"/>
    </sheetView>
  </sheetViews>
  <sheetFormatPr defaultColWidth="9.140625" defaultRowHeight="15"/>
  <cols>
    <col min="1" max="2" width="3.28515625" customWidth="1"/>
    <col min="3" max="3" width="3.28515625" style="19" customWidth="1"/>
    <col min="4" max="4" width="3.28515625" customWidth="1"/>
    <col min="5" max="5" width="35.5703125" customWidth="1"/>
    <col min="6" max="6" width="15.140625" customWidth="1"/>
    <col min="7" max="7" width="13.7109375" bestFit="1" customWidth="1"/>
    <col min="8" max="24" width="12.5703125" customWidth="1"/>
    <col min="25" max="26" width="14.28515625" bestFit="1" customWidth="1"/>
    <col min="27" max="32" width="12.5703125" customWidth="1"/>
  </cols>
  <sheetData>
    <row r="1" spans="1:32" ht="18.75" customHeight="1">
      <c r="A1" s="1"/>
      <c r="B1" s="1"/>
      <c r="C1" s="502"/>
      <c r="D1" s="1"/>
      <c r="E1" s="538"/>
      <c r="F1" s="433"/>
      <c r="G1" s="1"/>
      <c r="H1" s="1"/>
      <c r="I1" s="1"/>
      <c r="J1" s="1"/>
      <c r="K1" s="1"/>
      <c r="L1" s="1"/>
      <c r="M1" s="1"/>
      <c r="N1" s="1"/>
      <c r="O1" s="1"/>
      <c r="P1" s="1"/>
      <c r="Q1" s="1"/>
      <c r="R1" s="1"/>
      <c r="S1" s="1"/>
      <c r="T1" s="1"/>
      <c r="U1" s="1"/>
      <c r="V1" s="1"/>
      <c r="W1" s="1"/>
      <c r="X1" s="1"/>
      <c r="Y1" s="1"/>
      <c r="Z1" s="1"/>
      <c r="AA1" s="1"/>
      <c r="AB1" s="1"/>
      <c r="AC1" s="1"/>
      <c r="AD1" s="1"/>
      <c r="AE1" s="1"/>
      <c r="AF1" s="1"/>
    </row>
    <row r="2" spans="1:32" ht="15.75" thickBot="1">
      <c r="A2" s="1"/>
      <c r="B2" s="1"/>
      <c r="C2" s="502"/>
      <c r="D2" s="1"/>
      <c r="E2" s="1"/>
      <c r="F2" s="8" t="s">
        <v>4</v>
      </c>
      <c r="G2" s="8" t="s">
        <v>21</v>
      </c>
      <c r="H2" s="8">
        <v>2016</v>
      </c>
      <c r="I2" s="8">
        <v>2017</v>
      </c>
      <c r="J2" s="8">
        <v>2018</v>
      </c>
      <c r="K2" s="8">
        <v>2019</v>
      </c>
      <c r="L2" s="8">
        <v>2020</v>
      </c>
      <c r="M2" s="8">
        <v>2021</v>
      </c>
      <c r="N2" s="8">
        <v>2022</v>
      </c>
      <c r="O2" s="8">
        <v>2023</v>
      </c>
      <c r="P2" s="8">
        <v>2024</v>
      </c>
      <c r="Q2" s="8">
        <v>2025</v>
      </c>
      <c r="R2" s="8">
        <v>2026</v>
      </c>
      <c r="S2" s="8">
        <v>2027</v>
      </c>
      <c r="T2" s="8">
        <v>2028</v>
      </c>
      <c r="U2" s="8">
        <v>2029</v>
      </c>
      <c r="V2" s="8">
        <v>2030</v>
      </c>
      <c r="W2" s="8">
        <v>2031</v>
      </c>
      <c r="X2" s="8">
        <v>2032</v>
      </c>
      <c r="Y2" s="8">
        <v>2033</v>
      </c>
      <c r="Z2" s="8">
        <v>2034</v>
      </c>
      <c r="AA2" s="8">
        <v>2035</v>
      </c>
      <c r="AB2" s="8">
        <v>2036</v>
      </c>
      <c r="AC2" s="8">
        <v>2037</v>
      </c>
      <c r="AD2" s="8">
        <v>2038</v>
      </c>
      <c r="AE2" s="8">
        <v>2039</v>
      </c>
      <c r="AF2" s="8">
        <v>2040</v>
      </c>
    </row>
    <row r="3" spans="1:32" ht="18.75">
      <c r="A3" s="1"/>
      <c r="B3" s="1"/>
      <c r="C3" s="66" t="s">
        <v>22</v>
      </c>
      <c r="D3" s="2"/>
      <c r="E3" s="2"/>
      <c r="F3" s="2"/>
      <c r="G3" s="2"/>
      <c r="H3" s="2"/>
      <c r="I3" s="2"/>
      <c r="J3" s="2"/>
      <c r="K3" s="2"/>
      <c r="L3" s="2"/>
      <c r="M3" s="2"/>
      <c r="N3" s="2"/>
      <c r="O3" s="2"/>
      <c r="P3" s="2"/>
      <c r="Q3" s="2"/>
      <c r="R3" s="2"/>
      <c r="S3" s="2"/>
      <c r="T3" s="2"/>
      <c r="U3" s="2"/>
      <c r="V3" s="2"/>
      <c r="W3" s="2"/>
      <c r="X3" s="2"/>
      <c r="Y3" s="2"/>
      <c r="Z3" s="2"/>
      <c r="AA3" s="2"/>
      <c r="AB3" s="2"/>
      <c r="AC3" s="2"/>
      <c r="AD3" s="2"/>
      <c r="AE3" s="2"/>
      <c r="AF3" s="39"/>
    </row>
    <row r="4" spans="1:32">
      <c r="A4" s="1"/>
      <c r="B4" s="1"/>
      <c r="C4" s="503"/>
      <c r="D4" s="37" t="s">
        <v>23</v>
      </c>
      <c r="E4" s="37"/>
      <c r="F4" s="501"/>
    </row>
    <row r="5" spans="1:32">
      <c r="A5" s="1"/>
      <c r="B5" s="1"/>
      <c r="C5" s="503" t="s">
        <v>24</v>
      </c>
      <c r="D5" s="37"/>
      <c r="E5" s="496" t="s">
        <v>25</v>
      </c>
      <c r="F5" s="43">
        <f>'Eliminate Regular Meter Reading'!H47-'Eliminate Regular Meter Reading'!C65</f>
        <v>57383155.35846632</v>
      </c>
      <c r="G5" s="43">
        <f>SUM(H5:AF5)</f>
        <v>132405573.00601076</v>
      </c>
      <c r="H5" s="355">
        <f>'Eliminate Regular Meter Reading'!K47-'Eliminate Regular Meter Reading'!K65</f>
        <v>280175</v>
      </c>
      <c r="I5" s="355">
        <f>'Eliminate Regular Meter Reading'!L47-'Eliminate Regular Meter Reading'!L65</f>
        <v>369752.77120000031</v>
      </c>
      <c r="J5" s="356">
        <f>'Eliminate Regular Meter Reading'!M47-'Eliminate Regular Meter Reading'!M65</f>
        <v>580538.65811706323</v>
      </c>
      <c r="K5" s="355">
        <f>'Eliminate Regular Meter Reading'!N47-'Eliminate Regular Meter Reading'!N65</f>
        <v>1652817.0334517234</v>
      </c>
      <c r="L5" s="355">
        <f>'Eliminate Regular Meter Reading'!O47-'Eliminate Regular Meter Reading'!O65</f>
        <v>4295101.6957793366</v>
      </c>
      <c r="M5" s="544">
        <f>'Eliminate Regular Meter Reading'!P47-'Eliminate Regular Meter Reading'!P65</f>
        <v>4373501.9934327714</v>
      </c>
      <c r="N5" s="544">
        <f>'Eliminate Regular Meter Reading'!Q47-'Eliminate Regular Meter Reading'!Q65</f>
        <v>4453336.2220941437</v>
      </c>
      <c r="O5" s="544">
        <f>'Eliminate Regular Meter Reading'!R47-'Eliminate Regular Meter Reading'!R65</f>
        <v>6239048.709157981</v>
      </c>
      <c r="P5" s="544">
        <f>'Eliminate Regular Meter Reading'!S47-'Eliminate Regular Meter Reading'!S65</f>
        <v>6487264.8415476931</v>
      </c>
      <c r="Q5" s="544">
        <f>'Eliminate Regular Meter Reading'!T47-'Eliminate Regular Meter Reading'!T65</f>
        <v>6745301.9419204406</v>
      </c>
      <c r="R5" s="544">
        <f>'Eliminate Regular Meter Reading'!U47-'Eliminate Regular Meter Reading'!U65</f>
        <v>7013549.4782801382</v>
      </c>
      <c r="S5" s="544">
        <f>'Eliminate Regular Meter Reading'!V47-'Eliminate Regular Meter Reading'!V65</f>
        <v>7292411.7431279421</v>
      </c>
      <c r="T5" s="544">
        <f>'Eliminate Regular Meter Reading'!W47-'Eliminate Regular Meter Reading'!W65</f>
        <v>7582309.4826638978</v>
      </c>
      <c r="U5" s="544">
        <f>'Eliminate Regular Meter Reading'!X47-'Eliminate Regular Meter Reading'!X65</f>
        <v>7883680.5510302968</v>
      </c>
      <c r="V5" s="544">
        <f>'Eliminate Regular Meter Reading'!Y47-'Eliminate Regular Meter Reading'!Y65</f>
        <v>8196980.5905941557</v>
      </c>
      <c r="W5" s="544">
        <f>'Eliminate Regular Meter Reading'!Z47-'Eliminate Regular Meter Reading'!Z65</f>
        <v>8522681.7393059209</v>
      </c>
      <c r="X5" s="544">
        <f>'Eliminate Regular Meter Reading'!AA47-'Eliminate Regular Meter Reading'!AA65</f>
        <v>8861276.366212938</v>
      </c>
      <c r="Y5" s="544">
        <f>'Eliminate Regular Meter Reading'!AB47-'Eliminate Regular Meter Reading'!AB65</f>
        <v>9213275.8362491019</v>
      </c>
      <c r="Z5" s="544">
        <f>'Eliminate Regular Meter Reading'!AC47-'Eliminate Regular Meter Reading'!AC65</f>
        <v>9579211.3054668829</v>
      </c>
      <c r="AA5" s="544">
        <f>'Eliminate Regular Meter Reading'!AD47-'Eliminate Regular Meter Reading'!AD65</f>
        <v>9959635.5479243323</v>
      </c>
      <c r="AB5" s="544">
        <f>'Eliminate Regular Meter Reading'!AE47-'Eliminate Regular Meter Reading'!AE65</f>
        <v>10355124.815488093</v>
      </c>
      <c r="AC5" s="544">
        <f>'Eliminate Regular Meter Reading'!AF47-'Eliminate Regular Meter Reading'!AF65</f>
        <v>2468596.6829658966</v>
      </c>
      <c r="AD5" s="355">
        <f>'Eliminate Regular Meter Reading'!AG47-'Eliminate Regular Meter Reading'!AG65</f>
        <v>0</v>
      </c>
      <c r="AE5" s="355">
        <f>'Eliminate Regular Meter Reading'!AH47-'Eliminate Regular Meter Reading'!AH65</f>
        <v>0</v>
      </c>
      <c r="AF5" s="355">
        <f>'Eliminate Regular Meter Reading'!AI47-'Eliminate Regular Meter Reading'!AI65</f>
        <v>0</v>
      </c>
    </row>
    <row r="6" spans="1:32">
      <c r="A6" s="1"/>
      <c r="B6" s="1"/>
      <c r="C6" s="503" t="s">
        <v>24</v>
      </c>
      <c r="D6" s="37"/>
      <c r="E6" s="496" t="s">
        <v>26</v>
      </c>
      <c r="F6" s="43">
        <f>'Reduce Special Meter Reading'!G13-'Reduce Special Meter Reading'!G15</f>
        <v>359095.05610758282</v>
      </c>
      <c r="G6" s="43">
        <f>SUM(H6:AF6)</f>
        <v>781459.24000000034</v>
      </c>
      <c r="H6" s="355">
        <f>'Reduce Special Meter Reading'!J13-'Reduce Special Meter Reading'!J15</f>
        <v>0</v>
      </c>
      <c r="I6" s="355">
        <f>'Reduce Special Meter Reading'!K13-'Reduce Special Meter Reading'!K15</f>
        <v>0</v>
      </c>
      <c r="J6" s="355">
        <f>'Reduce Special Meter Reading'!L13-'Reduce Special Meter Reading'!L15</f>
        <v>0</v>
      </c>
      <c r="K6" s="355">
        <f>'Reduce Special Meter Reading'!M13-'Reduce Special Meter Reading'!M15</f>
        <v>14499.057857142858</v>
      </c>
      <c r="L6" s="355">
        <f>'Reduce Special Meter Reading'!N13-'Reduce Special Meter Reading'!N15</f>
        <v>36247.644642857143</v>
      </c>
      <c r="M6" s="544">
        <f>'Reduce Special Meter Reading'!O13-'Reduce Special Meter Reading'!O15</f>
        <v>36247.644642857143</v>
      </c>
      <c r="N6" s="544">
        <f>'Reduce Special Meter Reading'!P13-'Reduce Special Meter Reading'!P15</f>
        <v>34772.644642857143</v>
      </c>
      <c r="O6" s="544">
        <f>'Reduce Special Meter Reading'!Q13-'Reduce Special Meter Reading'!Q15</f>
        <v>46855.192857142858</v>
      </c>
      <c r="P6" s="544">
        <f>'Reduce Special Meter Reading'!R13-'Reduce Special Meter Reading'!R15</f>
        <v>46363.192857142858</v>
      </c>
      <c r="Q6" s="544">
        <f>'Reduce Special Meter Reading'!S13-'Reduce Special Meter Reading'!S15</f>
        <v>46363.192857142858</v>
      </c>
      <c r="R6" s="544">
        <f>'Reduce Special Meter Reading'!T13-'Reduce Special Meter Reading'!T15</f>
        <v>46363.192857142858</v>
      </c>
      <c r="S6" s="544">
        <f>'Reduce Special Meter Reading'!U13-'Reduce Special Meter Reading'!U15</f>
        <v>46363.192857142858</v>
      </c>
      <c r="T6" s="544">
        <f>'Reduce Special Meter Reading'!V13-'Reduce Special Meter Reading'!V15</f>
        <v>46363.192857142858</v>
      </c>
      <c r="U6" s="544">
        <f>'Reduce Special Meter Reading'!W13-'Reduce Special Meter Reading'!W15</f>
        <v>46363.192857142858</v>
      </c>
      <c r="V6" s="544">
        <f>'Reduce Special Meter Reading'!X13-'Reduce Special Meter Reading'!X15</f>
        <v>46363.192857142858</v>
      </c>
      <c r="W6" s="544">
        <f>'Reduce Special Meter Reading'!Y13-'Reduce Special Meter Reading'!Y15</f>
        <v>46363.192857142858</v>
      </c>
      <c r="X6" s="544">
        <f>'Reduce Special Meter Reading'!Z13-'Reduce Special Meter Reading'!Z15</f>
        <v>46363.192857142858</v>
      </c>
      <c r="Y6" s="544">
        <f>'Reduce Special Meter Reading'!AA13-'Reduce Special Meter Reading'!AA15</f>
        <v>46363.192857142858</v>
      </c>
      <c r="Z6" s="544">
        <f>'Reduce Special Meter Reading'!AB13-'Reduce Special Meter Reading'!AB15</f>
        <v>46363.192857142858</v>
      </c>
      <c r="AA6" s="544">
        <f>'Reduce Special Meter Reading'!AC13-'Reduce Special Meter Reading'!AC15</f>
        <v>46363.192857142858</v>
      </c>
      <c r="AB6" s="544">
        <f>'Reduce Special Meter Reading'!AD13-'Reduce Special Meter Reading'!AD15</f>
        <v>46363.192857142858</v>
      </c>
      <c r="AC6" s="544">
        <f>'Reduce Special Meter Reading'!AE13-'Reduce Special Meter Reading'!AE15</f>
        <v>10115.548214285714</v>
      </c>
      <c r="AD6" s="355">
        <v>0</v>
      </c>
      <c r="AE6" s="355">
        <f>'Reduce Special Meter Reading'!AG13-'Reduce Special Meter Reading'!AG15</f>
        <v>0</v>
      </c>
      <c r="AF6" s="355">
        <f>'Reduce Special Meter Reading'!AH13-'Reduce Special Meter Reading'!AH15</f>
        <v>0</v>
      </c>
    </row>
    <row r="7" spans="1:32">
      <c r="A7" s="1"/>
      <c r="B7" s="1"/>
      <c r="C7" s="503"/>
      <c r="D7" s="37"/>
      <c r="E7" s="496" t="s">
        <v>27</v>
      </c>
      <c r="F7" s="43">
        <f>'Net Metering'!D21</f>
        <v>4627144.3366114758</v>
      </c>
      <c r="G7" s="43">
        <f>SUM(H7:AF7)</f>
        <v>10778181.071635626</v>
      </c>
      <c r="H7" s="355">
        <f>'Net Metering'!E21</f>
        <v>0</v>
      </c>
      <c r="I7" s="355">
        <f>'Net Metering'!F21</f>
        <v>0</v>
      </c>
      <c r="J7" s="355">
        <f>'Net Metering'!G21</f>
        <v>44068.413648168214</v>
      </c>
      <c r="K7" s="355">
        <f>'Net Metering'!H21</f>
        <v>66221.412315309572</v>
      </c>
      <c r="L7" s="355">
        <f>'Net Metering'!I21</f>
        <v>99231.423639208995</v>
      </c>
      <c r="M7" s="355">
        <f>'Net Metering'!J21</f>
        <v>114141.91363136643</v>
      </c>
      <c r="N7" s="355">
        <f>'Net Metering'!K21</f>
        <v>169256.64465734427</v>
      </c>
      <c r="O7" s="355">
        <f>'Net Metering'!L21</f>
        <v>248650.70838323809</v>
      </c>
      <c r="P7" s="355">
        <f>'Net Metering'!M21</f>
        <v>360263.80563426786</v>
      </c>
      <c r="Q7" s="355">
        <f>'Net Metering'!N21</f>
        <v>511441.44529828802</v>
      </c>
      <c r="R7" s="355">
        <f>'Net Metering'!O21</f>
        <v>704782.32513473509</v>
      </c>
      <c r="S7" s="355">
        <f>'Net Metering'!P21</f>
        <v>930566.58818764111</v>
      </c>
      <c r="T7" s="355">
        <f>'Net Metering'!Q21</f>
        <v>1156979.5030561332</v>
      </c>
      <c r="U7" s="355">
        <f>'Net Metering'!R21</f>
        <v>1325397.3653708019</v>
      </c>
      <c r="V7" s="355">
        <f>'Net Metering'!S21</f>
        <v>1365252.397559437</v>
      </c>
      <c r="W7" s="355">
        <f>'Net Metering'!T21</f>
        <v>1236459.7649443925</v>
      </c>
      <c r="X7" s="355">
        <f>'Net Metering'!U21</f>
        <v>971999.89782956219</v>
      </c>
      <c r="Y7" s="355">
        <f>'Net Metering'!V21</f>
        <v>666076.23180844774</v>
      </c>
      <c r="Z7" s="355">
        <f>'Net Metering'!W21</f>
        <v>406920.80773599411</v>
      </c>
      <c r="AA7" s="355">
        <f>'Net Metering'!X21</f>
        <v>248596.98614217044</v>
      </c>
      <c r="AB7" s="355">
        <f>'Net Metering'!Y21</f>
        <v>151873.43665912014</v>
      </c>
      <c r="AC7" s="355">
        <f>'Net Metering'!Z21</f>
        <v>0</v>
      </c>
      <c r="AD7" s="355">
        <f>'Net Metering'!AA21</f>
        <v>0</v>
      </c>
      <c r="AE7" s="355">
        <f>'Net Metering'!AB21</f>
        <v>0</v>
      </c>
      <c r="AF7" s="355">
        <f>'Net Metering'!AC21</f>
        <v>0</v>
      </c>
    </row>
    <row r="8" spans="1:32">
      <c r="A8" s="1"/>
      <c r="B8" s="1"/>
      <c r="C8" s="503"/>
      <c r="D8" s="37"/>
      <c r="E8" s="496" t="s">
        <v>17</v>
      </c>
      <c r="F8" s="43">
        <f>'Customer Meter Base Repairs'!B17</f>
        <v>4607038.2513080044</v>
      </c>
      <c r="G8" s="43">
        <f>'Customer Meter Base Repairs'!B16</f>
        <v>5921610</v>
      </c>
      <c r="H8" s="549">
        <f>'Customer Meter Base Repairs'!C15</f>
        <v>299407</v>
      </c>
      <c r="I8" s="549">
        <f>'Customer Meter Base Repairs'!D15</f>
        <v>459313</v>
      </c>
      <c r="J8" s="549">
        <f>'Customer Meter Base Repairs'!E15</f>
        <v>10773</v>
      </c>
      <c r="K8" s="549">
        <f>'Customer Meter Base Repairs'!F15</f>
        <v>2867434</v>
      </c>
      <c r="L8" s="549">
        <f>'Customer Meter Base Repairs'!G15</f>
        <v>2284683</v>
      </c>
      <c r="M8" s="43">
        <f>'Customer Meter Base Repairs'!H9</f>
        <v>0</v>
      </c>
      <c r="N8" s="355">
        <v>0</v>
      </c>
      <c r="O8" s="355">
        <v>0</v>
      </c>
      <c r="P8" s="355">
        <v>0</v>
      </c>
      <c r="Q8" s="355">
        <v>0</v>
      </c>
      <c r="R8" s="355">
        <v>0</v>
      </c>
      <c r="S8" s="355">
        <v>0</v>
      </c>
      <c r="T8" s="355">
        <v>0</v>
      </c>
      <c r="U8" s="355">
        <v>0</v>
      </c>
      <c r="V8" s="355">
        <v>0</v>
      </c>
      <c r="W8" s="355">
        <v>0</v>
      </c>
      <c r="X8" s="355">
        <v>0</v>
      </c>
      <c r="Y8" s="355">
        <v>0</v>
      </c>
      <c r="Z8" s="355">
        <v>0</v>
      </c>
      <c r="AA8" s="355">
        <v>0</v>
      </c>
      <c r="AB8" s="355">
        <v>0</v>
      </c>
      <c r="AC8" s="355">
        <v>0</v>
      </c>
      <c r="AD8" s="355">
        <v>0</v>
      </c>
      <c r="AE8" s="355">
        <v>0</v>
      </c>
      <c r="AF8" s="355">
        <v>0</v>
      </c>
    </row>
    <row r="9" spans="1:32">
      <c r="A9" s="1"/>
      <c r="B9" s="1"/>
      <c r="C9" s="503"/>
      <c r="D9" s="37"/>
      <c r="E9" s="496" t="s">
        <v>19</v>
      </c>
      <c r="F9" s="568">
        <f>'Natural Gas Meter Module Refres'!C11</f>
        <v>2423030.0241882531</v>
      </c>
      <c r="G9" s="568">
        <f>'Natural Gas Meter Module Refres'!D11</f>
        <v>5419318.8420403842</v>
      </c>
      <c r="H9" s="569">
        <f>'Natural Gas Meter Module Refres'!F11</f>
        <v>0</v>
      </c>
      <c r="I9" s="569">
        <f>'Natural Gas Meter Module Refres'!G11</f>
        <v>0</v>
      </c>
      <c r="J9" s="569">
        <f>'Natural Gas Meter Module Refres'!H11</f>
        <v>0</v>
      </c>
      <c r="K9" s="569">
        <f>'Natural Gas Meter Module Refres'!I11</f>
        <v>67530.247925326781</v>
      </c>
      <c r="L9" s="569">
        <f>'Natural Gas Meter Module Refres'!J11</f>
        <v>168825.61981331697</v>
      </c>
      <c r="M9" s="569">
        <f>'Natural Gas Meter Module Refres'!K11</f>
        <v>168825.61981331697</v>
      </c>
      <c r="N9" s="569">
        <f>'Natural Gas Meter Module Refres'!L11</f>
        <v>172555.53343975573</v>
      </c>
      <c r="O9" s="569">
        <f>'Natural Gas Meter Module Refres'!M11</f>
        <v>235178.66123374406</v>
      </c>
      <c r="P9" s="569">
        <f>'Natural Gas Meter Module Refres'!N11</f>
        <v>400697.40055611229</v>
      </c>
      <c r="Q9" s="569">
        <f>'Natural Gas Meter Module Refres'!O11</f>
        <v>409662.09499869589</v>
      </c>
      <c r="R9" s="569">
        <f>'Natural Gas Meter Module Refres'!P11</f>
        <v>418865.16799881589</v>
      </c>
      <c r="S9" s="569">
        <f>'Natural Gas Meter Module Refres'!Q11</f>
        <v>428313.46529044106</v>
      </c>
      <c r="T9" s="569">
        <f>'Natural Gas Meter Module Refres'!R11</f>
        <v>438014.03492333164</v>
      </c>
      <c r="U9" s="569">
        <f>'Natural Gas Meter Module Refres'!S11</f>
        <v>447974.13330195076</v>
      </c>
      <c r="V9" s="569">
        <f>'Natural Gas Meter Module Refres'!T11</f>
        <v>274920.73884314264</v>
      </c>
      <c r="W9" s="569">
        <f>'Natural Gas Meter Module Refres'!U11</f>
        <v>281221.81271559931</v>
      </c>
      <c r="X9" s="569">
        <f>'Natural Gas Meter Module Refres'!V11</f>
        <v>287692.45332130126</v>
      </c>
      <c r="Y9" s="569">
        <f>'Natural Gas Meter Module Refres'!W11</f>
        <v>294337.55300741666</v>
      </c>
      <c r="Z9" s="569">
        <f>'Natural Gas Meter Module Refres'!X11</f>
        <v>301162.14894498023</v>
      </c>
      <c r="AA9" s="569">
        <f>'Natural Gas Meter Module Refres'!Y11</f>
        <v>308171.42745414423</v>
      </c>
      <c r="AB9" s="569">
        <f>'Natural Gas Meter Module Refres'!Z11</f>
        <v>315370.72845899116</v>
      </c>
      <c r="AC9" s="569">
        <f>'Natural Gas Meter Module Refres'!AA11</f>
        <v>0</v>
      </c>
      <c r="AD9" s="355">
        <f>'Natural Gas Meter Module Refres'!AB11</f>
        <v>0</v>
      </c>
      <c r="AE9" s="355">
        <f>'Natural Gas Meter Module Refres'!AC11</f>
        <v>0</v>
      </c>
      <c r="AF9" s="355">
        <f>'Natural Gas Meter Module Refres'!AD11</f>
        <v>0</v>
      </c>
    </row>
    <row r="10" spans="1:32">
      <c r="A10" s="1"/>
      <c r="B10" s="1"/>
      <c r="C10" s="503"/>
      <c r="D10" s="37"/>
      <c r="E10" s="496" t="s">
        <v>28</v>
      </c>
      <c r="F10" s="43">
        <f>'Meter Salvage Value'!C16</f>
        <v>148000</v>
      </c>
      <c r="G10" s="43">
        <f>SUM(H10:AF10)</f>
        <v>0</v>
      </c>
      <c r="H10" s="355">
        <v>0</v>
      </c>
      <c r="I10" s="355">
        <v>0</v>
      </c>
      <c r="J10" s="355">
        <v>0</v>
      </c>
      <c r="K10" s="355">
        <v>0</v>
      </c>
      <c r="L10" s="355">
        <v>0</v>
      </c>
      <c r="M10" s="355">
        <v>0</v>
      </c>
      <c r="N10" s="355">
        <v>0</v>
      </c>
      <c r="O10" s="355">
        <v>0</v>
      </c>
      <c r="P10" s="355">
        <v>0</v>
      </c>
      <c r="Q10" s="355">
        <v>0</v>
      </c>
      <c r="R10" s="355">
        <v>0</v>
      </c>
      <c r="S10" s="355">
        <v>0</v>
      </c>
      <c r="T10" s="355">
        <v>0</v>
      </c>
      <c r="U10" s="355">
        <v>0</v>
      </c>
      <c r="V10" s="355">
        <v>0</v>
      </c>
      <c r="W10" s="355">
        <v>0</v>
      </c>
      <c r="X10" s="355">
        <v>0</v>
      </c>
      <c r="Y10" s="355">
        <v>0</v>
      </c>
      <c r="Z10" s="355">
        <v>0</v>
      </c>
      <c r="AA10" s="355">
        <v>0</v>
      </c>
      <c r="AB10" s="355">
        <v>0</v>
      </c>
      <c r="AC10" s="355">
        <v>0</v>
      </c>
      <c r="AD10" s="355">
        <v>0</v>
      </c>
      <c r="AE10" s="355">
        <v>0</v>
      </c>
      <c r="AF10" s="355">
        <v>0</v>
      </c>
    </row>
    <row r="11" spans="1:32">
      <c r="A11" s="1"/>
      <c r="B11" s="1"/>
      <c r="C11" s="503"/>
      <c r="D11" s="37"/>
      <c r="E11" s="496" t="s">
        <v>29</v>
      </c>
      <c r="F11" s="43">
        <v>0</v>
      </c>
      <c r="G11" s="43">
        <v>0</v>
      </c>
      <c r="H11" s="43">
        <f>'Local Economy Jobs'!C24</f>
        <v>4057495</v>
      </c>
      <c r="I11" s="43">
        <f>'Local Economy Jobs'!D24</f>
        <v>7490272</v>
      </c>
      <c r="J11" s="43">
        <f>'Local Economy Jobs'!E24</f>
        <v>4658707</v>
      </c>
      <c r="K11" s="43">
        <f>'Local Economy Jobs'!F24</f>
        <v>8000000</v>
      </c>
      <c r="L11" s="43">
        <f>'Local Economy Jobs'!G24</f>
        <v>8782000</v>
      </c>
      <c r="M11" s="43">
        <f>'Local Economy Jobs'!H24</f>
        <v>1200000</v>
      </c>
      <c r="N11" s="355">
        <v>0</v>
      </c>
      <c r="O11" s="355">
        <v>0</v>
      </c>
      <c r="P11" s="355">
        <v>0</v>
      </c>
      <c r="Q11" s="355">
        <v>0</v>
      </c>
      <c r="R11" s="355">
        <v>0</v>
      </c>
      <c r="S11" s="355">
        <v>0</v>
      </c>
      <c r="T11" s="355">
        <v>0</v>
      </c>
      <c r="U11" s="355">
        <v>0</v>
      </c>
      <c r="V11" s="355">
        <v>0</v>
      </c>
      <c r="W11" s="355">
        <v>0</v>
      </c>
      <c r="X11" s="355">
        <v>0</v>
      </c>
      <c r="Y11" s="355">
        <v>0</v>
      </c>
      <c r="Z11" s="355">
        <v>0</v>
      </c>
      <c r="AA11" s="355">
        <v>0</v>
      </c>
      <c r="AB11" s="355">
        <v>0</v>
      </c>
      <c r="AC11" s="355">
        <v>0</v>
      </c>
      <c r="AD11" s="355">
        <v>0</v>
      </c>
      <c r="AE11" s="355">
        <v>0</v>
      </c>
      <c r="AF11" s="355">
        <v>0</v>
      </c>
    </row>
    <row r="12" spans="1:32">
      <c r="A12" s="1"/>
      <c r="B12" s="1"/>
      <c r="C12" s="503"/>
      <c r="D12" s="37"/>
      <c r="E12" s="37" t="s">
        <v>30</v>
      </c>
      <c r="F12" s="43">
        <f>SUM(F5:F11)</f>
        <v>69547463.026681632</v>
      </c>
      <c r="G12" s="43">
        <f t="shared" ref="G12:AF12" si="0">SUM(G5:G11)</f>
        <v>155306142.15968677</v>
      </c>
      <c r="H12" s="355">
        <f t="shared" si="0"/>
        <v>4637077</v>
      </c>
      <c r="I12" s="355">
        <f t="shared" si="0"/>
        <v>8319337.7712000003</v>
      </c>
      <c r="J12" s="355">
        <f t="shared" si="0"/>
        <v>5294087.071765231</v>
      </c>
      <c r="K12" s="355">
        <f t="shared" si="0"/>
        <v>12668501.751549503</v>
      </c>
      <c r="L12" s="355">
        <f t="shared" si="0"/>
        <v>15666089.38387472</v>
      </c>
      <c r="M12" s="355">
        <f t="shared" si="0"/>
        <v>5892717.1715203114</v>
      </c>
      <c r="N12" s="355">
        <f t="shared" si="0"/>
        <v>4829921.0448341006</v>
      </c>
      <c r="O12" s="355">
        <f t="shared" si="0"/>
        <v>6769733.2716321051</v>
      </c>
      <c r="P12" s="355">
        <f t="shared" si="0"/>
        <v>7294589.2405952159</v>
      </c>
      <c r="Q12" s="355">
        <f t="shared" si="0"/>
        <v>7712768.6750745671</v>
      </c>
      <c r="R12" s="355">
        <f t="shared" si="0"/>
        <v>8183560.1642708322</v>
      </c>
      <c r="S12" s="355">
        <f t="shared" si="0"/>
        <v>8697654.9894631673</v>
      </c>
      <c r="T12" s="355">
        <f t="shared" si="0"/>
        <v>9223666.2135005053</v>
      </c>
      <c r="U12" s="355">
        <f t="shared" si="0"/>
        <v>9703415.2425601929</v>
      </c>
      <c r="V12" s="355">
        <f t="shared" si="0"/>
        <v>9883516.9198538773</v>
      </c>
      <c r="W12" s="355">
        <f t="shared" si="0"/>
        <v>10086726.509823056</v>
      </c>
      <c r="X12" s="355">
        <f t="shared" si="0"/>
        <v>10167331.910220943</v>
      </c>
      <c r="Y12" s="355">
        <f t="shared" si="0"/>
        <v>10220052.813922109</v>
      </c>
      <c r="Z12" s="355">
        <f t="shared" si="0"/>
        <v>10333657.455004999</v>
      </c>
      <c r="AA12" s="355">
        <f t="shared" si="0"/>
        <v>10562767.154377788</v>
      </c>
      <c r="AB12" s="355">
        <f t="shared" si="0"/>
        <v>10868732.173463346</v>
      </c>
      <c r="AC12" s="355">
        <f t="shared" si="0"/>
        <v>2478712.2311801822</v>
      </c>
      <c r="AD12" s="355">
        <v>0</v>
      </c>
      <c r="AE12" s="355">
        <f t="shared" si="0"/>
        <v>0</v>
      </c>
      <c r="AF12" s="355">
        <f t="shared" si="0"/>
        <v>0</v>
      </c>
    </row>
    <row r="13" spans="1:32">
      <c r="A13" s="1"/>
      <c r="B13" s="1"/>
      <c r="C13" s="503"/>
      <c r="D13" s="37"/>
      <c r="E13" s="37"/>
      <c r="H13" s="355"/>
      <c r="I13" s="355"/>
      <c r="J13" s="355"/>
      <c r="K13" s="355"/>
      <c r="L13" s="355"/>
      <c r="M13" s="355"/>
      <c r="N13" s="355"/>
      <c r="O13" s="355"/>
      <c r="P13" s="355"/>
      <c r="Q13" s="355"/>
      <c r="R13" s="355"/>
      <c r="S13" s="355"/>
      <c r="T13" s="355"/>
      <c r="U13" s="355"/>
      <c r="V13" s="355"/>
      <c r="W13" s="355"/>
      <c r="X13" s="355"/>
      <c r="Y13" s="355"/>
      <c r="Z13" s="355"/>
      <c r="AA13" s="355"/>
      <c r="AB13" s="355"/>
      <c r="AC13" s="355"/>
      <c r="AD13" s="355"/>
      <c r="AE13" s="355"/>
      <c r="AF13" s="355"/>
    </row>
    <row r="14" spans="1:32">
      <c r="A14" s="1"/>
      <c r="B14" s="1"/>
      <c r="C14" s="503"/>
      <c r="D14" s="37" t="s">
        <v>31</v>
      </c>
      <c r="E14" s="37"/>
      <c r="H14" s="355"/>
      <c r="I14" s="355"/>
      <c r="J14" s="355"/>
      <c r="K14" s="355"/>
      <c r="L14" s="355"/>
      <c r="M14" s="355"/>
      <c r="N14" s="355"/>
      <c r="O14" s="355"/>
      <c r="P14" s="355"/>
      <c r="Q14" s="355"/>
      <c r="R14" s="355"/>
      <c r="S14" s="355"/>
      <c r="T14" s="355"/>
      <c r="U14" s="355"/>
      <c r="V14" s="355"/>
      <c r="W14" s="355"/>
      <c r="X14" s="355"/>
      <c r="Y14" s="355"/>
      <c r="Z14" s="355"/>
      <c r="AA14" s="355"/>
      <c r="AB14" s="355"/>
      <c r="AC14" s="355"/>
      <c r="AD14" s="355"/>
      <c r="AE14" s="355"/>
      <c r="AF14" s="355"/>
    </row>
    <row r="15" spans="1:32">
      <c r="A15" s="1"/>
      <c r="B15" s="1"/>
      <c r="C15" s="19" t="s">
        <v>24</v>
      </c>
      <c r="E15" s="496" t="s">
        <v>32</v>
      </c>
      <c r="F15" s="43">
        <f>'Open Close Transfer'!E10</f>
        <v>10352917.364609633</v>
      </c>
      <c r="G15" s="43">
        <f>SUM(H15:AF15)</f>
        <v>23985022.705145601</v>
      </c>
      <c r="H15" s="355">
        <f>'Open Close Transfer'!F10</f>
        <v>0</v>
      </c>
      <c r="I15" s="355">
        <f>'Open Close Transfer'!G10</f>
        <v>0</v>
      </c>
      <c r="J15" s="355">
        <f>'Open Close Transfer'!H10</f>
        <v>0</v>
      </c>
      <c r="K15" s="355">
        <f>'Open Close Transfer'!I10</f>
        <v>292022.46388064261</v>
      </c>
      <c r="L15" s="355">
        <f>'Open Close Transfer'!J10</f>
        <v>759258.40608967096</v>
      </c>
      <c r="M15" s="355">
        <f>'Open Close Transfer'!K10</f>
        <v>789628.7423332578</v>
      </c>
      <c r="N15" s="355">
        <f>'Open Close Transfer'!L10</f>
        <v>821213.89202658809</v>
      </c>
      <c r="O15" s="355">
        <f>'Open Close Transfer'!M10</f>
        <v>1138749.9302768689</v>
      </c>
      <c r="P15" s="355">
        <f>'Open Close Transfer'!N10</f>
        <v>1184299.9274879438</v>
      </c>
      <c r="Q15" s="355">
        <f>'Open Close Transfer'!O10</f>
        <v>1231671.9245874614</v>
      </c>
      <c r="R15" s="355">
        <f>'Open Close Transfer'!P10</f>
        <v>1280938.8015709599</v>
      </c>
      <c r="S15" s="355">
        <f>'Open Close Transfer'!Q10</f>
        <v>1332176.3536337987</v>
      </c>
      <c r="T15" s="355">
        <f>'Open Close Transfer'!R10</f>
        <v>1385463.4077791504</v>
      </c>
      <c r="U15" s="355">
        <f>'Open Close Transfer'!S10</f>
        <v>1440881.9440903165</v>
      </c>
      <c r="V15" s="355">
        <f>'Open Close Transfer'!T10</f>
        <v>1498517.2218539291</v>
      </c>
      <c r="W15" s="355">
        <f>'Open Close Transfer'!U10</f>
        <v>1558457.9107280865</v>
      </c>
      <c r="X15" s="355">
        <f>'Open Close Transfer'!V10</f>
        <v>1620796.22715721</v>
      </c>
      <c r="Y15" s="355">
        <f>'Open Close Transfer'!W10</f>
        <v>1685628.0762434984</v>
      </c>
      <c r="Z15" s="355">
        <f>'Open Close Transfer'!X10</f>
        <v>1753053.1992932386</v>
      </c>
      <c r="AA15" s="355">
        <f>'Open Close Transfer'!Y10</f>
        <v>1823175.3272649681</v>
      </c>
      <c r="AB15" s="355">
        <f>'Open Close Transfer'!Z10</f>
        <v>1896102.3403555672</v>
      </c>
      <c r="AC15" s="355">
        <f>'Open Close Transfer'!AA10</f>
        <v>492986.60849244741</v>
      </c>
      <c r="AD15" s="355">
        <f>'Open Close Transfer'!AB10</f>
        <v>0</v>
      </c>
      <c r="AE15" s="355">
        <f>'Open Close Transfer'!AC10</f>
        <v>0</v>
      </c>
      <c r="AF15" s="355">
        <f>'Open Close Transfer'!AD10</f>
        <v>0</v>
      </c>
    </row>
    <row r="16" spans="1:32">
      <c r="A16" s="1"/>
      <c r="B16" s="1"/>
      <c r="C16" s="503" t="s">
        <v>24</v>
      </c>
      <c r="E16" s="496" t="s">
        <v>33</v>
      </c>
      <c r="F16" s="43">
        <f>'Credit Collections Connections'!H49</f>
        <v>11326483.662125032</v>
      </c>
      <c r="G16" s="43">
        <f>SUM(H16:AF16)</f>
        <v>18802758.466754206</v>
      </c>
      <c r="H16" s="355">
        <f>'Credit Collections Connections'!K49</f>
        <v>0</v>
      </c>
      <c r="I16" s="355">
        <f>'Credit Collections Connections'!L49</f>
        <v>0</v>
      </c>
      <c r="J16" s="355">
        <f>'Credit Collections Connections'!M49</f>
        <v>0</v>
      </c>
      <c r="K16" s="355">
        <f>'Credit Collections Connections'!N49</f>
        <v>229989.25622264785</v>
      </c>
      <c r="L16" s="355">
        <f>'Credit Collections Connections'!O49</f>
        <v>597697.91269052867</v>
      </c>
      <c r="M16" s="355">
        <f>'Credit Collections Connections'!P49</f>
        <v>621321.53203072469</v>
      </c>
      <c r="N16" s="355">
        <f>'Credit Collections Connections'!Q49</f>
        <v>645879.57714933413</v>
      </c>
      <c r="O16" s="355">
        <f>'Credit Collections Connections'!R49</f>
        <v>895212.0478328946</v>
      </c>
      <c r="P16" s="355">
        <f>'Credit Collections Connections'!S49</f>
        <v>930597.81486357015</v>
      </c>
      <c r="Q16" s="355">
        <f>'Credit Collections Connections'!T49</f>
        <v>967383.37212481501</v>
      </c>
      <c r="R16" s="355">
        <f>'Credit Collections Connections'!U49</f>
        <v>1005624.1325291775</v>
      </c>
      <c r="S16" s="355">
        <f>'Credit Collections Connections'!V49</f>
        <v>1045377.7040939315</v>
      </c>
      <c r="T16" s="355">
        <f>'Credit Collections Connections'!W49</f>
        <v>1086703.9769530282</v>
      </c>
      <c r="U16" s="355">
        <f>'Credit Collections Connections'!X49</f>
        <v>1129665.2138202165</v>
      </c>
      <c r="V16" s="355">
        <f>'Credit Collections Connections'!Y49</f>
        <v>1174326.1440402875</v>
      </c>
      <c r="W16" s="355">
        <f>'Credit Collections Connections'!Z49</f>
        <v>1220754.0613708503</v>
      </c>
      <c r="X16" s="355">
        <f>'Credit Collections Connections'!AA49</f>
        <v>1269018.9256426867</v>
      </c>
      <c r="Y16" s="355">
        <f>'Credit Collections Connections'!AB49</f>
        <v>1319193.4684526257</v>
      </c>
      <c r="Z16" s="355">
        <f>'Credit Collections Connections'!AC49</f>
        <v>1371353.3030489788</v>
      </c>
      <c r="AA16" s="355">
        <f>'Credit Collections Connections'!AD49</f>
        <v>1425577.038575941</v>
      </c>
      <c r="AB16" s="355">
        <f>'Credit Collections Connections'!AE49</f>
        <v>1481946.3988499674</v>
      </c>
      <c r="AC16" s="355">
        <f>'Credit Collections Connections'!AF49</f>
        <v>385136.58646200021</v>
      </c>
      <c r="AD16" s="355">
        <f>'Credit Collections Connections'!AG49</f>
        <v>0</v>
      </c>
      <c r="AE16" s="355">
        <f>'Credit Collections Connections'!AH49</f>
        <v>0</v>
      </c>
      <c r="AF16" s="355">
        <f>'Credit Collections Connections'!AI49</f>
        <v>0</v>
      </c>
    </row>
    <row r="17" spans="1:32">
      <c r="A17" s="1"/>
      <c r="B17" s="1"/>
      <c r="C17" s="503"/>
      <c r="E17" s="496" t="s">
        <v>34</v>
      </c>
      <c r="F17" s="43">
        <f>'After-Hours Fees'!B5</f>
        <v>331214.37502212374</v>
      </c>
      <c r="G17" s="43">
        <f>SUM(H17:AF17)</f>
        <v>769726.26007999992</v>
      </c>
      <c r="H17" s="355">
        <f>'After-Hours Fees'!E5</f>
        <v>0</v>
      </c>
      <c r="I17" s="355">
        <f>'After-Hours Fees'!F5</f>
        <v>0</v>
      </c>
      <c r="J17" s="355">
        <f>'After-Hours Fees'!G5</f>
        <v>0</v>
      </c>
      <c r="K17" s="355">
        <f>'After-Hours Fees'!H5</f>
        <v>0</v>
      </c>
      <c r="L17" s="355">
        <f>'After-Hours Fees'!I5</f>
        <v>0</v>
      </c>
      <c r="M17" s="355">
        <f>'After-Hours Fees'!J5</f>
        <v>0</v>
      </c>
      <c r="N17" s="355">
        <f>'After-Hours Fees'!K5</f>
        <v>50473.85312</v>
      </c>
      <c r="O17" s="355">
        <f>'After-Hours Fees'!L5</f>
        <v>50473.85312</v>
      </c>
      <c r="P17" s="355">
        <f>'After-Hours Fees'!M5</f>
        <v>50473.85312</v>
      </c>
      <c r="Q17" s="355">
        <f>'After-Hours Fees'!N5</f>
        <v>50473.85312</v>
      </c>
      <c r="R17" s="355">
        <f>'After-Hours Fees'!O5</f>
        <v>50473.85312</v>
      </c>
      <c r="S17" s="355">
        <f>'After-Hours Fees'!P5</f>
        <v>50473.85312</v>
      </c>
      <c r="T17" s="355">
        <f>'After-Hours Fees'!Q5</f>
        <v>50473.85312</v>
      </c>
      <c r="U17" s="355">
        <f>'After-Hours Fees'!R5</f>
        <v>50473.85312</v>
      </c>
      <c r="V17" s="355">
        <f>'After-Hours Fees'!S5</f>
        <v>50473.85312</v>
      </c>
      <c r="W17" s="355">
        <f>'After-Hours Fees'!T5</f>
        <v>50473.85312</v>
      </c>
      <c r="X17" s="355">
        <f>'After-Hours Fees'!U5</f>
        <v>50473.85312</v>
      </c>
      <c r="Y17" s="355">
        <f>'After-Hours Fees'!V5</f>
        <v>50473.85312</v>
      </c>
      <c r="Z17" s="355">
        <f>'After-Hours Fees'!W5</f>
        <v>50473.85312</v>
      </c>
      <c r="AA17" s="355">
        <f>'After-Hours Fees'!X5</f>
        <v>50473.85312</v>
      </c>
      <c r="AB17" s="355">
        <f>'After-Hours Fees'!Y5</f>
        <v>50473.85312</v>
      </c>
      <c r="AC17" s="355">
        <f>'After-Hours Fees'!Z5</f>
        <v>12618.46328</v>
      </c>
      <c r="AD17" s="355">
        <f>'After-Hours Fees'!AA5</f>
        <v>0</v>
      </c>
      <c r="AE17" s="355">
        <f>'After-Hours Fees'!AB5</f>
        <v>0</v>
      </c>
      <c r="AF17" s="355">
        <f>'After-Hours Fees'!AC5</f>
        <v>0</v>
      </c>
    </row>
    <row r="18" spans="1:32">
      <c r="A18" s="1"/>
      <c r="B18" s="1"/>
      <c r="C18" s="37"/>
      <c r="D18" s="37"/>
      <c r="E18" s="37" t="s">
        <v>30</v>
      </c>
      <c r="F18" s="43">
        <f>SUM(F15:F17)</f>
        <v>22010615.40175679</v>
      </c>
      <c r="G18" s="43">
        <f>SUM(H18:AF18)</f>
        <v>43557507.43197982</v>
      </c>
      <c r="H18" s="355">
        <f>SUM(H15:H17)</f>
        <v>0</v>
      </c>
      <c r="I18" s="355">
        <f t="shared" ref="I18:AF18" si="1">SUM(I15:I17)</f>
        <v>0</v>
      </c>
      <c r="J18" s="355">
        <f t="shared" si="1"/>
        <v>0</v>
      </c>
      <c r="K18" s="355">
        <f t="shared" si="1"/>
        <v>522011.72010329046</v>
      </c>
      <c r="L18" s="355">
        <f t="shared" si="1"/>
        <v>1356956.3187801996</v>
      </c>
      <c r="M18" s="355">
        <f t="shared" si="1"/>
        <v>1410950.2743639825</v>
      </c>
      <c r="N18" s="355">
        <f t="shared" si="1"/>
        <v>1517567.3222959223</v>
      </c>
      <c r="O18" s="355">
        <f t="shared" si="1"/>
        <v>2084435.8312297636</v>
      </c>
      <c r="P18" s="355">
        <f t="shared" si="1"/>
        <v>2165371.5954715139</v>
      </c>
      <c r="Q18" s="355">
        <f t="shared" si="1"/>
        <v>2249529.1498322766</v>
      </c>
      <c r="R18" s="355">
        <f t="shared" si="1"/>
        <v>2337036.7872201372</v>
      </c>
      <c r="S18" s="355">
        <f t="shared" si="1"/>
        <v>2428027.91084773</v>
      </c>
      <c r="T18" s="355">
        <f t="shared" si="1"/>
        <v>2522641.2378521785</v>
      </c>
      <c r="U18" s="355">
        <f t="shared" si="1"/>
        <v>2621021.0110305334</v>
      </c>
      <c r="V18" s="355">
        <f t="shared" si="1"/>
        <v>2723317.2190142167</v>
      </c>
      <c r="W18" s="355">
        <f t="shared" si="1"/>
        <v>2829685.8252189369</v>
      </c>
      <c r="X18" s="355">
        <f t="shared" si="1"/>
        <v>2940289.005919897</v>
      </c>
      <c r="Y18" s="355">
        <f t="shared" si="1"/>
        <v>3055295.3978161244</v>
      </c>
      <c r="Z18" s="355">
        <f t="shared" si="1"/>
        <v>3174880.3554622177</v>
      </c>
      <c r="AA18" s="355">
        <f t="shared" si="1"/>
        <v>3299226.2189609092</v>
      </c>
      <c r="AB18" s="355">
        <f t="shared" si="1"/>
        <v>3428522.5923255347</v>
      </c>
      <c r="AC18" s="355">
        <f t="shared" si="1"/>
        <v>890741.65823444771</v>
      </c>
      <c r="AD18" s="355">
        <f t="shared" si="1"/>
        <v>0</v>
      </c>
      <c r="AE18" s="355">
        <f t="shared" si="1"/>
        <v>0</v>
      </c>
      <c r="AF18" s="355">
        <f t="shared" si="1"/>
        <v>0</v>
      </c>
    </row>
    <row r="19" spans="1:32">
      <c r="A19" s="1"/>
      <c r="B19" s="1"/>
      <c r="C19" s="503"/>
      <c r="D19" s="37"/>
      <c r="E19" s="37"/>
      <c r="H19" s="355"/>
      <c r="I19" s="355"/>
      <c r="J19" s="355"/>
      <c r="K19" s="355"/>
      <c r="L19" s="355"/>
      <c r="M19" s="355"/>
      <c r="N19" s="355"/>
      <c r="O19" s="355"/>
      <c r="P19" s="355"/>
      <c r="Q19" s="355"/>
      <c r="R19" s="355"/>
      <c r="S19" s="355"/>
      <c r="T19" s="355"/>
      <c r="U19" s="355"/>
      <c r="V19" s="355"/>
      <c r="W19" s="355"/>
      <c r="X19" s="355"/>
      <c r="Y19" s="355"/>
      <c r="Z19" s="355"/>
      <c r="AA19" s="355"/>
      <c r="AB19" s="355"/>
      <c r="AC19" s="355"/>
      <c r="AD19" s="355"/>
      <c r="AE19" s="355"/>
      <c r="AF19" s="355"/>
    </row>
    <row r="20" spans="1:32">
      <c r="A20" s="1"/>
      <c r="B20" s="1"/>
      <c r="C20" s="503"/>
      <c r="D20" s="37" t="s">
        <v>35</v>
      </c>
      <c r="E20" s="37"/>
      <c r="H20" s="355"/>
      <c r="I20" s="355"/>
      <c r="J20" s="355"/>
      <c r="K20" s="355"/>
      <c r="L20" s="355"/>
      <c r="M20" s="355"/>
      <c r="N20" s="355"/>
      <c r="O20" s="355"/>
      <c r="P20" s="355"/>
      <c r="Q20" s="355"/>
      <c r="R20" s="355"/>
      <c r="S20" s="355"/>
      <c r="T20" s="355"/>
      <c r="U20" s="355"/>
      <c r="V20" s="355"/>
      <c r="W20" s="355"/>
      <c r="X20" s="355"/>
      <c r="Y20" s="355"/>
      <c r="Z20" s="355"/>
      <c r="AA20" s="355"/>
      <c r="AB20" s="355"/>
      <c r="AC20" s="355"/>
      <c r="AD20" s="355"/>
      <c r="AE20" s="355"/>
      <c r="AF20" s="355"/>
    </row>
    <row r="21" spans="1:32">
      <c r="A21" s="1"/>
      <c r="B21" s="1"/>
      <c r="C21" s="503"/>
      <c r="E21" s="496" t="s">
        <v>36</v>
      </c>
      <c r="F21" s="43">
        <f>'Earlier Outage Notification'!B12</f>
        <v>28009803.29321368</v>
      </c>
      <c r="G21" s="43">
        <f>SUM(H21:AF21)</f>
        <v>68758762.229717582</v>
      </c>
      <c r="H21" s="355">
        <f>'Earlier Outage Notification'!C12</f>
        <v>0</v>
      </c>
      <c r="I21" s="355">
        <f>'Earlier Outage Notification'!D12</f>
        <v>0</v>
      </c>
      <c r="J21" s="355">
        <f>'Earlier Outage Notification'!E12</f>
        <v>0</v>
      </c>
      <c r="K21" s="355">
        <f>'Earlier Outage Notification'!F12</f>
        <v>0</v>
      </c>
      <c r="L21" s="355">
        <f>'Earlier Outage Notification'!G12</f>
        <v>659702.92920000013</v>
      </c>
      <c r="M21" s="355">
        <f>'Earlier Outage Notification'!H12</f>
        <v>1364001.7764139203</v>
      </c>
      <c r="N21" s="355">
        <f>'Earlier Outage Notification'!I12</f>
        <v>2115157.554685066</v>
      </c>
      <c r="O21" s="355">
        <f>'Earlier Outage Notification'!J12</f>
        <v>2915533.1733778957</v>
      </c>
      <c r="P21" s="355">
        <f>'Earlier Outage Notification'!K12</f>
        <v>3767597.7432975858</v>
      </c>
      <c r="Q21" s="355">
        <f>'Earlier Outage Notification'!L12</f>
        <v>3894942.5470210435</v>
      </c>
      <c r="R21" s="355">
        <f>'Earlier Outage Notification'!M12</f>
        <v>4026591.6051103557</v>
      </c>
      <c r="S21" s="355">
        <f>'Earlier Outage Notification'!N12</f>
        <v>4162690.4013630855</v>
      </c>
      <c r="T21" s="355">
        <f>'Earlier Outage Notification'!O12</f>
        <v>4303389.3369291574</v>
      </c>
      <c r="U21" s="355">
        <f>'Earlier Outage Notification'!P12</f>
        <v>4448843.8965173634</v>
      </c>
      <c r="V21" s="355">
        <f>'Earlier Outage Notification'!Q12</f>
        <v>4599214.8202196509</v>
      </c>
      <c r="W21" s="355">
        <f>'Earlier Outage Notification'!R12</f>
        <v>4754668.2811430749</v>
      </c>
      <c r="X21" s="355">
        <f>'Earlier Outage Notification'!S12</f>
        <v>4915376.0690457113</v>
      </c>
      <c r="Y21" s="355">
        <f>'Earlier Outage Notification'!T12</f>
        <v>5081515.7801794559</v>
      </c>
      <c r="Z21" s="355">
        <f>'Earlier Outage Notification'!U12</f>
        <v>5253271.0135495225</v>
      </c>
      <c r="AA21" s="355">
        <f>'Earlier Outage Notification'!V12</f>
        <v>5430831.5738074966</v>
      </c>
      <c r="AB21" s="355">
        <f>'Earlier Outage Notification'!W12</f>
        <v>5614393.6810021894</v>
      </c>
      <c r="AC21" s="355">
        <f>'Earlier Outage Notification'!X12</f>
        <v>1451040.0468550159</v>
      </c>
      <c r="AD21" s="355">
        <f>'Earlier Outage Notification'!Y12</f>
        <v>0</v>
      </c>
      <c r="AE21" s="355">
        <f>'Earlier Outage Notification'!Z12</f>
        <v>0</v>
      </c>
      <c r="AF21" s="355">
        <f>'Earlier Outage Notification'!AA12</f>
        <v>0</v>
      </c>
    </row>
    <row r="22" spans="1:32">
      <c r="A22" s="1"/>
      <c r="B22" s="1"/>
      <c r="C22" s="503"/>
      <c r="E22" s="496" t="s">
        <v>37</v>
      </c>
      <c r="F22" s="211">
        <f>'More Rapid Restoration'!G4</f>
        <v>18673199.269256186</v>
      </c>
      <c r="G22" s="211">
        <f>'More Rapid Restoration'!H4</f>
        <v>45839167.636496812</v>
      </c>
      <c r="H22" s="355">
        <f>'More Rapid Restoration'!I4</f>
        <v>0</v>
      </c>
      <c r="I22" s="355">
        <f>'More Rapid Restoration'!J4</f>
        <v>0</v>
      </c>
      <c r="J22" s="355">
        <f>'More Rapid Restoration'!K4</f>
        <v>0</v>
      </c>
      <c r="K22" s="355">
        <f>'More Rapid Restoration'!L4</f>
        <v>0</v>
      </c>
      <c r="L22" s="211">
        <f>'More Rapid Restoration'!M4</f>
        <v>439801.88388000004</v>
      </c>
      <c r="M22" s="211">
        <f>'More Rapid Restoration'!N4</f>
        <v>909334.37511028803</v>
      </c>
      <c r="N22" s="211">
        <f>'More Rapid Restoration'!O4</f>
        <v>1410104.8154835238</v>
      </c>
      <c r="O22" s="211">
        <f>'More Rapid Restoration'!P4</f>
        <v>1943688.4776624895</v>
      </c>
      <c r="P22" s="211">
        <f>'More Rapid Restoration'!Q4</f>
        <v>2511731.435259352</v>
      </c>
      <c r="Q22" s="211">
        <f>'More Rapid Restoration'!R4</f>
        <v>2596627.9577711178</v>
      </c>
      <c r="R22" s="211">
        <f>'More Rapid Restoration'!S4</f>
        <v>2684393.9827437825</v>
      </c>
      <c r="S22" s="211">
        <f>'More Rapid Restoration'!T4</f>
        <v>2775126.4993605218</v>
      </c>
      <c r="T22" s="211">
        <f>'More Rapid Restoration'!U4</f>
        <v>2868925.7750389078</v>
      </c>
      <c r="U22" s="211">
        <f>'More Rapid Restoration'!V4</f>
        <v>2965895.4662352228</v>
      </c>
      <c r="V22" s="211">
        <f>'More Rapid Restoration'!W4</f>
        <v>3066142.7329939734</v>
      </c>
      <c r="W22" s="211">
        <f>'More Rapid Restoration'!X4</f>
        <v>3169778.3573691701</v>
      </c>
      <c r="X22" s="211">
        <f>'More Rapid Restoration'!Y4</f>
        <v>3276916.8658482484</v>
      </c>
      <c r="Y22" s="211">
        <f>'More Rapid Restoration'!Z4</f>
        <v>3387676.6559139187</v>
      </c>
      <c r="Z22" s="211">
        <f>'More Rapid Restoration'!AA4</f>
        <v>3502180.1268838099</v>
      </c>
      <c r="AA22" s="211">
        <f>'More Rapid Restoration'!AB4</f>
        <v>3620553.8151724827</v>
      </c>
      <c r="AB22" s="211">
        <f>'More Rapid Restoration'!AC4</f>
        <v>3742928.5341253127</v>
      </c>
      <c r="AC22" s="211">
        <f>'More Rapid Restoration'!AD4</f>
        <v>967359.87964468705</v>
      </c>
      <c r="AD22" s="469">
        <f>'More Rapid Restoration'!AE4</f>
        <v>0</v>
      </c>
      <c r="AE22" s="469">
        <f>'More Rapid Restoration'!AF4</f>
        <v>0</v>
      </c>
      <c r="AF22" s="469">
        <f>'More Rapid Restoration'!AG4</f>
        <v>0</v>
      </c>
    </row>
    <row r="23" spans="1:32">
      <c r="A23" s="1"/>
      <c r="B23" s="1"/>
      <c r="C23" s="503" t="s">
        <v>24</v>
      </c>
      <c r="E23" s="496" t="s">
        <v>38</v>
      </c>
      <c r="F23" s="43">
        <f>'Reduced Customer Calls'!C11</f>
        <v>1277163.4111527745</v>
      </c>
      <c r="G23" s="43">
        <f>SUM(H23:AF23)</f>
        <v>2710326.3109337473</v>
      </c>
      <c r="H23" s="355">
        <f>'Reduced Customer Calls'!D11</f>
        <v>0</v>
      </c>
      <c r="I23" s="355">
        <v>0</v>
      </c>
      <c r="J23" s="355">
        <v>0</v>
      </c>
      <c r="K23" s="355">
        <v>0</v>
      </c>
      <c r="L23" s="355">
        <v>0</v>
      </c>
      <c r="M23" s="355">
        <v>29223.210306401717</v>
      </c>
      <c r="N23" s="355">
        <v>50653.564531096301</v>
      </c>
      <c r="O23" s="355">
        <v>140479.21896624044</v>
      </c>
      <c r="P23" s="355">
        <v>146098.38772489008</v>
      </c>
      <c r="Q23" s="355">
        <v>151942.32323388566</v>
      </c>
      <c r="R23" s="355">
        <v>158020.01616324109</v>
      </c>
      <c r="S23" s="355">
        <v>164340.81680977077</v>
      </c>
      <c r="T23" s="355">
        <v>170914.44948216161</v>
      </c>
      <c r="U23" s="355">
        <v>177751.02746144807</v>
      </c>
      <c r="V23" s="355">
        <v>184861.06855990598</v>
      </c>
      <c r="W23" s="355">
        <v>192255.51130230224</v>
      </c>
      <c r="X23" s="355">
        <v>199945.73175439436</v>
      </c>
      <c r="Y23" s="355">
        <v>207943.56102457014</v>
      </c>
      <c r="Z23" s="355">
        <v>216261.30346555295</v>
      </c>
      <c r="AA23" s="355">
        <v>224911.75560417506</v>
      </c>
      <c r="AB23" s="355">
        <v>233908.22582834214</v>
      </c>
      <c r="AC23" s="355">
        <v>60816.13871536895</v>
      </c>
      <c r="AD23" s="355">
        <v>0</v>
      </c>
      <c r="AE23" s="355">
        <v>0</v>
      </c>
      <c r="AF23" s="355">
        <v>0</v>
      </c>
    </row>
    <row r="24" spans="1:32">
      <c r="A24" s="1"/>
      <c r="B24" s="1"/>
      <c r="C24" s="503" t="s">
        <v>24</v>
      </c>
      <c r="E24" s="496" t="s">
        <v>39</v>
      </c>
      <c r="F24" s="43">
        <f>'Avoided Single Lights Out'!D11</f>
        <v>2730472.1574196671</v>
      </c>
      <c r="G24" s="43">
        <f>SUM(H24:AF24)</f>
        <v>5794458.614224514</v>
      </c>
      <c r="H24" s="355">
        <v>0</v>
      </c>
      <c r="I24" s="355">
        <v>0</v>
      </c>
      <c r="J24" s="355">
        <v>0</v>
      </c>
      <c r="K24" s="355">
        <v>0</v>
      </c>
      <c r="L24" s="355">
        <v>0</v>
      </c>
      <c r="M24" s="355">
        <v>62476.861923273886</v>
      </c>
      <c r="N24" s="355">
        <v>108293.22733367473</v>
      </c>
      <c r="O24" s="355">
        <v>300333.21713872463</v>
      </c>
      <c r="P24" s="355">
        <v>312346.54582427366</v>
      </c>
      <c r="Q24" s="355">
        <v>324840.40765724459</v>
      </c>
      <c r="R24" s="355">
        <v>337834.02396353433</v>
      </c>
      <c r="S24" s="355">
        <v>351347.38492207578</v>
      </c>
      <c r="T24" s="355">
        <v>365401.28031895886</v>
      </c>
      <c r="U24" s="355">
        <v>380017.33153171721</v>
      </c>
      <c r="V24" s="355">
        <v>395218.02479298587</v>
      </c>
      <c r="W24" s="355">
        <v>411026.74578470539</v>
      </c>
      <c r="X24" s="355">
        <v>427467.81561609358</v>
      </c>
      <c r="Y24" s="355">
        <v>444566.52824073739</v>
      </c>
      <c r="Z24" s="355">
        <v>462349.18937036686</v>
      </c>
      <c r="AA24" s="355">
        <v>480843.15694518154</v>
      </c>
      <c r="AB24" s="355">
        <v>500076.88322298892</v>
      </c>
      <c r="AC24" s="355">
        <v>130019.98963797711</v>
      </c>
      <c r="AD24" s="355">
        <v>0</v>
      </c>
      <c r="AE24" s="355">
        <v>0</v>
      </c>
      <c r="AF24" s="355">
        <v>0</v>
      </c>
    </row>
    <row r="25" spans="1:32">
      <c r="A25" s="1"/>
      <c r="B25" s="1"/>
      <c r="C25" s="503" t="s">
        <v>24</v>
      </c>
      <c r="E25" s="496" t="s">
        <v>40</v>
      </c>
      <c r="F25" s="211">
        <f>'Reduced Major Storms Cost'!B15</f>
        <v>3032402.763290823</v>
      </c>
      <c r="G25" s="43">
        <f>SUM(H25:AF25)</f>
        <v>6551326.3219507933</v>
      </c>
      <c r="H25" s="355">
        <v>0</v>
      </c>
      <c r="I25" s="355">
        <v>0</v>
      </c>
      <c r="J25" s="355">
        <v>0</v>
      </c>
      <c r="K25" s="355">
        <v>0</v>
      </c>
      <c r="L25" s="355">
        <v>0</v>
      </c>
      <c r="M25" s="469">
        <v>70637.5413616804</v>
      </c>
      <c r="N25" s="469">
        <v>122438.40502691269</v>
      </c>
      <c r="O25" s="469">
        <v>339562.50994130457</v>
      </c>
      <c r="P25" s="469">
        <v>353145.01033895678</v>
      </c>
      <c r="Q25" s="469">
        <v>367270.81075251504</v>
      </c>
      <c r="R25" s="469">
        <v>381961.64318261563</v>
      </c>
      <c r="S25" s="469">
        <v>397240.10890992038</v>
      </c>
      <c r="T25" s="469">
        <v>413129.71326631721</v>
      </c>
      <c r="U25" s="469">
        <v>429654.90179696988</v>
      </c>
      <c r="V25" s="469">
        <v>446841.09786884865</v>
      </c>
      <c r="W25" s="469">
        <v>464714.74178360269</v>
      </c>
      <c r="X25" s="469">
        <v>483303.33145494678</v>
      </c>
      <c r="Y25" s="469">
        <v>502635.4647131447</v>
      </c>
      <c r="Z25" s="469">
        <v>522740.88330167049</v>
      </c>
      <c r="AA25" s="469">
        <v>543650.51863373735</v>
      </c>
      <c r="AB25" s="469">
        <v>565396.53937908693</v>
      </c>
      <c r="AC25" s="469">
        <v>147003.10023856259</v>
      </c>
      <c r="AD25" s="469">
        <v>0</v>
      </c>
      <c r="AE25" s="469">
        <v>0</v>
      </c>
      <c r="AF25" s="469">
        <v>0</v>
      </c>
    </row>
    <row r="26" spans="1:32">
      <c r="A26" s="1"/>
      <c r="B26" s="1"/>
      <c r="C26" s="503"/>
      <c r="D26" s="37"/>
      <c r="E26" s="37" t="s">
        <v>30</v>
      </c>
      <c r="F26" s="211">
        <f t="shared" ref="F26" si="2">SUM(F21:F25)</f>
        <v>53723040.894333132</v>
      </c>
      <c r="G26" s="13">
        <f t="shared" ref="G26" si="3">SUM(G21:G25)</f>
        <v>129654041.11332345</v>
      </c>
      <c r="H26" s="355">
        <v>0</v>
      </c>
      <c r="I26" s="355">
        <v>0</v>
      </c>
      <c r="J26" s="355">
        <v>0</v>
      </c>
      <c r="K26" s="355">
        <v>0</v>
      </c>
      <c r="L26" s="211">
        <v>1099504.8130800002</v>
      </c>
      <c r="M26" s="211">
        <v>2435673.7651155647</v>
      </c>
      <c r="N26" s="211">
        <v>3806647.5670602736</v>
      </c>
      <c r="O26" s="211">
        <v>5639596.597086655</v>
      </c>
      <c r="P26" s="211">
        <v>7090919.1224450581</v>
      </c>
      <c r="Q26" s="211">
        <v>7335624.046435806</v>
      </c>
      <c r="R26" s="211">
        <v>7588801.2711635288</v>
      </c>
      <c r="S26" s="211">
        <v>7850745.2113653747</v>
      </c>
      <c r="T26" s="211">
        <v>8121760.5550355017</v>
      </c>
      <c r="U26" s="211">
        <v>8402162.6235427223</v>
      </c>
      <c r="V26" s="211">
        <v>8692277.7444353644</v>
      </c>
      <c r="W26" s="211">
        <v>8992443.6373828538</v>
      </c>
      <c r="X26" s="211">
        <v>9303009.8137193955</v>
      </c>
      <c r="Y26" s="211">
        <v>9624337.9900718275</v>
      </c>
      <c r="Z26" s="211">
        <v>9956802.516570922</v>
      </c>
      <c r="AA26" s="211">
        <v>10300790.820163075</v>
      </c>
      <c r="AB26" s="211">
        <v>10656703.86355792</v>
      </c>
      <c r="AC26" s="211">
        <v>2756239.1550916117</v>
      </c>
      <c r="AD26" s="469">
        <v>0</v>
      </c>
      <c r="AE26" s="469">
        <v>0</v>
      </c>
      <c r="AF26" s="469">
        <v>0</v>
      </c>
    </row>
    <row r="27" spans="1:32">
      <c r="A27" s="1"/>
      <c r="B27" s="1"/>
      <c r="E27" s="496"/>
      <c r="F27" s="211"/>
      <c r="G27" s="43"/>
      <c r="H27" s="355"/>
      <c r="I27" s="355"/>
      <c r="J27" s="355"/>
      <c r="K27" s="355"/>
      <c r="L27" s="211"/>
      <c r="M27" s="469"/>
      <c r="N27" s="469"/>
      <c r="O27" s="469"/>
      <c r="P27" s="469"/>
      <c r="Q27" s="469"/>
      <c r="R27" s="469"/>
      <c r="S27" s="469"/>
      <c r="T27" s="469"/>
      <c r="U27" s="469"/>
      <c r="V27" s="469"/>
      <c r="W27" s="469"/>
      <c r="X27" s="469"/>
      <c r="Y27" s="469"/>
      <c r="Z27" s="469"/>
      <c r="AA27" s="469"/>
      <c r="AB27" s="469"/>
      <c r="AC27" s="469"/>
      <c r="AD27" s="469"/>
      <c r="AE27" s="469"/>
      <c r="AF27" s="469"/>
    </row>
    <row r="28" spans="1:32">
      <c r="A28" s="1"/>
      <c r="B28" s="1"/>
      <c r="C28" s="503"/>
      <c r="D28" s="37" t="s">
        <v>41</v>
      </c>
      <c r="E28" s="37"/>
      <c r="H28" s="355"/>
      <c r="I28" s="355"/>
      <c r="J28" s="355"/>
      <c r="K28" s="355"/>
      <c r="L28" s="355"/>
      <c r="M28" s="355"/>
      <c r="N28" s="355"/>
      <c r="O28" s="355"/>
      <c r="P28" s="355"/>
      <c r="Q28" s="355"/>
      <c r="R28" s="355"/>
      <c r="S28" s="355"/>
      <c r="T28" s="355"/>
      <c r="U28" s="355"/>
      <c r="V28" s="355"/>
      <c r="W28" s="355"/>
      <c r="X28" s="355"/>
      <c r="Y28" s="355"/>
      <c r="Z28" s="355"/>
      <c r="AA28" s="355"/>
      <c r="AB28" s="355"/>
      <c r="AC28" s="355"/>
      <c r="AD28" s="355"/>
      <c r="AE28" s="355"/>
      <c r="AF28" s="355"/>
    </row>
    <row r="29" spans="1:32">
      <c r="A29" s="1"/>
      <c r="B29" s="1"/>
      <c r="C29" s="503" t="s">
        <v>24</v>
      </c>
      <c r="E29" s="496" t="s">
        <v>42</v>
      </c>
      <c r="F29" s="43">
        <f>'Conservation Voltage Reduction'!B11</f>
        <v>18494601.498745929</v>
      </c>
      <c r="G29" s="43">
        <f>SUM(H29:AF29)</f>
        <v>43660371.123191208</v>
      </c>
      <c r="H29" s="355">
        <f>'Conservation Voltage Reduction'!C11</f>
        <v>0</v>
      </c>
      <c r="I29" s="355">
        <f>'Conservation Voltage Reduction'!D11</f>
        <v>0</v>
      </c>
      <c r="J29" s="355">
        <f>'Conservation Voltage Reduction'!E11</f>
        <v>0</v>
      </c>
      <c r="K29" s="355">
        <f>'Conservation Voltage Reduction'!F11</f>
        <v>411450.76252713538</v>
      </c>
      <c r="L29" s="355">
        <f>'Conservation Voltage Reduction'!G11</f>
        <v>1072567.3384213741</v>
      </c>
      <c r="M29" s="355">
        <f>'Conservation Voltage Reduction'!H11</f>
        <v>1118468.6866647801</v>
      </c>
      <c r="N29" s="355">
        <f>'Conservation Voltage Reduction'!I11</f>
        <v>1166308.7566461472</v>
      </c>
      <c r="O29" s="355">
        <f>'Conservation Voltage Reduction'!J11</f>
        <v>1621401.7821533983</v>
      </c>
      <c r="P29" s="355">
        <f>'Conservation Voltage Reduction'!K11</f>
        <v>2254438.0141086793</v>
      </c>
      <c r="Q29" s="355">
        <f>'Conservation Voltage Reduction'!L11</f>
        <v>2351422.5613030936</v>
      </c>
      <c r="R29" s="355">
        <f>'Conservation Voltage Reduction'!M11</f>
        <v>2452612.9632785581</v>
      </c>
      <c r="S29" s="355">
        <f>'Conservation Voltage Reduction'!N11</f>
        <v>2558485.3645669469</v>
      </c>
      <c r="T29" s="355">
        <f>'Conservation Voltage Reduction'!O11</f>
        <v>2669574.259585219</v>
      </c>
      <c r="U29" s="355">
        <f>'Conservation Voltage Reduction'!P11</f>
        <v>2785321.1150673544</v>
      </c>
      <c r="V29" s="355">
        <f>'Conservation Voltage Reduction'!Q11</f>
        <v>2906248.9254843667</v>
      </c>
      <c r="W29" s="355">
        <f>'Conservation Voltage Reduction'!R11</f>
        <v>3032191.5616005543</v>
      </c>
      <c r="X29" s="355">
        <f>'Conservation Voltage Reduction'!S11</f>
        <v>3163974.5598842865</v>
      </c>
      <c r="Y29" s="355">
        <f>'Conservation Voltage Reduction'!T11</f>
        <v>3301446.130939404</v>
      </c>
      <c r="Z29" s="355">
        <f>'Conservation Voltage Reduction'!U11</f>
        <v>3434873.4855394349</v>
      </c>
      <c r="AA29" s="355">
        <f>'Conservation Voltage Reduction'!V11</f>
        <v>3584702.0067074941</v>
      </c>
      <c r="AB29" s="355">
        <f>'Conservation Voltage Reduction'!W11</f>
        <v>3774882.8487129766</v>
      </c>
      <c r="AC29" s="355">
        <f>'Conservation Voltage Reduction'!X11</f>
        <v>0</v>
      </c>
      <c r="AD29" s="355">
        <f>'Conservation Voltage Reduction'!Y11</f>
        <v>0</v>
      </c>
      <c r="AE29" s="355">
        <f>'Conservation Voltage Reduction'!Z11</f>
        <v>0</v>
      </c>
      <c r="AF29" s="355">
        <f>'Conservation Voltage Reduction'!AA11</f>
        <v>0</v>
      </c>
    </row>
    <row r="30" spans="1:32">
      <c r="A30" s="1"/>
      <c r="B30" s="1"/>
      <c r="C30" s="503"/>
      <c r="E30" s="496" t="s">
        <v>43</v>
      </c>
      <c r="F30" s="497">
        <f>'Customer Energy Efficiency'!B5</f>
        <v>3655286.3609425626</v>
      </c>
      <c r="G30" s="43">
        <f>SUM(H30:AF30)</f>
        <v>8465586.2141581997</v>
      </c>
      <c r="H30" s="469">
        <f>'Customer Energy Efficiency'!C5</f>
        <v>0</v>
      </c>
      <c r="I30" s="469">
        <f>'Customer Energy Efficiency'!D5</f>
        <v>0</v>
      </c>
      <c r="J30" s="469">
        <f>'Customer Energy Efficiency'!E5</f>
        <v>0</v>
      </c>
      <c r="K30" s="469">
        <f>'Customer Energy Efficiency'!F5</f>
        <v>106780.99183796665</v>
      </c>
      <c r="L30" s="469">
        <f>'Customer Energy Efficiency'!G5</f>
        <v>226829.72133992857</v>
      </c>
      <c r="M30" s="469">
        <f>'Customer Energy Efficiency'!H5</f>
        <v>287072.4210295059</v>
      </c>
      <c r="N30" s="469">
        <f>'Customer Energy Efficiency'!I5</f>
        <v>297694.10060759756</v>
      </c>
      <c r="O30" s="469">
        <f>'Customer Energy Efficiency'!J5</f>
        <v>411611.70977343817</v>
      </c>
      <c r="P30" s="469">
        <f>'Customer Energy Efficiency'!K5</f>
        <v>426841.34303505538</v>
      </c>
      <c r="Q30" s="469">
        <f>'Customer Energy Efficiency'!L5</f>
        <v>442634.4727273524</v>
      </c>
      <c r="R30" s="469">
        <f>'Customer Energy Efficiency'!M5</f>
        <v>459011.94821826444</v>
      </c>
      <c r="S30" s="469">
        <f>'Customer Energy Efficiency'!N5</f>
        <v>475995.39030234015</v>
      </c>
      <c r="T30" s="469">
        <f>'Customer Energy Efficiency'!O5</f>
        <v>493607.21974352672</v>
      </c>
      <c r="U30" s="469">
        <f>'Customer Energy Efficiency'!P5</f>
        <v>511870.68687403708</v>
      </c>
      <c r="V30" s="469">
        <f>'Customer Energy Efficiency'!Q5</f>
        <v>530809.90228837647</v>
      </c>
      <c r="W30" s="469">
        <f>'Customer Energy Efficiency'!R5</f>
        <v>550449.86867304635</v>
      </c>
      <c r="X30" s="469">
        <f>'Customer Energy Efficiency'!S5</f>
        <v>570816.51381394907</v>
      </c>
      <c r="Y30" s="469">
        <f>'Customer Energy Efficiency'!T5</f>
        <v>591936.72482506512</v>
      </c>
      <c r="Z30" s="469">
        <f>'Customer Energy Efficiency'!U5</f>
        <v>613838.38364359247</v>
      </c>
      <c r="AA30" s="469">
        <f>'Customer Energy Efficiency'!V5</f>
        <v>636550.40383840527</v>
      </c>
      <c r="AB30" s="469">
        <f>'Customer Energy Efficiency'!W5</f>
        <v>660102.76878042636</v>
      </c>
      <c r="AC30" s="355">
        <f>'Customer Energy Efficiency'!X5</f>
        <v>171131.64280632552</v>
      </c>
      <c r="AD30" s="355">
        <f>'Customer Energy Efficiency'!Y5</f>
        <v>0</v>
      </c>
      <c r="AE30" s="355">
        <f>'Customer Energy Efficiency'!Z5</f>
        <v>0</v>
      </c>
      <c r="AF30" s="355">
        <f>'Customer Energy Efficiency'!AA5</f>
        <v>0</v>
      </c>
    </row>
    <row r="31" spans="1:32">
      <c r="A31" s="1"/>
      <c r="B31" s="1"/>
      <c r="C31" s="503"/>
      <c r="E31" s="496" t="s">
        <v>44</v>
      </c>
      <c r="F31" s="497">
        <f>'Behavioral Energy Efficiency '!B5</f>
        <v>8927225.7733238954</v>
      </c>
      <c r="G31" s="43">
        <f>SUM(H31:AF31)</f>
        <v>21955037.574551363</v>
      </c>
      <c r="H31" s="469">
        <v>0</v>
      </c>
      <c r="I31" s="469">
        <f>'Behavioral Energy Efficiency '!E5</f>
        <v>0</v>
      </c>
      <c r="J31" s="469">
        <f>'Behavioral Energy Efficiency '!F5</f>
        <v>0</v>
      </c>
      <c r="K31" s="469">
        <f>'Behavioral Energy Efficiency '!G5</f>
        <v>0</v>
      </c>
      <c r="L31" s="469">
        <f>'Behavioral Energy Efficiency '!H5</f>
        <v>0</v>
      </c>
      <c r="M31" s="469">
        <f>'Behavioral Energy Efficiency '!I5</f>
        <v>296000</v>
      </c>
      <c r="N31" s="469">
        <f>'Behavioral Energy Efficiency '!J5</f>
        <v>592000</v>
      </c>
      <c r="O31" s="469">
        <f>'Behavioral Energy Efficiency '!K5</f>
        <v>888000</v>
      </c>
      <c r="P31" s="469">
        <f>'Behavioral Energy Efficiency '!L5</f>
        <v>1184000</v>
      </c>
      <c r="Q31" s="469">
        <f>'Behavioral Energy Efficiency '!M5</f>
        <v>1231360</v>
      </c>
      <c r="R31" s="469">
        <f>'Behavioral Energy Efficiency '!N5</f>
        <v>1280614.4000000001</v>
      </c>
      <c r="S31" s="469">
        <f>'Behavioral Energy Efficiency '!O5</f>
        <v>1331838.9760000003</v>
      </c>
      <c r="T31" s="469">
        <f>'Behavioral Energy Efficiency '!P5</f>
        <v>1385112.5350400002</v>
      </c>
      <c r="U31" s="469">
        <f>'Behavioral Energy Efficiency '!Q5</f>
        <v>1440517.0364416002</v>
      </c>
      <c r="V31" s="469">
        <f>'Behavioral Energy Efficiency '!R5</f>
        <v>1498137.7178992643</v>
      </c>
      <c r="W31" s="469">
        <f>'Behavioral Energy Efficiency '!S5</f>
        <v>1558063.226615235</v>
      </c>
      <c r="X31" s="469">
        <f>'Behavioral Energy Efficiency '!T5</f>
        <v>1620385.7556798444</v>
      </c>
      <c r="Y31" s="469">
        <f>'Behavioral Energy Efficiency '!U5</f>
        <v>1685201.1859070382</v>
      </c>
      <c r="Z31" s="469">
        <f>'Behavioral Energy Efficiency '!V5</f>
        <v>1752609.2333433197</v>
      </c>
      <c r="AA31" s="469">
        <f>'Behavioral Energy Efficiency '!W5</f>
        <v>1822713.6026770526</v>
      </c>
      <c r="AB31" s="469">
        <f>'Behavioral Energy Efficiency '!X5</f>
        <v>1895622.1467841347</v>
      </c>
      <c r="AC31" s="355">
        <f>'Behavioral Energy Efficiency '!Y5</f>
        <v>492861.75816387503</v>
      </c>
      <c r="AD31" s="355">
        <f>'Behavioral Energy Efficiency '!Z5</f>
        <v>0</v>
      </c>
      <c r="AE31" s="355">
        <f>'Behavioral Energy Efficiency '!AA5</f>
        <v>0</v>
      </c>
      <c r="AF31" s="355">
        <f>'Behavioral Energy Efficiency '!AB5</f>
        <v>0</v>
      </c>
    </row>
    <row r="32" spans="1:32">
      <c r="A32" s="1"/>
      <c r="B32" s="1"/>
      <c r="C32" s="19" t="s">
        <v>24</v>
      </c>
      <c r="E32" s="498" t="s">
        <v>45</v>
      </c>
      <c r="F32" s="497">
        <f>'Grid-Interactive Efficient Bldg'!C38</f>
        <v>2609116.0861312477</v>
      </c>
      <c r="G32" s="43">
        <f>SUM(H32:AF32)</f>
        <v>3123536.5988169089</v>
      </c>
      <c r="H32" s="355">
        <v>0</v>
      </c>
      <c r="I32" s="355">
        <v>0</v>
      </c>
      <c r="J32" s="355">
        <v>0</v>
      </c>
      <c r="K32" s="355">
        <v>0</v>
      </c>
      <c r="L32" s="211">
        <v>0</v>
      </c>
      <c r="M32" s="469">
        <f>'Grid-Interactive Efficient Bldg'!D37</f>
        <v>4127.8826760424436</v>
      </c>
      <c r="N32" s="469">
        <f>'Grid-Interactive Efficient Bldg'!E37</f>
        <v>8420.8806591265857</v>
      </c>
      <c r="O32" s="469">
        <f>'Grid-Interactive Efficient Bldg'!F37</f>
        <v>12883.947408463675</v>
      </c>
      <c r="P32" s="469">
        <f>'Grid-Interactive Efficient Bldg'!G37</f>
        <v>17522.1684755106</v>
      </c>
      <c r="Q32" s="469">
        <f>'Grid-Interactive Efficient Bldg'!H37</f>
        <v>22340.764806276013</v>
      </c>
      <c r="R32" s="469">
        <f>'Grid-Interactive Efficient Bldg'!I37</f>
        <v>124275.09612288185</v>
      </c>
      <c r="S32" s="469">
        <f>'Grid-Interactive Efficient Bldg'!J37</f>
        <v>147935.66438622936</v>
      </c>
      <c r="T32" s="469">
        <f>'Grid-Interactive Efficient Bldg'!K37</f>
        <v>172453.11734166168</v>
      </c>
      <c r="U32" s="469">
        <f>'Grid-Interactive Efficient Bldg'!L37</f>
        <v>197833.25214955682</v>
      </c>
      <c r="V32" s="469">
        <f>'Grid-Interactive Efficient Bldg'!M37</f>
        <v>224232.01910283099</v>
      </c>
      <c r="W32" s="469">
        <f>'Grid-Interactive Efficient Bldg'!N37</f>
        <v>251535.5254333764</v>
      </c>
      <c r="X32" s="469">
        <f>'Grid-Interactive Efficient Bldg'!O37</f>
        <v>279930.03920950257</v>
      </c>
      <c r="Y32" s="469">
        <f>'Grid-Interactive Efficient Bldg'!P37</f>
        <v>309271.99332650023</v>
      </c>
      <c r="Z32" s="469">
        <f>'Grid-Interactive Efficient Bldg'!Q37</f>
        <v>339777.98959249409</v>
      </c>
      <c r="AA32" s="469">
        <f>'Grid-Interactive Efficient Bldg'!R37</f>
        <v>404323.74119063822</v>
      </c>
      <c r="AB32" s="469">
        <f>'Grid-Interactive Efficient Bldg'!S37</f>
        <v>471439.63438404456</v>
      </c>
      <c r="AC32" s="469">
        <f>'Grid-Interactive Efficient Bldg'!T37</f>
        <v>135232.88255177313</v>
      </c>
      <c r="AD32" s="469">
        <f>'Grid-Interactive Efficient Bldg'!U37</f>
        <v>0</v>
      </c>
      <c r="AE32" s="469">
        <f>'Grid-Interactive Efficient Bldg'!V37</f>
        <v>0</v>
      </c>
      <c r="AF32" s="469">
        <f>'Grid-Interactive Efficient Bldg'!W37</f>
        <v>0</v>
      </c>
    </row>
    <row r="33" spans="1:32">
      <c r="A33" s="1"/>
      <c r="B33" s="1"/>
      <c r="C33" s="503"/>
      <c r="D33" s="37"/>
      <c r="E33" s="37" t="s">
        <v>30</v>
      </c>
      <c r="F33" s="211">
        <f>SUM(F29:F32)</f>
        <v>33686229.719143629</v>
      </c>
      <c r="G33" s="211">
        <f t="shared" ref="G33:AF33" si="4">SUM(G29:G32)</f>
        <v>77204531.51071769</v>
      </c>
      <c r="H33" s="211">
        <f t="shared" si="4"/>
        <v>0</v>
      </c>
      <c r="I33" s="211">
        <f t="shared" si="4"/>
        <v>0</v>
      </c>
      <c r="J33" s="211">
        <f t="shared" si="4"/>
        <v>0</v>
      </c>
      <c r="K33" s="211">
        <f t="shared" si="4"/>
        <v>518231.75436510204</v>
      </c>
      <c r="L33" s="211">
        <f t="shared" si="4"/>
        <v>1299397.0597613025</v>
      </c>
      <c r="M33" s="211">
        <f t="shared" si="4"/>
        <v>1705668.9903703283</v>
      </c>
      <c r="N33" s="211">
        <f t="shared" si="4"/>
        <v>2064423.7379128714</v>
      </c>
      <c r="O33" s="211">
        <f t="shared" si="4"/>
        <v>2933897.4393353001</v>
      </c>
      <c r="P33" s="211">
        <f t="shared" si="4"/>
        <v>3882801.5256192451</v>
      </c>
      <c r="Q33" s="211">
        <f t="shared" si="4"/>
        <v>4047757.798836722</v>
      </c>
      <c r="R33" s="211">
        <f t="shared" si="4"/>
        <v>4316514.4076197045</v>
      </c>
      <c r="S33" s="211">
        <f t="shared" si="4"/>
        <v>4514255.3952555172</v>
      </c>
      <c r="T33" s="211">
        <f t="shared" si="4"/>
        <v>4720747.1317104073</v>
      </c>
      <c r="U33" s="211">
        <f t="shared" si="4"/>
        <v>4935542.0905325487</v>
      </c>
      <c r="V33" s="211">
        <f t="shared" si="4"/>
        <v>5159428.5647748383</v>
      </c>
      <c r="W33" s="211">
        <f t="shared" si="4"/>
        <v>5392240.1823222125</v>
      </c>
      <c r="X33" s="211">
        <f t="shared" si="4"/>
        <v>5635106.8685875824</v>
      </c>
      <c r="Y33" s="211">
        <f t="shared" si="4"/>
        <v>5887856.0349980071</v>
      </c>
      <c r="Z33" s="211">
        <f t="shared" si="4"/>
        <v>6141099.0921188416</v>
      </c>
      <c r="AA33" s="211">
        <f t="shared" si="4"/>
        <v>6448289.7544135908</v>
      </c>
      <c r="AB33" s="211">
        <f t="shared" si="4"/>
        <v>6802047.3986615827</v>
      </c>
      <c r="AC33" s="211">
        <f t="shared" si="4"/>
        <v>799226.28352197364</v>
      </c>
      <c r="AD33" s="211">
        <f t="shared" si="4"/>
        <v>0</v>
      </c>
      <c r="AE33" s="211">
        <f t="shared" si="4"/>
        <v>0</v>
      </c>
      <c r="AF33" s="211">
        <f t="shared" si="4"/>
        <v>0</v>
      </c>
    </row>
    <row r="34" spans="1:32">
      <c r="A34" s="1"/>
      <c r="B34" s="1"/>
      <c r="C34" s="503"/>
      <c r="D34" s="37"/>
      <c r="E34" s="37"/>
      <c r="F34" s="211"/>
      <c r="G34" s="211"/>
      <c r="H34" s="355"/>
      <c r="I34" s="355"/>
      <c r="J34" s="355"/>
      <c r="K34" s="355"/>
      <c r="L34" s="211"/>
      <c r="M34" s="211"/>
      <c r="N34" s="211"/>
      <c r="O34" s="211"/>
      <c r="P34" s="211"/>
      <c r="Q34" s="211"/>
      <c r="R34" s="211"/>
      <c r="S34" s="211"/>
      <c r="T34" s="211"/>
      <c r="U34" s="211"/>
      <c r="V34" s="211"/>
      <c r="W34" s="211"/>
      <c r="X34" s="211"/>
      <c r="Y34" s="211"/>
      <c r="Z34" s="211"/>
      <c r="AA34" s="211"/>
      <c r="AB34" s="211"/>
      <c r="AC34" s="211"/>
      <c r="AD34" s="469"/>
      <c r="AE34" s="469"/>
      <c r="AF34" s="469"/>
    </row>
    <row r="35" spans="1:32">
      <c r="A35" s="1"/>
      <c r="B35" s="1"/>
      <c r="C35" s="503"/>
      <c r="D35" s="37" t="s">
        <v>46</v>
      </c>
      <c r="E35" s="37"/>
      <c r="H35" s="355"/>
      <c r="I35" s="355"/>
      <c r="J35" s="355"/>
      <c r="K35" s="355"/>
      <c r="L35" s="355"/>
      <c r="M35" s="355"/>
      <c r="N35" s="355"/>
      <c r="O35" s="355"/>
      <c r="P35" s="355"/>
      <c r="Q35" s="355"/>
      <c r="R35" s="355"/>
      <c r="S35" s="355"/>
      <c r="T35" s="355"/>
      <c r="U35" s="355"/>
      <c r="V35" s="355"/>
      <c r="W35" s="355"/>
      <c r="X35" s="355"/>
      <c r="Y35" s="355"/>
      <c r="Z35" s="355"/>
      <c r="AA35" s="355"/>
      <c r="AB35" s="355"/>
      <c r="AC35" s="355"/>
      <c r="AD35" s="355"/>
      <c r="AE35" s="355"/>
      <c r="AF35" s="355"/>
    </row>
    <row r="36" spans="1:32">
      <c r="A36" s="1"/>
      <c r="B36" s="1"/>
      <c r="C36" s="503"/>
      <c r="E36" s="496" t="s">
        <v>47</v>
      </c>
      <c r="F36" s="43">
        <f>'Theft and Diversion'!B9</f>
        <v>4499423.5895445114</v>
      </c>
      <c r="G36" s="43">
        <f>SUM(H36:AF36)</f>
        <v>10378185.634263555</v>
      </c>
      <c r="H36" s="355">
        <f>'Theft and Diversion'!C9</f>
        <v>0</v>
      </c>
      <c r="I36" s="355">
        <f>'Theft and Diversion'!D9</f>
        <v>0</v>
      </c>
      <c r="J36" s="355">
        <f>'Theft and Diversion'!E9</f>
        <v>0</v>
      </c>
      <c r="K36" s="355">
        <f>'Theft and Diversion'!F9</f>
        <v>130137.01319384135</v>
      </c>
      <c r="L36" s="355">
        <f>'Theft and Diversion'!G9</f>
        <v>337380.20670503378</v>
      </c>
      <c r="M36" s="355">
        <f>'Theft and Diversion'!H9</f>
        <v>349863.27435311995</v>
      </c>
      <c r="N36" s="355">
        <f>'Theft and Diversion'!I9</f>
        <v>362808.21550418541</v>
      </c>
      <c r="O36" s="355">
        <f>'Theft and Diversion'!J9</f>
        <v>501642.82597045356</v>
      </c>
      <c r="P36" s="355">
        <f>'Theft and Diversion'!K9</f>
        <v>520203.61053136038</v>
      </c>
      <c r="Q36" s="355">
        <f>'Theft and Diversion'!L9</f>
        <v>539451.14412102057</v>
      </c>
      <c r="R36" s="355">
        <f>'Theft and Diversion'!M9</f>
        <v>559410.83645349834</v>
      </c>
      <c r="S36" s="355">
        <f>'Theft and Diversion'!N9</f>
        <v>580109.0374022777</v>
      </c>
      <c r="T36" s="355">
        <f>'Theft and Diversion'!O9</f>
        <v>601573.07178616198</v>
      </c>
      <c r="U36" s="355">
        <f>'Theft and Diversion'!P9</f>
        <v>623831.27544224984</v>
      </c>
      <c r="V36" s="355">
        <f>'Theft and Diversion'!Q9</f>
        <v>646913.0326336131</v>
      </c>
      <c r="W36" s="355">
        <f>'Theft and Diversion'!R9</f>
        <v>670848.81484105682</v>
      </c>
      <c r="X36" s="355">
        <f>'Theft and Diversion'!S9</f>
        <v>695670.22099017585</v>
      </c>
      <c r="Y36" s="355">
        <f>'Theft and Diversion'!T9</f>
        <v>721410.0191668123</v>
      </c>
      <c r="Z36" s="355">
        <f>'Theft and Diversion'!U9</f>
        <v>748102.18987598433</v>
      </c>
      <c r="AA36" s="355">
        <f>'Theft and Diversion'!V9</f>
        <v>775781.97090139554</v>
      </c>
      <c r="AB36" s="355">
        <f>'Theft and Diversion'!W9</f>
        <v>804485.90382474731</v>
      </c>
      <c r="AC36" s="355">
        <f>'Theft and Diversion'!X9</f>
        <v>208562.97056656572</v>
      </c>
      <c r="AD36" s="355">
        <f>'Theft and Diversion'!Y9</f>
        <v>0</v>
      </c>
      <c r="AE36" s="355">
        <f>'Theft and Diversion'!Z9</f>
        <v>0</v>
      </c>
      <c r="AF36" s="355">
        <f>'Theft and Diversion'!AA9</f>
        <v>0</v>
      </c>
    </row>
    <row r="37" spans="1:32">
      <c r="A37" s="1"/>
      <c r="B37" s="1"/>
      <c r="C37" s="503"/>
      <c r="E37" s="496" t="s">
        <v>48</v>
      </c>
      <c r="F37" s="43">
        <f>'Unbilled Usage'!B5</f>
        <v>1951969.8227914567</v>
      </c>
      <c r="G37" s="43">
        <f>SUM(H37:AF37)</f>
        <v>4522207.4967443189</v>
      </c>
      <c r="H37" s="355">
        <f>'Unbilled Usage'!E5</f>
        <v>0</v>
      </c>
      <c r="I37" s="355">
        <f>'Unbilled Usage'!F5</f>
        <v>0</v>
      </c>
      <c r="J37" s="355">
        <f>'Unbilled Usage'!G5</f>
        <v>0</v>
      </c>
      <c r="K37" s="355">
        <f>'Unbilled Usage'!H5</f>
        <v>55058.783625644784</v>
      </c>
      <c r="L37" s="355">
        <f>'Unbilled Usage'!I5</f>
        <v>143152.83742667644</v>
      </c>
      <c r="M37" s="355">
        <f>'Unbilled Usage'!J5</f>
        <v>148878.95092374351</v>
      </c>
      <c r="N37" s="355">
        <f>'Unbilled Usage'!K5</f>
        <v>154834.10896069324</v>
      </c>
      <c r="O37" s="355">
        <f>'Unbilled Usage'!L5</f>
        <v>214703.297758828</v>
      </c>
      <c r="P37" s="355">
        <f>'Unbilled Usage'!M5</f>
        <v>223291.42966918115</v>
      </c>
      <c r="Q37" s="355">
        <f>'Unbilled Usage'!N5</f>
        <v>232223.08685594838</v>
      </c>
      <c r="R37" s="355">
        <f>'Unbilled Usage'!O5</f>
        <v>241512.01033018631</v>
      </c>
      <c r="S37" s="355">
        <f>'Unbilled Usage'!P5</f>
        <v>251172.49074339381</v>
      </c>
      <c r="T37" s="355">
        <f>'Unbilled Usage'!Q5</f>
        <v>261219.39037312957</v>
      </c>
      <c r="U37" s="355">
        <f>'Unbilled Usage'!R5</f>
        <v>271668.16598805477</v>
      </c>
      <c r="V37" s="355">
        <f>'Unbilled Usage'!S5</f>
        <v>282534.89262757695</v>
      </c>
      <c r="W37" s="355">
        <f>'Unbilled Usage'!T5</f>
        <v>293836.28833268007</v>
      </c>
      <c r="X37" s="355">
        <f>'Unbilled Usage'!U5</f>
        <v>305589.73986598727</v>
      </c>
      <c r="Y37" s="355">
        <f>'Unbilled Usage'!V5</f>
        <v>317813.32946062682</v>
      </c>
      <c r="Z37" s="355">
        <f>'Unbilled Usage'!W5</f>
        <v>330525.86263905186</v>
      </c>
      <c r="AA37" s="355">
        <f>'Unbilled Usage'!X5</f>
        <v>343746.8971446139</v>
      </c>
      <c r="AB37" s="355">
        <f>'Unbilled Usage'!Y5</f>
        <v>357496.77303039859</v>
      </c>
      <c r="AC37" s="355">
        <f>'Unbilled Usage'!Z5</f>
        <v>92949.160987903626</v>
      </c>
      <c r="AD37" s="355">
        <f>'Unbilled Usage'!AA5</f>
        <v>0</v>
      </c>
      <c r="AE37" s="355">
        <f>'Unbilled Usage'!AB5</f>
        <v>0</v>
      </c>
      <c r="AF37" s="355">
        <f>'Unbilled Usage'!AC5</f>
        <v>0</v>
      </c>
    </row>
    <row r="38" spans="1:32">
      <c r="A38" s="1"/>
      <c r="B38" s="1"/>
      <c r="C38" s="503"/>
      <c r="E38" s="496" t="s">
        <v>15</v>
      </c>
      <c r="F38" s="43">
        <f>NPV(0.0658,H38:AC38)</f>
        <v>3784233.2081157332</v>
      </c>
      <c r="G38" s="43">
        <f>SUM(H38:AF38)</f>
        <v>8724010.6692732703</v>
      </c>
      <c r="H38" s="355">
        <f>'Slow Failed Meters'!C8</f>
        <v>42117</v>
      </c>
      <c r="I38" s="355">
        <f>'Slow Failed Meters'!D8</f>
        <v>43380.51</v>
      </c>
      <c r="J38" s="355">
        <f>'Slow Failed Meters'!E8</f>
        <v>44681.925300000003</v>
      </c>
      <c r="K38" s="355">
        <f>'Slow Failed Meters'!F8</f>
        <v>112432.0550149968</v>
      </c>
      <c r="L38" s="355">
        <f>'Slow Failed Meters'!G8</f>
        <v>291480.10262637923</v>
      </c>
      <c r="M38" s="544">
        <f>'Slow Failed Meters'!H8*(1-0.0407)</f>
        <v>289962.68636011658</v>
      </c>
      <c r="N38" s="544">
        <f>'Slow Failed Meters'!I8*(1-0.0407)</f>
        <v>300691.3057554409</v>
      </c>
      <c r="O38" s="544">
        <f>'Slow Failed Meters'!J8*(1-0.0407)</f>
        <v>415755.84542452282</v>
      </c>
      <c r="P38" s="544">
        <f>'Slow Failed Meters'!K8*(1-0.0407)</f>
        <v>431138.81170523015</v>
      </c>
      <c r="Q38" s="544">
        <f>'Slow Failed Meters'!L8*(1-0.0407)</f>
        <v>447090.94773832359</v>
      </c>
      <c r="R38" s="544">
        <f>'Slow Failed Meters'!M8*(1-0.0407)</f>
        <v>463633.31280464161</v>
      </c>
      <c r="S38" s="544">
        <f>'Slow Failed Meters'!N8*(1-0.0407)</f>
        <v>480787.74537841324</v>
      </c>
      <c r="T38" s="544">
        <f>'Slow Failed Meters'!O8*(1-0.0407)</f>
        <v>498576.89195741457</v>
      </c>
      <c r="U38" s="544">
        <f>'Slow Failed Meters'!P8*(1-0.0407)</f>
        <v>517024.23695983877</v>
      </c>
      <c r="V38" s="544">
        <f>'Slow Failed Meters'!Q8*(1-0.0407)</f>
        <v>536154.13372735295</v>
      </c>
      <c r="W38" s="544">
        <f>'Slow Failed Meters'!R8*(1-0.0407)</f>
        <v>555991.83667526476</v>
      </c>
      <c r="X38" s="544">
        <f>'Slow Failed Meters'!S8*(1-0.0407)</f>
        <v>576563.53463224962</v>
      </c>
      <c r="Y38" s="544">
        <f>'Slow Failed Meters'!T8*(1-0.0407)</f>
        <v>597896.38541364274</v>
      </c>
      <c r="Z38" s="544">
        <f>'Slow Failed Meters'!U8*(1-0.0407)</f>
        <v>620018.5516739476</v>
      </c>
      <c r="AA38" s="544">
        <f>'Slow Failed Meters'!V8*(1-0.0407)</f>
        <v>642959.23808588344</v>
      </c>
      <c r="AB38" s="544">
        <f>'Slow Failed Meters'!W8*(1-0.0407)</f>
        <v>666748.72989506123</v>
      </c>
      <c r="AC38" s="544">
        <f>'Slow Failed Meters'!X8*(1-0.0407)</f>
        <v>148924.88214454806</v>
      </c>
      <c r="AD38" s="544">
        <f>'Slow Failed Meters'!Y8</f>
        <v>0</v>
      </c>
      <c r="AE38" s="544">
        <f>'Slow Failed Meters'!Z8</f>
        <v>0</v>
      </c>
      <c r="AF38" s="544">
        <f>'Slow Failed Meters'!AA8</f>
        <v>0</v>
      </c>
    </row>
    <row r="39" spans="1:32">
      <c r="A39" s="1"/>
      <c r="B39" s="1"/>
      <c r="C39" s="503" t="s">
        <v>24</v>
      </c>
      <c r="E39" s="496" t="s">
        <v>16</v>
      </c>
      <c r="F39" s="43">
        <f>NPV(0.0658,H39:AC39)</f>
        <v>3364422.0268313964</v>
      </c>
      <c r="G39" s="43">
        <f>SUM(H39:AF39)</f>
        <v>7879091.724524036</v>
      </c>
      <c r="H39" s="355">
        <f>'Stopped Meters'!C28</f>
        <v>0</v>
      </c>
      <c r="I39" s="355">
        <f>'Stopped Meters'!D28</f>
        <v>0</v>
      </c>
      <c r="J39" s="355">
        <f>'Stopped Meters'!E28</f>
        <v>0</v>
      </c>
      <c r="K39" s="355">
        <f>'Stopped Meters'!F28</f>
        <v>103081.20442694836</v>
      </c>
      <c r="L39" s="355">
        <f>'Stopped Meters'!G28</f>
        <v>267238.02247686364</v>
      </c>
      <c r="M39" s="544">
        <f>'Stopped Meters'!H28*(1-0.0407)</f>
        <v>265846.80805565137</v>
      </c>
      <c r="N39" s="544">
        <f>'Stopped Meters'!I28*(1-0.0407)</f>
        <v>275683.13995371043</v>
      </c>
      <c r="O39" s="544">
        <f>'Stopped Meters'!J28*(1-0.0407)</f>
        <v>381177.88817599684</v>
      </c>
      <c r="P39" s="544">
        <f>'Stopped Meters'!K28*(1-0.0407)</f>
        <v>395281.47003850876</v>
      </c>
      <c r="Q39" s="544">
        <f>'Stopped Meters'!L28*(1-0.0407)</f>
        <v>409906.8844299335</v>
      </c>
      <c r="R39" s="544">
        <f>'Stopped Meters'!M28*(1-0.0407)</f>
        <v>425073.43915384106</v>
      </c>
      <c r="S39" s="544">
        <f>'Stopped Meters'!N28*(1-0.0407)</f>
        <v>440801.15640253312</v>
      </c>
      <c r="T39" s="544">
        <f>'Stopped Meters'!O28*(1-0.0407)</f>
        <v>457110.79918942682</v>
      </c>
      <c r="U39" s="544">
        <f>'Stopped Meters'!P28*(1-0.0407)</f>
        <v>474023.89875943551</v>
      </c>
      <c r="V39" s="544">
        <f>'Stopped Meters'!Q28*(1-0.0407)</f>
        <v>491562.78301353467</v>
      </c>
      <c r="W39" s="544">
        <f>'Stopped Meters'!R28*(1-0.0407)</f>
        <v>509750.60598503542</v>
      </c>
      <c r="X39" s="544">
        <f>'Stopped Meters'!S28*(1-0.0407)</f>
        <v>528611.3784064817</v>
      </c>
      <c r="Y39" s="544">
        <f>'Stopped Meters'!T28*(1-0.0407)</f>
        <v>548169.99940752145</v>
      </c>
      <c r="Z39" s="544">
        <f>'Stopped Meters'!U28*(1-0.0407)</f>
        <v>568452.28938559978</v>
      </c>
      <c r="AA39" s="544">
        <f>'Stopped Meters'!V28*(1-0.0407)</f>
        <v>589485.02409286681</v>
      </c>
      <c r="AB39" s="544">
        <f>'Stopped Meters'!W28*(1-0.0407)</f>
        <v>611295.969984303</v>
      </c>
      <c r="AC39" s="544">
        <f>'Stopped Meters'!X28*(1-0.0407)</f>
        <v>136538.96318584325</v>
      </c>
      <c r="AD39" s="544">
        <f>'Stopped Meters'!Y28</f>
        <v>0</v>
      </c>
      <c r="AE39" s="544">
        <f>'Stopped Meters'!Z28</f>
        <v>0</v>
      </c>
      <c r="AF39" s="544">
        <f>'Stopped Meters'!AA28</f>
        <v>0</v>
      </c>
    </row>
    <row r="40" spans="1:32">
      <c r="A40" s="1"/>
      <c r="B40" s="1"/>
      <c r="C40" s="503"/>
      <c r="E40" s="496" t="s">
        <v>49</v>
      </c>
      <c r="F40" s="43">
        <f>'Loss of Phase'!B7</f>
        <v>9390317.1778832786</v>
      </c>
      <c r="G40" s="43">
        <f>'Loss of Phase'!B8</f>
        <v>20521975.501757164</v>
      </c>
      <c r="H40" s="355">
        <f>'Loss of Phase'!C7</f>
        <v>75660.720000000016</v>
      </c>
      <c r="I40" s="355">
        <f>'Loss of Phase'!D7</f>
        <v>332259.02999999985</v>
      </c>
      <c r="J40" s="355">
        <f>'Loss of Phase'!E7</f>
        <v>405039.55999999971</v>
      </c>
      <c r="K40" s="355">
        <f>'Loss of Phase'!F7</f>
        <v>488500.5300000002</v>
      </c>
      <c r="L40" s="355">
        <f>'Loss of Phase'!G7</f>
        <v>820883.15836799995</v>
      </c>
      <c r="M40" s="355">
        <f>'Loss of Phase'!H7</f>
        <v>845509.65311903995</v>
      </c>
      <c r="N40" s="355">
        <f>'Loss of Phase'!I7</f>
        <v>870874.94271261117</v>
      </c>
      <c r="O40" s="355">
        <f>'Loss of Phase'!J7</f>
        <v>897001.19099398958</v>
      </c>
      <c r="P40" s="355">
        <f>'Loss of Phase'!K7</f>
        <v>923911.22672380926</v>
      </c>
      <c r="Q40" s="355">
        <f>'Loss of Phase'!L7</f>
        <v>951628.56352552352</v>
      </c>
      <c r="R40" s="355">
        <f>'Loss of Phase'!M7</f>
        <v>980177.42043128924</v>
      </c>
      <c r="S40" s="355">
        <f>'Loss of Phase'!N7</f>
        <v>1009582.7430442279</v>
      </c>
      <c r="T40" s="355">
        <f>'Loss of Phase'!O7</f>
        <v>1039870.2253355548</v>
      </c>
      <c r="U40" s="355">
        <f>'Loss of Phase'!P7</f>
        <v>1071066.3320956214</v>
      </c>
      <c r="V40" s="355">
        <f>'Loss of Phase'!Q7</f>
        <v>1103198.32205849</v>
      </c>
      <c r="W40" s="355">
        <f>'Loss of Phase'!R7</f>
        <v>1136294.2717202448</v>
      </c>
      <c r="X40" s="355">
        <f>'Loss of Phase'!S7</f>
        <v>1170383.0998718522</v>
      </c>
      <c r="Y40" s="355">
        <f>'Loss of Phase'!T7</f>
        <v>1205494.5928680077</v>
      </c>
      <c r="Z40" s="355">
        <f>'Loss of Phase'!U7</f>
        <v>1241659.430654048</v>
      </c>
      <c r="AA40" s="355">
        <f>'Loss of Phase'!V7</f>
        <v>1278909.2135736695</v>
      </c>
      <c r="AB40" s="355">
        <f>'Loss of Phase'!W7</f>
        <v>1317276.4899808797</v>
      </c>
      <c r="AC40" s="355">
        <f>'Loss of Phase'!X7</f>
        <v>1356794.7846803062</v>
      </c>
      <c r="AD40" s="355">
        <f>'Loss of Phase'!Y7</f>
        <v>0</v>
      </c>
      <c r="AE40" s="355">
        <f>'Loss of Phase'!Z7</f>
        <v>0</v>
      </c>
      <c r="AF40" s="355">
        <f>'Loss of Phase'!AA7</f>
        <v>0</v>
      </c>
    </row>
    <row r="41" spans="1:32">
      <c r="A41" s="1"/>
      <c r="B41" s="1"/>
      <c r="C41" s="503"/>
      <c r="D41" s="37"/>
      <c r="E41" s="37" t="s">
        <v>30</v>
      </c>
      <c r="F41" s="43">
        <f>SUM(F36:F40)</f>
        <v>22990365.825166374</v>
      </c>
      <c r="G41" s="43">
        <f t="shared" ref="G41:AF41" si="5">SUM(G36:G40)</f>
        <v>52025471.026562348</v>
      </c>
      <c r="H41" s="43">
        <f t="shared" si="5"/>
        <v>117777.72000000002</v>
      </c>
      <c r="I41" s="43">
        <f t="shared" si="5"/>
        <v>375639.53999999986</v>
      </c>
      <c r="J41" s="43">
        <f t="shared" si="5"/>
        <v>449721.48529999971</v>
      </c>
      <c r="K41" s="43">
        <f t="shared" si="5"/>
        <v>889209.58626143145</v>
      </c>
      <c r="L41" s="43">
        <f t="shared" si="5"/>
        <v>1860134.3276029532</v>
      </c>
      <c r="M41" s="43">
        <f t="shared" si="5"/>
        <v>1900061.3728116713</v>
      </c>
      <c r="N41" s="43">
        <f t="shared" si="5"/>
        <v>1964891.7128866413</v>
      </c>
      <c r="O41" s="43">
        <f t="shared" si="5"/>
        <v>2410281.0483237905</v>
      </c>
      <c r="P41" s="43">
        <f t="shared" si="5"/>
        <v>2493826.5486680893</v>
      </c>
      <c r="Q41" s="43">
        <f t="shared" si="5"/>
        <v>2580300.6266707499</v>
      </c>
      <c r="R41" s="43">
        <f t="shared" si="5"/>
        <v>2669807.0191734564</v>
      </c>
      <c r="S41" s="43">
        <f t="shared" si="5"/>
        <v>2762453.1729708458</v>
      </c>
      <c r="T41" s="43">
        <f t="shared" si="5"/>
        <v>2858350.3786416878</v>
      </c>
      <c r="U41" s="43">
        <f t="shared" si="5"/>
        <v>2957613.9092452005</v>
      </c>
      <c r="V41" s="43">
        <f t="shared" si="5"/>
        <v>3060363.1640605675</v>
      </c>
      <c r="W41" s="43">
        <f t="shared" si="5"/>
        <v>3166721.817554282</v>
      </c>
      <c r="X41" s="43">
        <f t="shared" si="5"/>
        <v>3276817.9737667469</v>
      </c>
      <c r="Y41" s="43">
        <f t="shared" si="5"/>
        <v>3390784.3263166109</v>
      </c>
      <c r="Z41" s="43">
        <f t="shared" si="5"/>
        <v>3508758.3242286313</v>
      </c>
      <c r="AA41" s="43">
        <f t="shared" si="5"/>
        <v>3630882.3437984292</v>
      </c>
      <c r="AB41" s="43">
        <f t="shared" si="5"/>
        <v>3757303.8667153898</v>
      </c>
      <c r="AC41" s="43">
        <f t="shared" si="5"/>
        <v>1943770.761565167</v>
      </c>
      <c r="AD41" s="43">
        <f t="shared" si="5"/>
        <v>0</v>
      </c>
      <c r="AE41" s="43">
        <f t="shared" si="5"/>
        <v>0</v>
      </c>
      <c r="AF41" s="43">
        <f t="shared" si="5"/>
        <v>0</v>
      </c>
    </row>
    <row r="42" spans="1:32">
      <c r="A42" s="1"/>
      <c r="B42" s="1"/>
      <c r="C42" s="503"/>
      <c r="D42" s="37"/>
      <c r="E42" s="37"/>
      <c r="H42" s="355"/>
      <c r="I42" s="355"/>
      <c r="J42" s="355"/>
      <c r="K42" s="355"/>
      <c r="L42" s="355"/>
      <c r="M42" s="355"/>
      <c r="N42" s="355"/>
      <c r="O42" s="355"/>
      <c r="P42" s="355"/>
      <c r="Q42" s="355"/>
      <c r="R42" s="355"/>
      <c r="S42" s="355"/>
      <c r="T42" s="355"/>
      <c r="U42" s="355"/>
      <c r="V42" s="355"/>
      <c r="W42" s="355"/>
      <c r="X42" s="355"/>
      <c r="Y42" s="355"/>
      <c r="Z42" s="355"/>
      <c r="AA42" s="355"/>
      <c r="AB42" s="355"/>
      <c r="AC42" s="355"/>
      <c r="AD42" s="355"/>
      <c r="AE42" s="355"/>
      <c r="AF42" s="355"/>
    </row>
    <row r="43" spans="1:32">
      <c r="A43" s="1"/>
      <c r="B43" s="1"/>
      <c r="C43" s="503"/>
      <c r="D43" s="37" t="s">
        <v>50</v>
      </c>
      <c r="E43" s="37"/>
      <c r="H43" s="355"/>
      <c r="I43" s="355"/>
      <c r="J43" s="355"/>
      <c r="K43" s="355"/>
      <c r="L43" s="355"/>
      <c r="M43" s="355"/>
      <c r="N43" s="355"/>
      <c r="O43" s="355"/>
      <c r="P43" s="355"/>
      <c r="Q43" s="355"/>
      <c r="R43" s="355"/>
      <c r="S43" s="355"/>
      <c r="T43" s="355"/>
      <c r="U43" s="355"/>
      <c r="V43" s="355"/>
      <c r="W43" s="355"/>
      <c r="X43" s="355"/>
      <c r="Y43" s="355"/>
      <c r="Z43" s="355"/>
      <c r="AA43" s="355"/>
      <c r="AB43" s="355"/>
      <c r="AC43" s="355"/>
      <c r="AD43" s="355"/>
      <c r="AE43" s="355"/>
      <c r="AF43" s="355"/>
    </row>
    <row r="44" spans="1:32">
      <c r="A44" s="1"/>
      <c r="B44" s="1"/>
      <c r="C44" s="503" t="s">
        <v>24</v>
      </c>
      <c r="D44" s="100"/>
      <c r="E44" s="496" t="s">
        <v>10</v>
      </c>
      <c r="F44" s="43">
        <f>NPV(0.0658,H44:AC44)</f>
        <v>6528174.400280741</v>
      </c>
      <c r="G44" s="43">
        <f>SUM(H44:AF44)</f>
        <v>15382656.222365012</v>
      </c>
      <c r="H44" s="355">
        <f>'Estimated Bills'!K17</f>
        <v>0</v>
      </c>
      <c r="I44" s="355">
        <f>'Estimated Bills'!L17</f>
        <v>0</v>
      </c>
      <c r="J44" s="355">
        <f>'Estimated Bills'!M17</f>
        <v>0</v>
      </c>
      <c r="K44" s="355">
        <f>'Estimated Bills'!N17</f>
        <v>194296.65319520229</v>
      </c>
      <c r="L44" s="355">
        <f>'Estimated Bills'!O17</f>
        <v>505317.02079742245</v>
      </c>
      <c r="M44" s="544">
        <f>'Estimated Bills'!P17*(1-0.0407)</f>
        <v>504286.06795842142</v>
      </c>
      <c r="N44" s="544">
        <f>'Estimated Bills'!Q17*(1-0.0407)</f>
        <v>524608.79649714578</v>
      </c>
      <c r="O44" s="544">
        <f>'Estimated Bills'!R17*(1-0.0407)</f>
        <v>727667.37466130767</v>
      </c>
      <c r="P44" s="544">
        <f>'Estimated Bills'!S17*(1-0.0407)</f>
        <v>756992.36986015853</v>
      </c>
      <c r="Q44" s="544">
        <f>'Estimated Bills'!T17*(1-0.0407)</f>
        <v>787499.16236552282</v>
      </c>
      <c r="R44" s="544">
        <f>'Estimated Bills'!U17*(1-0.0407)</f>
        <v>819235.37860885344</v>
      </c>
      <c r="S44" s="544">
        <f>'Estimated Bills'!V17*(1-0.0407)</f>
        <v>852250.56436679023</v>
      </c>
      <c r="T44" s="544">
        <f>'Estimated Bills'!W17*(1-0.0407)</f>
        <v>886596.26211077196</v>
      </c>
      <c r="U44" s="544">
        <f>'Estimated Bills'!X17*(1-0.0407)</f>
        <v>922326.09147383622</v>
      </c>
      <c r="V44" s="544">
        <f>'Estimated Bills'!Y17*(1-0.0407)</f>
        <v>959495.83296023181</v>
      </c>
      <c r="W44" s="544">
        <f>'Estimated Bills'!Z17*(1-0.0407)</f>
        <v>998163.51502852887</v>
      </c>
      <c r="X44" s="544">
        <f>'Estimated Bills'!AA17*(1-0.0407)</f>
        <v>1038389.5046841785</v>
      </c>
      <c r="Y44" s="544">
        <f>'Estimated Bills'!AB17*(1-0.0407)</f>
        <v>1080236.6017229513</v>
      </c>
      <c r="Z44" s="544">
        <f>'Estimated Bills'!AC17*(1-0.0407)</f>
        <v>1123770.1367723863</v>
      </c>
      <c r="AA44" s="544">
        <f>'Estimated Bills'!AD17*(1-0.0407)</f>
        <v>1169058.0732843135</v>
      </c>
      <c r="AB44" s="544">
        <f>'Estimated Bills'!AE17*(1-0.0407)</f>
        <v>1216171.1136376711</v>
      </c>
      <c r="AC44" s="544">
        <f>'Estimated Bills'!AF17*(1-0.0407)</f>
        <v>316295.70237931743</v>
      </c>
      <c r="AD44" s="544">
        <f>'Estimated Bills'!AG17*(1-0.041)</f>
        <v>0</v>
      </c>
      <c r="AE44" s="544">
        <f>'Estimated Bills'!AH17*(1-0.041)</f>
        <v>0</v>
      </c>
      <c r="AF44" s="544">
        <f>'Estimated Bills'!AI17*(1-0.041)</f>
        <v>0</v>
      </c>
    </row>
    <row r="45" spans="1:32">
      <c r="A45" s="1"/>
      <c r="B45" s="1"/>
      <c r="C45" s="503" t="s">
        <v>24</v>
      </c>
      <c r="D45" s="100"/>
      <c r="E45" s="496" t="s">
        <v>12</v>
      </c>
      <c r="F45" s="43">
        <f t="shared" ref="F45:F47" si="6">NPV(0.0658,H45:AC45)</f>
        <v>2379863.5680026547</v>
      </c>
      <c r="G45" s="43">
        <f t="shared" ref="G45:G48" si="7">SUM(H45:AF45)</f>
        <v>5607788.7749355333</v>
      </c>
      <c r="H45" s="355">
        <f>'Bill Inquiries'!M17</f>
        <v>0</v>
      </c>
      <c r="I45" s="469">
        <f>'Bill Inquiries'!N17</f>
        <v>0</v>
      </c>
      <c r="J45" s="469">
        <f>'Bill Inquiries'!O17</f>
        <v>0</v>
      </c>
      <c r="K45" s="469">
        <f>'Bill Inquiries'!P17</f>
        <v>70831.368461023856</v>
      </c>
      <c r="L45" s="469">
        <f>'Bill Inquiries'!Q17</f>
        <v>184214.68152500782</v>
      </c>
      <c r="M45" s="545">
        <f>'Bill Inquiries'!R17*(1-0.0407)</f>
        <v>183838.84488961374</v>
      </c>
      <c r="N45" s="545">
        <f>'Bill Inquiries'!S17*(1-0.0407)</f>
        <v>191247.55033866517</v>
      </c>
      <c r="O45" s="545">
        <f>'Bill Inquiries'!T17*(1-0.0407)</f>
        <v>265273.10215641779</v>
      </c>
      <c r="P45" s="545">
        <f>'Bill Inquiries'!U17*(1-0.0407)</f>
        <v>275963.60817332147</v>
      </c>
      <c r="Q45" s="545">
        <f>'Bill Inquiries'!V17*(1-0.0407)</f>
        <v>287084.94158270629</v>
      </c>
      <c r="R45" s="545">
        <f>'Bill Inquiries'!W17*(1-0.0407)</f>
        <v>298654.4647284894</v>
      </c>
      <c r="S45" s="545">
        <f>'Bill Inquiries'!X17*(1-0.0407)</f>
        <v>310690.2396570475</v>
      </c>
      <c r="T45" s="545">
        <f>'Bill Inquiries'!Y17*(1-0.0407)</f>
        <v>323211.05631522654</v>
      </c>
      <c r="U45" s="545">
        <f>'Bill Inquiries'!Z17*(1-0.0407)</f>
        <v>336236.4618847302</v>
      </c>
      <c r="V45" s="545">
        <f>'Bill Inquiries'!AA17*(1-0.0407)</f>
        <v>349786.79129868478</v>
      </c>
      <c r="W45" s="545">
        <f>'Bill Inquiries'!AB17*(1-0.0407)</f>
        <v>363883.19898802176</v>
      </c>
      <c r="X45" s="545">
        <f>'Bill Inquiries'!AC17*(1-0.0407)</f>
        <v>378547.69190723909</v>
      </c>
      <c r="Y45" s="545">
        <f>'Bill Inquiries'!AD17*(1-0.0407)</f>
        <v>393803.16389110091</v>
      </c>
      <c r="Z45" s="545">
        <f>'Bill Inquiries'!AE17*(1-0.0407)</f>
        <v>409673.43139591225</v>
      </c>
      <c r="AA45" s="545">
        <f>'Bill Inquiries'!AF17*(1-0.0407)</f>
        <v>426183.27068116755</v>
      </c>
      <c r="AB45" s="545">
        <f>'Bill Inquiries'!AG17*(1-0.0407)</f>
        <v>443358.45648961858</v>
      </c>
      <c r="AC45" s="545">
        <f>'Bill Inquiries'!AH17*(1-0.0407)</f>
        <v>115306.45057153756</v>
      </c>
      <c r="AD45" s="545">
        <f>'Bill Inquiries'!AI17*(1-0.041)</f>
        <v>0</v>
      </c>
      <c r="AE45" s="545">
        <f>'Bill Inquiries'!AJ17*(1-0.041)</f>
        <v>0</v>
      </c>
      <c r="AF45" s="545">
        <f>'Bill Inquiries'!AK17*(1-0.041)</f>
        <v>0</v>
      </c>
    </row>
    <row r="46" spans="1:32">
      <c r="A46" s="1"/>
      <c r="B46" s="1"/>
      <c r="C46" s="503" t="s">
        <v>24</v>
      </c>
      <c r="D46" s="100"/>
      <c r="E46" s="496" t="s">
        <v>13</v>
      </c>
      <c r="F46" s="43">
        <f t="shared" si="6"/>
        <v>1096662.0741878629</v>
      </c>
      <c r="G46" s="43">
        <f t="shared" si="7"/>
        <v>2466822.7394929137</v>
      </c>
      <c r="H46" s="355">
        <f>'Billing Analysis'!H20</f>
        <v>0</v>
      </c>
      <c r="I46" s="469">
        <f>'Billing Analysis'!I20</f>
        <v>0</v>
      </c>
      <c r="J46" s="469">
        <f>'Billing Analysis'!J20</f>
        <v>0</v>
      </c>
      <c r="K46" s="469">
        <f>'Billing Analysis'!K20</f>
        <v>41714.25156808363</v>
      </c>
      <c r="L46" s="469">
        <f>'Billing Analysis'!L20</f>
        <v>105328.48520941116</v>
      </c>
      <c r="M46" s="545">
        <f>'Billing Analysis'!M20*(1-0.0407)</f>
        <v>102052.03202000202</v>
      </c>
      <c r="N46" s="545">
        <f>'Billing Analysis'!N20*(1-0.0407)</f>
        <v>103072.55234020203</v>
      </c>
      <c r="O46" s="545">
        <f>'Billing Analysis'!O20*(1-0.0407)</f>
        <v>138804.3704848054</v>
      </c>
      <c r="P46" s="545">
        <f>'Billing Analysis'!P20*(1-0.0407)</f>
        <v>140192.41418965347</v>
      </c>
      <c r="Q46" s="545">
        <f>'Billing Analysis'!Q20*(1-0.0407)</f>
        <v>141594.33833155001</v>
      </c>
      <c r="R46" s="545">
        <f>'Billing Analysis'!R20*(1-0.0407)</f>
        <v>143010.2817148655</v>
      </c>
      <c r="S46" s="545">
        <f>'Billing Analysis'!S20*(1-0.0407)</f>
        <v>144440.38453201417</v>
      </c>
      <c r="T46" s="545">
        <f>'Billing Analysis'!T20*(1-0.0407)</f>
        <v>145884.78837733431</v>
      </c>
      <c r="U46" s="545">
        <f>'Billing Analysis'!U20*(1-0.0407)</f>
        <v>147343.63626110763</v>
      </c>
      <c r="V46" s="545">
        <f>'Billing Analysis'!V20*(1-0.0407)</f>
        <v>148817.07262371873</v>
      </c>
      <c r="W46" s="545">
        <f>'Billing Analysis'!W20*(1-0.0407)</f>
        <v>150305.24334995588</v>
      </c>
      <c r="X46" s="545">
        <f>'Billing Analysis'!X20*(1-0.0407)</f>
        <v>151808.29578345545</v>
      </c>
      <c r="Y46" s="545">
        <f>'Billing Analysis'!Y20*(1-0.0407)</f>
        <v>153326.37874129001</v>
      </c>
      <c r="Z46" s="545">
        <f>'Billing Analysis'!Z20*(1-0.0407)</f>
        <v>154859.64252870294</v>
      </c>
      <c r="AA46" s="545">
        <f>'Billing Analysis'!AA20*(1-0.0407)</f>
        <v>156408.23895398999</v>
      </c>
      <c r="AB46" s="545">
        <f>'Billing Analysis'!AB20*(1-0.0407)</f>
        <v>157972.32134352988</v>
      </c>
      <c r="AC46" s="545">
        <f>'Billing Analysis'!AC20*(1-0.0407)</f>
        <v>39888.011139241295</v>
      </c>
      <c r="AD46" s="545">
        <f>'Billing Analysis'!AD20*(1-0.041)</f>
        <v>0</v>
      </c>
      <c r="AE46" s="545">
        <f>'Billing Analysis'!AE20*(1-0.041)</f>
        <v>0</v>
      </c>
      <c r="AF46" s="545">
        <f>'Billing Analysis'!AF20*(1-0.041)</f>
        <v>0</v>
      </c>
    </row>
    <row r="47" spans="1:32">
      <c r="A47" s="1"/>
      <c r="B47" s="1"/>
      <c r="C47" s="503" t="s">
        <v>24</v>
      </c>
      <c r="D47" s="100"/>
      <c r="E47" s="496" t="s">
        <v>14</v>
      </c>
      <c r="F47" s="43">
        <f t="shared" si="6"/>
        <v>973755.49224492256</v>
      </c>
      <c r="G47" s="43">
        <f t="shared" si="7"/>
        <v>2294507.6315974817</v>
      </c>
      <c r="H47" s="355">
        <f>Rebilling!K18</f>
        <v>0</v>
      </c>
      <c r="I47" s="469">
        <f>Rebilling!L18</f>
        <v>0</v>
      </c>
      <c r="J47" s="469">
        <f>Rebilling!M18</f>
        <v>0</v>
      </c>
      <c r="K47" s="469">
        <f>Rebilling!N18</f>
        <v>28981.67566808554</v>
      </c>
      <c r="L47" s="469">
        <f>Rebilling!O18</f>
        <v>75374.092993773476</v>
      </c>
      <c r="M47" s="545">
        <f>Rebilling!P18*(1-0.0407)</f>
        <v>75220.314015506665</v>
      </c>
      <c r="N47" s="545">
        <f>Rebilling!Q18*(1-0.0407)</f>
        <v>78251.692670331584</v>
      </c>
      <c r="O47" s="545">
        <f>Rebilling!R18*(1-0.0407)</f>
        <v>108540.31451326128</v>
      </c>
      <c r="P47" s="545">
        <f>Rebilling!S18*(1-0.0407)</f>
        <v>112914.48918814572</v>
      </c>
      <c r="Q47" s="545">
        <f>Rebilling!T18*(1-0.0407)</f>
        <v>117464.94310242798</v>
      </c>
      <c r="R47" s="545">
        <f>Rebilling!U18*(1-0.0407)</f>
        <v>122198.78030945585</v>
      </c>
      <c r="S47" s="545">
        <f>Rebilling!V18*(1-0.0407)</f>
        <v>127123.39115592693</v>
      </c>
      <c r="T47" s="545">
        <f>Rebilling!W18*(1-0.0407)</f>
        <v>132246.4638195108</v>
      </c>
      <c r="U47" s="545">
        <f>Rebilling!X18*(1-0.0407)</f>
        <v>137575.99631143705</v>
      </c>
      <c r="V47" s="545">
        <f>Rebilling!Y18*(1-0.0407)</f>
        <v>143120.30896278797</v>
      </c>
      <c r="W47" s="545">
        <f>Rebilling!Z18*(1-0.0407)</f>
        <v>148888.05741398834</v>
      </c>
      <c r="X47" s="545">
        <f>Rebilling!AA18*(1-0.0407)</f>
        <v>154888.24612777209</v>
      </c>
      <c r="Y47" s="545">
        <f>Rebilling!AB18*(1-0.0407)</f>
        <v>161130.24244672133</v>
      </c>
      <c r="Z47" s="545">
        <f>Rebilling!AC18*(1-0.0407)</f>
        <v>167623.79121732421</v>
      </c>
      <c r="AA47" s="545">
        <f>Rebilling!AD18*(1-0.0407)</f>
        <v>174379.03000338239</v>
      </c>
      <c r="AB47" s="545">
        <f>Rebilling!AE18*(1-0.0407)</f>
        <v>181406.50491251872</v>
      </c>
      <c r="AC47" s="545">
        <f>Rebilling!AF18*(1-0.0407)</f>
        <v>47179.296765123312</v>
      </c>
      <c r="AD47" s="545">
        <f>Rebilling!AG18*(1-0.041)</f>
        <v>0</v>
      </c>
      <c r="AE47" s="545">
        <f>Rebilling!AH18*(1-0.041)</f>
        <v>0</v>
      </c>
      <c r="AF47" s="545">
        <f>Rebilling!AI18*(1-0.041)</f>
        <v>0</v>
      </c>
    </row>
    <row r="48" spans="1:32">
      <c r="A48" s="1"/>
      <c r="B48" s="1"/>
      <c r="C48" s="503"/>
      <c r="D48" s="37"/>
      <c r="E48" s="37" t="s">
        <v>30</v>
      </c>
      <c r="F48" s="43">
        <f>SUM(F44:F47)</f>
        <v>10978455.534716181</v>
      </c>
      <c r="G48" s="43">
        <f t="shared" si="7"/>
        <v>25751775.36839094</v>
      </c>
      <c r="H48" s="355">
        <f t="shared" ref="H48:AF48" si="8">SUM(H44:H47)</f>
        <v>0</v>
      </c>
      <c r="I48" s="355">
        <f t="shared" si="8"/>
        <v>0</v>
      </c>
      <c r="J48" s="355">
        <f t="shared" si="8"/>
        <v>0</v>
      </c>
      <c r="K48" s="355">
        <f t="shared" si="8"/>
        <v>335823.9488923953</v>
      </c>
      <c r="L48" s="355">
        <f t="shared" si="8"/>
        <v>870234.28052561486</v>
      </c>
      <c r="M48" s="355">
        <f t="shared" si="8"/>
        <v>865397.25888354378</v>
      </c>
      <c r="N48" s="355">
        <f t="shared" si="8"/>
        <v>897180.59184634453</v>
      </c>
      <c r="O48" s="355">
        <f t="shared" si="8"/>
        <v>1240285.1618157921</v>
      </c>
      <c r="P48" s="355">
        <f t="shared" si="8"/>
        <v>1286062.8814112791</v>
      </c>
      <c r="Q48" s="355">
        <f t="shared" si="8"/>
        <v>1333643.3853822069</v>
      </c>
      <c r="R48" s="355">
        <f t="shared" si="8"/>
        <v>1383098.9053616642</v>
      </c>
      <c r="S48" s="355">
        <f t="shared" si="8"/>
        <v>1434504.5797117788</v>
      </c>
      <c r="T48" s="355">
        <f t="shared" si="8"/>
        <v>1487938.5706228437</v>
      </c>
      <c r="U48" s="355">
        <f t="shared" si="8"/>
        <v>1543482.1859311112</v>
      </c>
      <c r="V48" s="355">
        <f t="shared" si="8"/>
        <v>1601220.0058454233</v>
      </c>
      <c r="W48" s="355">
        <f t="shared" si="8"/>
        <v>1661240.0147804949</v>
      </c>
      <c r="X48" s="355">
        <f t="shared" si="8"/>
        <v>1723633.7385026452</v>
      </c>
      <c r="Y48" s="355">
        <f t="shared" si="8"/>
        <v>1788496.3868020636</v>
      </c>
      <c r="Z48" s="355">
        <f t="shared" si="8"/>
        <v>1855927.0019143256</v>
      </c>
      <c r="AA48" s="355">
        <f t="shared" si="8"/>
        <v>1926028.6129228533</v>
      </c>
      <c r="AB48" s="355">
        <f t="shared" si="8"/>
        <v>1998908.3963833384</v>
      </c>
      <c r="AC48" s="355">
        <f t="shared" si="8"/>
        <v>518669.46085521957</v>
      </c>
      <c r="AD48" s="355">
        <f t="shared" si="8"/>
        <v>0</v>
      </c>
      <c r="AE48" s="355">
        <f t="shared" si="8"/>
        <v>0</v>
      </c>
      <c r="AF48" s="355">
        <f t="shared" si="8"/>
        <v>0</v>
      </c>
    </row>
    <row r="49" spans="1:32">
      <c r="A49" s="1"/>
      <c r="B49" s="1"/>
      <c r="C49" s="503"/>
      <c r="D49" s="37"/>
      <c r="E49" s="37"/>
      <c r="H49" s="355"/>
      <c r="I49" s="355"/>
      <c r="J49" s="355"/>
      <c r="K49" s="355"/>
      <c r="L49" s="355"/>
      <c r="M49" s="355"/>
      <c r="N49" s="355"/>
      <c r="O49" s="355"/>
      <c r="P49" s="355"/>
      <c r="Q49" s="355"/>
      <c r="R49" s="355"/>
      <c r="S49" s="355"/>
      <c r="T49" s="355"/>
      <c r="U49" s="355"/>
      <c r="V49" s="355"/>
      <c r="W49" s="355"/>
      <c r="X49" s="355"/>
      <c r="Y49" s="355"/>
      <c r="Z49" s="355"/>
      <c r="AA49" s="355"/>
      <c r="AB49" s="355"/>
      <c r="AC49" s="355"/>
      <c r="AD49" s="355"/>
      <c r="AE49" s="355"/>
      <c r="AF49" s="355"/>
    </row>
    <row r="50" spans="1:32">
      <c r="A50" s="1"/>
      <c r="B50" s="1"/>
      <c r="C50" s="503"/>
      <c r="D50" s="37" t="s">
        <v>51</v>
      </c>
      <c r="E50" s="37"/>
      <c r="H50" s="355"/>
      <c r="I50" s="355"/>
      <c r="J50" s="355"/>
      <c r="K50" s="355"/>
      <c r="L50" s="355"/>
      <c r="M50" s="355"/>
      <c r="N50" s="355"/>
      <c r="O50" s="355"/>
      <c r="P50" s="355"/>
      <c r="Q50" s="355"/>
      <c r="R50" s="355"/>
      <c r="S50" s="355"/>
      <c r="T50" s="355"/>
      <c r="U50" s="355"/>
      <c r="V50" s="355"/>
      <c r="W50" s="355"/>
      <c r="X50" s="355"/>
      <c r="Y50" s="355"/>
      <c r="Z50" s="355"/>
      <c r="AA50" s="355"/>
      <c r="AB50" s="355"/>
      <c r="AC50" s="355"/>
      <c r="AD50" s="355"/>
      <c r="AE50" s="355"/>
      <c r="AF50" s="355"/>
    </row>
    <row r="51" spans="1:32">
      <c r="A51" s="1"/>
      <c r="B51" s="1"/>
      <c r="C51" s="503" t="s">
        <v>24</v>
      </c>
      <c r="E51" s="496" t="s">
        <v>52</v>
      </c>
      <c r="F51" s="43">
        <f>'Retail Load Analysis'!G30</f>
        <v>979466.95150497009</v>
      </c>
      <c r="G51" s="43">
        <f>SUM(H51:AF51)</f>
        <v>1761470.572018082</v>
      </c>
      <c r="H51" s="355">
        <f>'Retail Load Analysis'!J30</f>
        <v>48709.749490769231</v>
      </c>
      <c r="I51" s="355">
        <f>'Retail Load Analysis'!K30</f>
        <v>50171.041975492306</v>
      </c>
      <c r="J51" s="355">
        <f>'Retail Load Analysis'!L30</f>
        <v>364576.17323475709</v>
      </c>
      <c r="K51" s="355">
        <f>'Retail Load Analysis'!M30</f>
        <v>53226.458431799787</v>
      </c>
      <c r="L51" s="355">
        <f>'Retail Load Analysis'!N30</f>
        <v>54823.252184753779</v>
      </c>
      <c r="M51" s="355">
        <f>'Retail Load Analysis'!O30</f>
        <v>42350.962312722295</v>
      </c>
      <c r="N51" s="355">
        <f>'Retail Load Analysis'!P30</f>
        <v>43621.491182103964</v>
      </c>
      <c r="O51" s="355">
        <f>'Retail Load Analysis'!Q30</f>
        <v>88781.847890089441</v>
      </c>
      <c r="P51" s="355">
        <f>'Retail Load Analysis'!R30</f>
        <v>61704.053326792127</v>
      </c>
      <c r="Q51" s="355">
        <f>'Retail Load Analysis'!S30</f>
        <v>63555.174926595893</v>
      </c>
      <c r="R51" s="355">
        <f>'Retail Load Analysis'!T30</f>
        <v>65461.83017439377</v>
      </c>
      <c r="S51" s="355">
        <f>'Retail Load Analysis'!U30</f>
        <v>67425.685079625575</v>
      </c>
      <c r="T51" s="355">
        <f>'Retail Load Analysis'!V30</f>
        <v>69448.455632014331</v>
      </c>
      <c r="U51" s="355">
        <f>'Retail Load Analysis'!W30</f>
        <v>71531.909300974774</v>
      </c>
      <c r="V51" s="355">
        <f>'Retail Load Analysis'!X30</f>
        <v>73677.866580004018</v>
      </c>
      <c r="W51" s="355">
        <f>'Retail Load Analysis'!Y30</f>
        <v>75888.202577404125</v>
      </c>
      <c r="X51" s="355">
        <f>'Retail Load Analysis'!Z30</f>
        <v>78164.848654726258</v>
      </c>
      <c r="Y51" s="355">
        <f>'Retail Load Analysis'!AA30</f>
        <v>109384.79411436804</v>
      </c>
      <c r="Z51" s="355">
        <f>'Retail Load Analysis'!AB30</f>
        <v>82925.087937799079</v>
      </c>
      <c r="AA51" s="355">
        <f>'Retail Load Analysis'!AC30</f>
        <v>85412.840575933049</v>
      </c>
      <c r="AB51" s="355">
        <f>'Retail Load Analysis'!AD30</f>
        <v>87975.225793211037</v>
      </c>
      <c r="AC51" s="355">
        <f>'Retail Load Analysis'!AE30</f>
        <v>22653.620641751844</v>
      </c>
      <c r="AD51" s="355">
        <f>'Retail Load Analysis'!AF30</f>
        <v>0</v>
      </c>
      <c r="AE51" s="355">
        <f>'Retail Load Analysis'!AG30</f>
        <v>0</v>
      </c>
      <c r="AF51" s="355">
        <f>'Retail Load Analysis'!AH30</f>
        <v>0</v>
      </c>
    </row>
    <row r="52" spans="1:32">
      <c r="A52" s="1"/>
      <c r="B52" s="1"/>
      <c r="C52" s="503" t="s">
        <v>24</v>
      </c>
      <c r="E52" s="496" t="s">
        <v>53</v>
      </c>
      <c r="F52" s="43">
        <f>'Meter Sampling'!D20</f>
        <v>1071164.5580977038</v>
      </c>
      <c r="G52" s="43">
        <f>SUM(H52:AF52)</f>
        <v>2241199.4727105726</v>
      </c>
      <c r="H52" s="355">
        <v>32580</v>
      </c>
      <c r="I52" s="355">
        <f>'Meter Sampling'!F20</f>
        <v>77954.932000000001</v>
      </c>
      <c r="J52" s="355">
        <f>'Meter Sampling'!G20</f>
        <v>80293.579960000003</v>
      </c>
      <c r="K52" s="355">
        <f>'Meter Sampling'!H20</f>
        <v>82702.387358799999</v>
      </c>
      <c r="L52" s="355">
        <f>'Meter Sampling'!I20</f>
        <v>68146.767183651187</v>
      </c>
      <c r="M52" s="355">
        <f>'Meter Sampling'!J20</f>
        <v>52643.377649370545</v>
      </c>
      <c r="N52" s="355">
        <f>'Meter Sampling'!K20</f>
        <v>54222.678978851669</v>
      </c>
      <c r="O52" s="355">
        <f>'Meter Sampling'!L20</f>
        <v>74465.812464289615</v>
      </c>
      <c r="P52" s="355">
        <f>'Meter Sampling'!M20</f>
        <v>76699.786838218308</v>
      </c>
      <c r="Q52" s="355">
        <f>'Meter Sampling'!N20</f>
        <v>115662.8192718725</v>
      </c>
      <c r="R52" s="355">
        <f>'Meter Sampling'!O20</f>
        <v>119132.70385002867</v>
      </c>
      <c r="S52" s="355">
        <f>'Meter Sampling'!P20</f>
        <v>122706.68496552952</v>
      </c>
      <c r="T52" s="355">
        <f>'Meter Sampling'!Q20</f>
        <v>126387.8855144954</v>
      </c>
      <c r="U52" s="355">
        <f>'Meter Sampling'!R20</f>
        <v>130179.52207993028</v>
      </c>
      <c r="V52" s="355">
        <f>'Meter Sampling'!S20</f>
        <v>134084.90774232819</v>
      </c>
      <c r="W52" s="355">
        <f>'Meter Sampling'!T20</f>
        <v>138107.45497459802</v>
      </c>
      <c r="X52" s="355">
        <f>'Meter Sampling'!U20</f>
        <v>142250.67862383596</v>
      </c>
      <c r="Y52" s="355">
        <f>'Meter Sampling'!V20</f>
        <v>146518.19898255102</v>
      </c>
      <c r="Z52" s="355">
        <f>'Meter Sampling'!W20</f>
        <v>150913.74495202757</v>
      </c>
      <c r="AA52" s="355">
        <f>'Meter Sampling'!X20</f>
        <v>155441.15730058838</v>
      </c>
      <c r="AB52" s="355">
        <f>'Meter Sampling'!Y20</f>
        <v>160104.39201960602</v>
      </c>
      <c r="AC52" s="355">
        <f>'Meter Sampling'!Z20</f>
        <v>0</v>
      </c>
      <c r="AD52" s="355">
        <f>'Meter Sampling'!AA20</f>
        <v>0</v>
      </c>
      <c r="AE52" s="355">
        <f>'Meter Sampling'!AB20</f>
        <v>0</v>
      </c>
      <c r="AF52" s="355">
        <f>'Meter Sampling'!AC20</f>
        <v>0</v>
      </c>
    </row>
    <row r="53" spans="1:32">
      <c r="A53" s="1"/>
      <c r="B53" s="1"/>
      <c r="C53" s="503"/>
      <c r="D53" s="37"/>
      <c r="E53" s="37" t="s">
        <v>30</v>
      </c>
      <c r="F53" s="497">
        <f>SUM(F51:F52)</f>
        <v>2050631.5096026738</v>
      </c>
      <c r="G53" s="43">
        <f>SUM(H53:AF53)</f>
        <v>4002670.0447286549</v>
      </c>
      <c r="H53" s="469">
        <f t="shared" ref="H53:AF53" si="9">SUM(H51:H52)</f>
        <v>81289.749490769231</v>
      </c>
      <c r="I53" s="469">
        <f t="shared" si="9"/>
        <v>128125.97397549231</v>
      </c>
      <c r="J53" s="469">
        <f t="shared" si="9"/>
        <v>444869.7531947571</v>
      </c>
      <c r="K53" s="469">
        <f t="shared" si="9"/>
        <v>135928.84579059979</v>
      </c>
      <c r="L53" s="469">
        <f t="shared" si="9"/>
        <v>122970.01936840496</v>
      </c>
      <c r="M53" s="469">
        <f t="shared" si="9"/>
        <v>94994.339962092839</v>
      </c>
      <c r="N53" s="469">
        <f t="shared" si="9"/>
        <v>97844.170160955633</v>
      </c>
      <c r="O53" s="469">
        <f t="shared" si="9"/>
        <v>163247.66035437904</v>
      </c>
      <c r="P53" s="469">
        <f t="shared" si="9"/>
        <v>138403.84016501042</v>
      </c>
      <c r="Q53" s="469">
        <f t="shared" si="9"/>
        <v>179217.9941984684</v>
      </c>
      <c r="R53" s="469">
        <f t="shared" si="9"/>
        <v>184594.53402442244</v>
      </c>
      <c r="S53" s="469">
        <f t="shared" si="9"/>
        <v>190132.37004515511</v>
      </c>
      <c r="T53" s="469">
        <f t="shared" si="9"/>
        <v>195836.34114650975</v>
      </c>
      <c r="U53" s="469">
        <f t="shared" si="9"/>
        <v>201711.43138090504</v>
      </c>
      <c r="V53" s="469">
        <f t="shared" si="9"/>
        <v>207762.7743223322</v>
      </c>
      <c r="W53" s="469">
        <f t="shared" si="9"/>
        <v>213995.65755200214</v>
      </c>
      <c r="X53" s="469">
        <f t="shared" si="9"/>
        <v>220415.52727856222</v>
      </c>
      <c r="Y53" s="469">
        <f t="shared" si="9"/>
        <v>255902.99309691906</v>
      </c>
      <c r="Z53" s="469">
        <f t="shared" si="9"/>
        <v>233838.83288982665</v>
      </c>
      <c r="AA53" s="469">
        <f t="shared" si="9"/>
        <v>240853.99787652143</v>
      </c>
      <c r="AB53" s="469">
        <f t="shared" si="9"/>
        <v>248079.61781281704</v>
      </c>
      <c r="AC53" s="355">
        <f t="shared" si="9"/>
        <v>22653.620641751844</v>
      </c>
      <c r="AD53" s="355">
        <f t="shared" si="9"/>
        <v>0</v>
      </c>
      <c r="AE53" s="355">
        <f t="shared" si="9"/>
        <v>0</v>
      </c>
      <c r="AF53" s="355">
        <f t="shared" si="9"/>
        <v>0</v>
      </c>
    </row>
    <row r="54" spans="1:32">
      <c r="A54" s="1"/>
      <c r="B54" s="1"/>
      <c r="C54" s="503"/>
      <c r="D54" s="37"/>
      <c r="E54" s="37"/>
      <c r="H54" s="355"/>
      <c r="I54" s="355"/>
      <c r="J54" s="355"/>
      <c r="K54" s="355"/>
      <c r="L54" s="355"/>
      <c r="M54" s="355"/>
      <c r="N54" s="355"/>
      <c r="O54" s="355"/>
      <c r="P54" s="355"/>
      <c r="Q54" s="355"/>
      <c r="R54" s="355"/>
      <c r="S54" s="355"/>
      <c r="T54" s="355"/>
      <c r="U54" s="355"/>
      <c r="V54" s="355"/>
      <c r="W54" s="355"/>
      <c r="X54" s="355"/>
      <c r="Y54" s="355"/>
      <c r="Z54" s="355"/>
      <c r="AA54" s="355"/>
      <c r="AB54" s="355"/>
      <c r="AC54" s="355"/>
      <c r="AD54" s="355"/>
      <c r="AE54" s="355"/>
      <c r="AF54" s="355"/>
    </row>
    <row r="55" spans="1:32" ht="15.75" thickBot="1">
      <c r="A55" s="1"/>
      <c r="B55" s="1"/>
      <c r="C55" s="504"/>
      <c r="D55" s="499" t="s">
        <v>54</v>
      </c>
      <c r="E55" s="499"/>
      <c r="F55" s="500">
        <f>SUM(F3:F54)/2</f>
        <v>214986801.91140041</v>
      </c>
      <c r="G55" s="500">
        <f>SUM(G3:G54)/2</f>
        <v>487502138.65538949</v>
      </c>
      <c r="H55" s="500">
        <f>SUM(H3:H54)/2</f>
        <v>4836144.4694907703</v>
      </c>
      <c r="I55" s="500">
        <f t="shared" ref="I55:AF55" si="10">SUM(I3:I54)/2</f>
        <v>8823103.2851754911</v>
      </c>
      <c r="J55" s="500">
        <f t="shared" si="10"/>
        <v>6188678.3102599876</v>
      </c>
      <c r="K55" s="500">
        <f t="shared" si="10"/>
        <v>15069707.606962321</v>
      </c>
      <c r="L55" s="500">
        <f t="shared" si="10"/>
        <v>22275286.202993196</v>
      </c>
      <c r="M55" s="500">
        <f t="shared" si="10"/>
        <v>14305463.173027493</v>
      </c>
      <c r="N55" s="500">
        <f t="shared" si="10"/>
        <v>15178476.146997109</v>
      </c>
      <c r="O55" s="500">
        <f t="shared" si="10"/>
        <v>21241477.009777781</v>
      </c>
      <c r="P55" s="500">
        <f t="shared" si="10"/>
        <v>24351974.754375409</v>
      </c>
      <c r="Q55" s="500">
        <f t="shared" si="10"/>
        <v>25438841.676430795</v>
      </c>
      <c r="R55" s="500">
        <f t="shared" si="10"/>
        <v>26663413.088833742</v>
      </c>
      <c r="S55" s="500">
        <f t="shared" si="10"/>
        <v>27877773.629659567</v>
      </c>
      <c r="T55" s="500">
        <f t="shared" si="10"/>
        <v>29130940.428509641</v>
      </c>
      <c r="U55" s="500">
        <f t="shared" si="10"/>
        <v>30364948.494223211</v>
      </c>
      <c r="V55" s="500">
        <f t="shared" si="10"/>
        <v>31327886.392306622</v>
      </c>
      <c r="W55" s="500">
        <f t="shared" si="10"/>
        <v>32343053.644633837</v>
      </c>
      <c r="X55" s="500">
        <f t="shared" si="10"/>
        <v>33266604.837995764</v>
      </c>
      <c r="Y55" s="500">
        <f t="shared" si="10"/>
        <v>34222725.943023652</v>
      </c>
      <c r="Z55" s="500">
        <f t="shared" si="10"/>
        <v>35204963.57818976</v>
      </c>
      <c r="AA55" s="500">
        <f t="shared" si="10"/>
        <v>36408838.902513169</v>
      </c>
      <c r="AB55" s="500">
        <f t="shared" si="10"/>
        <v>37760297.90891993</v>
      </c>
      <c r="AC55" s="500">
        <f t="shared" si="10"/>
        <v>9410013.1710903533</v>
      </c>
      <c r="AD55" s="500">
        <f t="shared" si="10"/>
        <v>0</v>
      </c>
      <c r="AE55" s="500">
        <f t="shared" si="10"/>
        <v>0</v>
      </c>
      <c r="AF55" s="500">
        <f t="shared" si="10"/>
        <v>0</v>
      </c>
    </row>
  </sheetData>
  <dataValidations count="1">
    <dataValidation type="list" allowBlank="1" showInputMessage="1" showErrorMessage="1" sqref="F1" xr:uid="{00000000-0002-0000-0300-000000000000}">
      <formula1>#REF!</formula1>
    </dataValidation>
  </dataValidations>
  <hyperlinks>
    <hyperlink ref="E5" location="'Eliminate Regular Meter Reading'!A1" display="Eliminate Regular Meter Reading" xr:uid="{00000000-0004-0000-0300-000000000000}"/>
    <hyperlink ref="E6" location="'Reduce Special Meter Reading'!A1" display="Reduce Special Meter Reading" xr:uid="{00000000-0004-0000-0300-000001000000}"/>
    <hyperlink ref="E10" location="'Meter Salvage Value'!A1" display="Meter Salvage Value" xr:uid="{00000000-0004-0000-0300-000002000000}"/>
    <hyperlink ref="E7" location="'Net Metering'!A1" display="Net Metering" xr:uid="{00000000-0004-0000-0300-000003000000}"/>
    <hyperlink ref="E11" location="'Local Economy Jobs'!A1" display="Local Economy Jobs" xr:uid="{00000000-0004-0000-0300-000004000000}"/>
    <hyperlink ref="E15" location="'Open Close Transfer'!A1" display="Account Open/Close/Transfer" xr:uid="{00000000-0004-0000-0300-000005000000}"/>
    <hyperlink ref="E16" location="'Credit Collections Connections'!A1" display="Credit Collections/Connections" xr:uid="{00000000-0004-0000-0300-000006000000}"/>
    <hyperlink ref="E17" location="'After-Hours Fees'!A1" display="After Hours Fees" xr:uid="{00000000-0004-0000-0300-000007000000}"/>
    <hyperlink ref="E21" location="'Earlier Outage Notification'!A1" display="Earlier Outage Notification" xr:uid="{00000000-0004-0000-0300-000008000000}"/>
    <hyperlink ref="E23" location="'Reduced Customer Calls'!A1" display="Reduced Customer Calls" xr:uid="{00000000-0004-0000-0300-000009000000}"/>
    <hyperlink ref="E24" location="'Avoided Single Lights Out'!A1" display="Avoided Single Lights Out" xr:uid="{00000000-0004-0000-0300-00000A000000}"/>
    <hyperlink ref="E25" location="'Reduced Major Storms Cost'!A1" display="Reduced Major Storms Cost" xr:uid="{00000000-0004-0000-0300-00000B000000}"/>
    <hyperlink ref="E29" location="'Conservation Voltage Reduction'!A1" display="Conservation Voltage Reduction" xr:uid="{00000000-0004-0000-0300-00000C000000}"/>
    <hyperlink ref="E36" location="'Theft and Diversion'!A1" display="Theft and Diversion" xr:uid="{00000000-0004-0000-0300-00000D000000}"/>
    <hyperlink ref="E37" location="'Unbilled Usage'!A1" display="Unbilled Usage" xr:uid="{00000000-0004-0000-0300-00000E000000}"/>
    <hyperlink ref="E38" location="'Slow Failed Meters'!A1" display="Slow/Failed Meters" xr:uid="{00000000-0004-0000-0300-00000F000000}"/>
    <hyperlink ref="E39" location="'Stopped Meters'!A1" display="Stopped Meters" xr:uid="{00000000-0004-0000-0300-000010000000}"/>
    <hyperlink ref="E52" location="'Meter Sampling'!A1" display="Meter Sampling" xr:uid="{00000000-0004-0000-0300-000011000000}"/>
    <hyperlink ref="E51" location="'Retail Load Analysis'!A1" display="Retail Load Analysis" xr:uid="{00000000-0004-0000-0300-000012000000}"/>
    <hyperlink ref="E30" location="'Customer Energy Efficiency'!A1" display="Customer Energy Efficiency" xr:uid="{00000000-0004-0000-0300-000013000000}"/>
    <hyperlink ref="E31" location="'Behavioral Energy Efficiency '!A1" display="Behavioral Energy Conservation" xr:uid="{00000000-0004-0000-0300-000014000000}"/>
    <hyperlink ref="E44" location="'Estimated Bills'!A1" display="Estimated Bills" xr:uid="{00000000-0004-0000-0300-000015000000}"/>
    <hyperlink ref="E45" location="'Bill Inquiries'!A1" display="Bill Inquiries" xr:uid="{00000000-0004-0000-0300-000016000000}"/>
    <hyperlink ref="E46" location="'Billing Analysis'!A1" display="Billing Analysis" xr:uid="{00000000-0004-0000-0300-000017000000}"/>
    <hyperlink ref="E47" location="Rebilling!A1" display="Rebilling" xr:uid="{00000000-0004-0000-0300-000018000000}"/>
    <hyperlink ref="E9" location="'Natural Gas Meter Module Refres'!A1" display="Natural Gas Meter Module Refresh" xr:uid="{00000000-0004-0000-0300-000019000000}"/>
    <hyperlink ref="E40" location="'Loss of Phase'!A1" display="Loss of Phase" xr:uid="{00000000-0004-0000-0300-00001A000000}"/>
    <hyperlink ref="E22" location="'More Rapid Restoration'!A1" display="More Rapid Restoration" xr:uid="{00000000-0004-0000-0300-00001B000000}"/>
    <hyperlink ref="E8" location="'Customer Meter Base Repairs'!A1" display="Customer Meter Base Repairs" xr:uid="{00000000-0004-0000-0300-00001C000000}"/>
    <hyperlink ref="E32" location="'Grid-Interactive Efficient Bldg'!A1" display="Grid-Interactive Efficient Buildings" xr:uid="{00000000-0004-0000-0300-00001D000000}"/>
  </hyperlink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09FF78"/>
  </sheetPr>
  <dimension ref="A1:AK65"/>
  <sheetViews>
    <sheetView topLeftCell="H1" workbookViewId="0">
      <selection activeCell="R6" sqref="R6"/>
    </sheetView>
  </sheetViews>
  <sheetFormatPr defaultColWidth="9.140625" defaultRowHeight="15"/>
  <cols>
    <col min="1" max="1" width="3.42578125" customWidth="1"/>
    <col min="2" max="2" width="40.28515625" style="12" bestFit="1" customWidth="1"/>
    <col min="3" max="3" width="11.5703125" bestFit="1" customWidth="1"/>
    <col min="4" max="4" width="14.28515625" bestFit="1" customWidth="1"/>
    <col min="5" max="5" width="16.5703125" hidden="1" customWidth="1"/>
    <col min="6" max="6" width="3.28515625" style="19" customWidth="1"/>
    <col min="7" max="7" width="47.28515625" style="12" customWidth="1"/>
    <col min="8" max="8" width="14.5703125" bestFit="1" customWidth="1"/>
    <col min="9" max="9" width="11.5703125" style="19" bestFit="1" customWidth="1"/>
    <col min="10" max="10" width="12.28515625" style="19" customWidth="1"/>
    <col min="11" max="11" width="13.28515625" style="19" bestFit="1" customWidth="1"/>
    <col min="12" max="12" width="11.5703125" style="19" bestFit="1" customWidth="1"/>
    <col min="13" max="14" width="14.28515625" style="19" bestFit="1" customWidth="1"/>
    <col min="15" max="15" width="14.140625" style="19" customWidth="1"/>
    <col min="16" max="17" width="14.28515625" style="19" bestFit="1" customWidth="1"/>
    <col min="18" max="18" width="15" style="19" customWidth="1"/>
    <col min="19" max="26" width="11.5703125" style="19" bestFit="1" customWidth="1"/>
    <col min="27" max="30" width="12.5703125" style="19" bestFit="1" customWidth="1"/>
    <col min="31" max="31" width="11.28515625" style="19" customWidth="1"/>
    <col min="32" max="35" width="10.5703125" style="19" bestFit="1" customWidth="1"/>
  </cols>
  <sheetData>
    <row r="1" spans="1:35">
      <c r="A1" s="9" t="s">
        <v>55</v>
      </c>
    </row>
    <row r="2" spans="1:35" ht="21">
      <c r="A2" s="10" t="s">
        <v>56</v>
      </c>
      <c r="G2" s="11" t="s">
        <v>57</v>
      </c>
      <c r="M2" s="174">
        <v>2591605.5360000003</v>
      </c>
      <c r="N2" s="174">
        <v>2695269.7574400003</v>
      </c>
      <c r="O2" s="174">
        <v>2803080.5477376003</v>
      </c>
      <c r="P2" s="174">
        <v>2915203.7696471047</v>
      </c>
      <c r="Q2" s="174">
        <v>3031811.920432989</v>
      </c>
      <c r="R2" s="174">
        <v>3153084.3972503082</v>
      </c>
    </row>
    <row r="3" spans="1:35">
      <c r="H3" t="s">
        <v>58</v>
      </c>
      <c r="K3" s="19">
        <v>0</v>
      </c>
      <c r="L3" s="19">
        <v>0</v>
      </c>
      <c r="M3" s="19">
        <v>0.1</v>
      </c>
      <c r="N3" s="19">
        <v>0.3</v>
      </c>
      <c r="O3" s="19">
        <v>0.75</v>
      </c>
      <c r="P3" s="19">
        <v>0.75</v>
      </c>
      <c r="Q3" s="19">
        <v>0.75</v>
      </c>
      <c r="R3" s="19">
        <v>1</v>
      </c>
      <c r="S3" s="19">
        <v>1</v>
      </c>
      <c r="T3" s="19">
        <v>1</v>
      </c>
      <c r="U3" s="19">
        <v>1</v>
      </c>
      <c r="V3" s="19">
        <v>1</v>
      </c>
      <c r="W3" s="19">
        <v>1</v>
      </c>
      <c r="X3" s="19">
        <v>1</v>
      </c>
      <c r="Y3" s="19">
        <v>1</v>
      </c>
      <c r="Z3" s="19">
        <v>1</v>
      </c>
      <c r="AA3" s="19">
        <v>1</v>
      </c>
      <c r="AB3" s="19">
        <v>1</v>
      </c>
      <c r="AC3" s="19">
        <v>1</v>
      </c>
      <c r="AD3" s="19">
        <v>1</v>
      </c>
      <c r="AE3" s="19">
        <v>1</v>
      </c>
      <c r="AF3" s="19">
        <v>0.25</v>
      </c>
      <c r="AG3" s="19">
        <v>0</v>
      </c>
      <c r="AH3" s="19">
        <v>0</v>
      </c>
      <c r="AI3" s="19">
        <v>0</v>
      </c>
    </row>
    <row r="4" spans="1:35" ht="45">
      <c r="A4" t="s">
        <v>59</v>
      </c>
      <c r="D4" s="200" t="s">
        <v>60</v>
      </c>
      <c r="E4" s="201" t="s">
        <v>61</v>
      </c>
      <c r="H4" s="19" t="s">
        <v>4</v>
      </c>
      <c r="I4" s="202" t="s">
        <v>62</v>
      </c>
      <c r="J4" s="202" t="s">
        <v>63</v>
      </c>
      <c r="K4" s="19">
        <v>2016</v>
      </c>
      <c r="L4" s="19">
        <v>2017</v>
      </c>
      <c r="M4" s="19">
        <v>2018</v>
      </c>
      <c r="N4" s="19">
        <v>2019</v>
      </c>
      <c r="O4" s="19">
        <v>2020</v>
      </c>
      <c r="P4" s="19">
        <v>2021</v>
      </c>
      <c r="Q4" s="19">
        <v>2022</v>
      </c>
      <c r="R4" s="19">
        <v>2023</v>
      </c>
      <c r="S4" s="19">
        <v>2024</v>
      </c>
      <c r="T4" s="19">
        <v>2025</v>
      </c>
      <c r="U4" s="19">
        <v>2026</v>
      </c>
      <c r="V4" s="19">
        <v>2027</v>
      </c>
      <c r="W4" s="19">
        <v>2028</v>
      </c>
      <c r="X4" s="19">
        <v>2029</v>
      </c>
      <c r="Y4" s="19">
        <v>2030</v>
      </c>
      <c r="Z4" s="19">
        <v>2031</v>
      </c>
      <c r="AA4" s="19">
        <v>2032</v>
      </c>
      <c r="AB4" s="19">
        <v>2033</v>
      </c>
      <c r="AC4" s="19">
        <v>2034</v>
      </c>
      <c r="AD4" s="19">
        <v>2035</v>
      </c>
      <c r="AE4" s="19">
        <v>2036</v>
      </c>
      <c r="AF4" s="19">
        <v>2037</v>
      </c>
      <c r="AG4" s="19">
        <v>2038</v>
      </c>
      <c r="AH4" s="19">
        <v>2039</v>
      </c>
      <c r="AI4" s="19">
        <v>2040</v>
      </c>
    </row>
    <row r="5" spans="1:35">
      <c r="B5" s="353" t="s">
        <v>64</v>
      </c>
      <c r="C5" s="13">
        <v>3060308</v>
      </c>
      <c r="D5" s="203"/>
      <c r="E5" s="204"/>
      <c r="G5" s="12" t="s">
        <v>65</v>
      </c>
      <c r="H5" s="12"/>
      <c r="I5" s="20"/>
      <c r="J5" s="24"/>
      <c r="K5" s="19" t="s">
        <v>66</v>
      </c>
    </row>
    <row r="6" spans="1:35">
      <c r="B6" s="12" t="s">
        <v>67</v>
      </c>
      <c r="C6" s="394">
        <v>2396085</v>
      </c>
      <c r="D6" s="206">
        <v>2396085</v>
      </c>
      <c r="E6" s="207"/>
      <c r="G6" s="12" t="s">
        <v>65</v>
      </c>
      <c r="H6" s="23">
        <v>28534636.001180697</v>
      </c>
      <c r="I6" s="20">
        <v>0.03</v>
      </c>
      <c r="J6" s="24">
        <v>0.01</v>
      </c>
      <c r="K6" s="208">
        <v>0</v>
      </c>
      <c r="L6" s="208">
        <v>0</v>
      </c>
      <c r="M6" s="208">
        <v>259160.55360000004</v>
      </c>
      <c r="N6" s="208">
        <v>808580.92723200005</v>
      </c>
      <c r="O6" s="208">
        <v>2102310.4108032002</v>
      </c>
      <c r="P6" s="208">
        <v>2186402.8272353285</v>
      </c>
      <c r="Q6" s="208">
        <v>2273858.9403247419</v>
      </c>
      <c r="R6" s="208">
        <v>3153084.3972503082</v>
      </c>
      <c r="S6" s="208">
        <v>3279207.773140321</v>
      </c>
      <c r="T6" s="208">
        <v>3410376.0840659342</v>
      </c>
      <c r="U6" s="208">
        <v>3546791.1274285717</v>
      </c>
      <c r="V6" s="208">
        <v>3688662.7725257142</v>
      </c>
      <c r="W6" s="208">
        <v>3836209.2834267439</v>
      </c>
      <c r="X6" s="208">
        <v>3989657.6547638136</v>
      </c>
      <c r="Y6" s="208">
        <v>4149243.9609543663</v>
      </c>
      <c r="Z6" s="208">
        <v>4315213.7193925409</v>
      </c>
      <c r="AA6" s="208">
        <v>4487822.2681682426</v>
      </c>
      <c r="AB6" s="208">
        <v>4667335.1588949729</v>
      </c>
      <c r="AC6" s="208">
        <v>4854028.5652507721</v>
      </c>
      <c r="AD6" s="208">
        <v>5048189.7078608032</v>
      </c>
      <c r="AE6" s="208">
        <v>5250117.296175235</v>
      </c>
      <c r="AF6" s="208">
        <v>1365030.4970055616</v>
      </c>
      <c r="AG6" s="208">
        <v>0</v>
      </c>
      <c r="AH6" s="208">
        <v>0</v>
      </c>
      <c r="AI6" s="208">
        <v>0</v>
      </c>
    </row>
    <row r="7" spans="1:35">
      <c r="B7" s="353" t="s">
        <v>68</v>
      </c>
      <c r="C7" s="205">
        <v>418704</v>
      </c>
      <c r="D7" s="203"/>
      <c r="E7" s="207">
        <v>418704</v>
      </c>
      <c r="G7" s="12" t="s">
        <v>65</v>
      </c>
      <c r="H7" s="23" t="s">
        <v>66</v>
      </c>
      <c r="I7" s="20"/>
      <c r="J7" s="24"/>
      <c r="K7" s="208" t="s">
        <v>66</v>
      </c>
      <c r="L7" s="208" t="s">
        <v>66</v>
      </c>
      <c r="M7" s="208" t="s">
        <v>66</v>
      </c>
      <c r="N7" s="208" t="s">
        <v>66</v>
      </c>
      <c r="O7" s="208" t="s">
        <v>66</v>
      </c>
      <c r="P7" s="208" t="s">
        <v>66</v>
      </c>
      <c r="Q7" s="208" t="s">
        <v>66</v>
      </c>
      <c r="R7" s="208" t="s">
        <v>66</v>
      </c>
      <c r="S7" s="208" t="s">
        <v>66</v>
      </c>
      <c r="T7" s="208" t="s">
        <v>66</v>
      </c>
      <c r="U7" s="208" t="s">
        <v>66</v>
      </c>
      <c r="V7" s="208" t="s">
        <v>66</v>
      </c>
      <c r="W7" s="208" t="s">
        <v>66</v>
      </c>
      <c r="X7" s="208" t="s">
        <v>66</v>
      </c>
      <c r="Y7" s="208" t="s">
        <v>66</v>
      </c>
      <c r="Z7" s="208" t="s">
        <v>66</v>
      </c>
      <c r="AA7" s="208" t="s">
        <v>66</v>
      </c>
      <c r="AB7" s="208" t="s">
        <v>66</v>
      </c>
      <c r="AC7" s="208" t="s">
        <v>66</v>
      </c>
      <c r="AD7" s="208" t="s">
        <v>66</v>
      </c>
      <c r="AE7" s="208" t="s">
        <v>66</v>
      </c>
      <c r="AF7" s="208" t="s">
        <v>66</v>
      </c>
      <c r="AG7" s="208" t="s">
        <v>66</v>
      </c>
      <c r="AH7" s="208" t="s">
        <v>66</v>
      </c>
      <c r="AI7" s="208" t="s">
        <v>66</v>
      </c>
    </row>
    <row r="8" spans="1:35" ht="30">
      <c r="B8" s="12" t="s">
        <v>69</v>
      </c>
      <c r="D8" s="209">
        <v>0.85124853052928662</v>
      </c>
      <c r="E8" s="210">
        <v>0.14875146947071338</v>
      </c>
      <c r="G8" s="12" t="s">
        <v>70</v>
      </c>
      <c r="H8" s="23" t="s">
        <v>66</v>
      </c>
      <c r="I8" s="20"/>
      <c r="J8" s="24"/>
      <c r="K8" s="208" t="s">
        <v>66</v>
      </c>
      <c r="L8" s="208" t="s">
        <v>66</v>
      </c>
      <c r="M8" s="208" t="s">
        <v>66</v>
      </c>
      <c r="N8" s="208" t="s">
        <v>66</v>
      </c>
      <c r="O8" s="208" t="s">
        <v>66</v>
      </c>
      <c r="P8" s="208" t="s">
        <v>66</v>
      </c>
      <c r="Q8" s="208" t="s">
        <v>66</v>
      </c>
      <c r="R8" s="208" t="s">
        <v>66</v>
      </c>
      <c r="S8" s="208" t="s">
        <v>66</v>
      </c>
      <c r="T8" s="208" t="s">
        <v>66</v>
      </c>
      <c r="U8" s="208" t="s">
        <v>66</v>
      </c>
      <c r="V8" s="208" t="s">
        <v>66</v>
      </c>
      <c r="W8" s="208" t="s">
        <v>66</v>
      </c>
      <c r="X8" s="208" t="s">
        <v>66</v>
      </c>
      <c r="Y8" s="208" t="s">
        <v>66</v>
      </c>
      <c r="Z8" s="208" t="s">
        <v>66</v>
      </c>
      <c r="AA8" s="208" t="s">
        <v>66</v>
      </c>
      <c r="AB8" s="208" t="s">
        <v>66</v>
      </c>
      <c r="AC8" s="208" t="s">
        <v>66</v>
      </c>
      <c r="AD8" s="208" t="s">
        <v>66</v>
      </c>
      <c r="AE8" s="208" t="s">
        <v>66</v>
      </c>
      <c r="AF8" s="208" t="s">
        <v>66</v>
      </c>
      <c r="AG8" s="208" t="s">
        <v>66</v>
      </c>
      <c r="AH8" s="208" t="s">
        <v>66</v>
      </c>
      <c r="AI8" s="208" t="s">
        <v>66</v>
      </c>
    </row>
    <row r="9" spans="1:35">
      <c r="B9" s="12" t="s">
        <v>71</v>
      </c>
      <c r="C9" s="205">
        <v>177241.72</v>
      </c>
      <c r="D9" s="206">
        <v>150876.75369848328</v>
      </c>
      <c r="E9" s="207">
        <v>26364.966301516728</v>
      </c>
      <c r="G9" s="12" t="s">
        <v>65</v>
      </c>
      <c r="H9" s="23">
        <v>1738085.2618108145</v>
      </c>
      <c r="I9" s="20">
        <v>0.03</v>
      </c>
      <c r="J9" s="24">
        <v>7.0000000000000001E-3</v>
      </c>
      <c r="K9" s="208">
        <v>0</v>
      </c>
      <c r="L9" s="208">
        <v>0</v>
      </c>
      <c r="M9" s="208">
        <v>16224.818374798424</v>
      </c>
      <c r="N9" s="208">
        <v>50475.409963997903</v>
      </c>
      <c r="O9" s="208">
        <v>130857.50033166452</v>
      </c>
      <c r="P9" s="208">
        <v>135699.22784393613</v>
      </c>
      <c r="Q9" s="208">
        <v>140720.09927416174</v>
      </c>
      <c r="R9" s="208">
        <v>194568.99059640762</v>
      </c>
      <c r="S9" s="208">
        <v>201768.04324847469</v>
      </c>
      <c r="T9" s="208">
        <v>209233.46084866824</v>
      </c>
      <c r="U9" s="208">
        <v>216975.09890006893</v>
      </c>
      <c r="V9" s="208">
        <v>225003.17755937148</v>
      </c>
      <c r="W9" s="208">
        <v>233328.2951290682</v>
      </c>
      <c r="X9" s="208">
        <v>241961.44204884372</v>
      </c>
      <c r="Y9" s="208">
        <v>250914.01540465088</v>
      </c>
      <c r="Z9" s="208">
        <v>260197.83397462298</v>
      </c>
      <c r="AA9" s="208">
        <v>269825.15383168397</v>
      </c>
      <c r="AB9" s="208">
        <v>279808.68452345626</v>
      </c>
      <c r="AC9" s="208">
        <v>290161.60585082415</v>
      </c>
      <c r="AD9" s="208">
        <v>300897.58526730462</v>
      </c>
      <c r="AE9" s="208">
        <v>312030.79592219484</v>
      </c>
      <c r="AF9" s="208">
        <v>80893.98384282901</v>
      </c>
      <c r="AG9" s="208">
        <v>0</v>
      </c>
      <c r="AH9" s="208">
        <v>0</v>
      </c>
      <c r="AI9" s="208">
        <v>0</v>
      </c>
    </row>
    <row r="10" spans="1:35">
      <c r="B10" s="12" t="s">
        <v>72</v>
      </c>
      <c r="C10" s="211">
        <v>89000</v>
      </c>
      <c r="D10" s="212">
        <v>10000</v>
      </c>
      <c r="E10" s="213">
        <v>79000</v>
      </c>
      <c r="G10" s="12" t="s">
        <v>73</v>
      </c>
      <c r="H10" s="23">
        <v>115199.00973507536</v>
      </c>
      <c r="I10" s="20">
        <v>0.03</v>
      </c>
      <c r="J10" s="24">
        <v>7.0000000000000001E-3</v>
      </c>
      <c r="K10" s="214">
        <v>0</v>
      </c>
      <c r="L10" s="214">
        <v>0</v>
      </c>
      <c r="M10" s="214">
        <v>1075.3689999999999</v>
      </c>
      <c r="N10" s="214">
        <v>3345.4729589999993</v>
      </c>
      <c r="O10" s="214">
        <v>8673.138646207497</v>
      </c>
      <c r="P10" s="214">
        <v>8994.0447761171745</v>
      </c>
      <c r="Q10" s="214">
        <v>9326.8244328335077</v>
      </c>
      <c r="R10" s="214">
        <v>12895.889249131131</v>
      </c>
      <c r="S10" s="214">
        <v>13373.037151348981</v>
      </c>
      <c r="T10" s="214">
        <v>13867.839525948893</v>
      </c>
      <c r="U10" s="214">
        <v>14380.949588408999</v>
      </c>
      <c r="V10" s="214">
        <v>14913.044723180134</v>
      </c>
      <c r="W10" s="214">
        <v>15464.827377937796</v>
      </c>
      <c r="X10" s="214">
        <v>16037.025990921495</v>
      </c>
      <c r="Y10" s="214">
        <v>16630.395952585586</v>
      </c>
      <c r="Z10" s="214">
        <v>17245.720602831254</v>
      </c>
      <c r="AA10" s="214">
        <v>17883.812265136006</v>
      </c>
      <c r="AB10" s="214">
        <v>18545.513318946039</v>
      </c>
      <c r="AC10" s="214">
        <v>19231.697311747041</v>
      </c>
      <c r="AD10" s="214">
        <v>19943.27011228168</v>
      </c>
      <c r="AE10" s="214">
        <v>20681.171106436097</v>
      </c>
      <c r="AF10" s="214">
        <v>5361.5936093435594</v>
      </c>
      <c r="AG10" s="214">
        <v>0</v>
      </c>
      <c r="AH10" s="214">
        <v>0</v>
      </c>
      <c r="AI10" s="214">
        <v>0</v>
      </c>
    </row>
    <row r="11" spans="1:35" ht="15.75" thickBot="1">
      <c r="B11" s="12" t="s">
        <v>74</v>
      </c>
      <c r="C11" s="394">
        <v>0</v>
      </c>
      <c r="D11" s="215">
        <v>0</v>
      </c>
      <c r="E11" s="216">
        <v>0</v>
      </c>
      <c r="F11" s="217"/>
      <c r="G11" s="218" t="s">
        <v>65</v>
      </c>
      <c r="H11" s="219">
        <v>0</v>
      </c>
      <c r="I11" s="220">
        <v>0.03</v>
      </c>
      <c r="J11" s="221">
        <v>7.0000000000000001E-3</v>
      </c>
      <c r="K11" s="222">
        <v>0</v>
      </c>
      <c r="L11" s="222">
        <v>0</v>
      </c>
      <c r="M11" s="222">
        <v>0</v>
      </c>
      <c r="N11" s="222">
        <v>0</v>
      </c>
      <c r="O11" s="222">
        <v>0</v>
      </c>
      <c r="P11" s="222">
        <v>0</v>
      </c>
      <c r="Q11" s="222">
        <v>0</v>
      </c>
      <c r="R11" s="222">
        <v>0</v>
      </c>
      <c r="S11" s="222">
        <v>0</v>
      </c>
      <c r="T11" s="222">
        <v>0</v>
      </c>
      <c r="U11" s="222">
        <v>0</v>
      </c>
      <c r="V11" s="222">
        <v>0</v>
      </c>
      <c r="W11" s="222">
        <v>0</v>
      </c>
      <c r="X11" s="222">
        <v>0</v>
      </c>
      <c r="Y11" s="222">
        <v>0</v>
      </c>
      <c r="Z11" s="222">
        <v>0</v>
      </c>
      <c r="AA11" s="222">
        <v>0</v>
      </c>
      <c r="AB11" s="222">
        <v>0</v>
      </c>
      <c r="AC11" s="222">
        <v>0</v>
      </c>
      <c r="AD11" s="222">
        <v>0</v>
      </c>
      <c r="AE11" s="222">
        <v>0</v>
      </c>
      <c r="AF11" s="222">
        <v>0</v>
      </c>
      <c r="AG11" s="222">
        <v>0</v>
      </c>
      <c r="AH11" s="222">
        <v>0</v>
      </c>
      <c r="AI11" s="222">
        <v>0</v>
      </c>
    </row>
    <row r="12" spans="1:35" ht="15.75" thickTop="1">
      <c r="B12" s="12" t="s">
        <v>75</v>
      </c>
      <c r="C12" s="13">
        <v>3081030.72</v>
      </c>
      <c r="D12" s="206">
        <v>2556961.7536984831</v>
      </c>
      <c r="E12" s="207">
        <v>524068.96630151675</v>
      </c>
      <c r="F12" s="19" t="s">
        <v>76</v>
      </c>
      <c r="H12" s="23">
        <v>31019493.463926665</v>
      </c>
      <c r="I12" s="23"/>
      <c r="J12" s="23"/>
      <c r="K12" s="395">
        <v>280175</v>
      </c>
      <c r="L12" s="395">
        <v>369752.77120000031</v>
      </c>
      <c r="M12" s="395">
        <v>326974.24204800045</v>
      </c>
      <c r="N12" s="395">
        <v>862401.81015499798</v>
      </c>
      <c r="O12" s="395">
        <v>2241841.049781072</v>
      </c>
      <c r="P12" s="226">
        <v>2331096.0998553815</v>
      </c>
      <c r="Q12" s="226">
        <v>2423905.8640317372</v>
      </c>
      <c r="R12" s="226">
        <v>3360549.2770958468</v>
      </c>
      <c r="S12" s="226">
        <v>3494348.8535401444</v>
      </c>
      <c r="T12" s="226">
        <v>3633477.384440551</v>
      </c>
      <c r="U12" s="226">
        <v>3778147.1759170499</v>
      </c>
      <c r="V12" s="226">
        <v>3928578.9948082659</v>
      </c>
      <c r="W12" s="226">
        <v>4085002.4059337499</v>
      </c>
      <c r="X12" s="226">
        <v>4247656.1228035782</v>
      </c>
      <c r="Y12" s="226">
        <v>4416788.3723116023</v>
      </c>
      <c r="Z12" s="226">
        <v>4592657.2739699949</v>
      </c>
      <c r="AA12" s="226">
        <v>4775531.234265063</v>
      </c>
      <c r="AB12" s="226">
        <v>4965689.3567373743</v>
      </c>
      <c r="AC12" s="226">
        <v>5163421.8684133431</v>
      </c>
      <c r="AD12" s="226">
        <v>5369030.5632403893</v>
      </c>
      <c r="AE12" s="226">
        <v>5582829.2632038658</v>
      </c>
      <c r="AF12" s="226">
        <v>1451286.0744577341</v>
      </c>
      <c r="AG12" s="226">
        <v>0</v>
      </c>
      <c r="AH12" s="226">
        <v>0</v>
      </c>
      <c r="AI12" s="226">
        <v>0</v>
      </c>
    </row>
    <row r="13" spans="1:35">
      <c r="D13" s="203"/>
      <c r="E13" s="204"/>
      <c r="H13" s="23" t="s">
        <v>66</v>
      </c>
      <c r="I13" s="20"/>
      <c r="J13" s="24"/>
      <c r="K13" s="208" t="s">
        <v>66</v>
      </c>
      <c r="L13" s="208" t="s">
        <v>66</v>
      </c>
      <c r="M13" s="208" t="s">
        <v>66</v>
      </c>
      <c r="N13" s="208" t="s">
        <v>66</v>
      </c>
      <c r="O13" s="208" t="s">
        <v>66</v>
      </c>
      <c r="P13" s="208" t="s">
        <v>66</v>
      </c>
      <c r="Q13" s="208" t="s">
        <v>66</v>
      </c>
      <c r="R13" s="208" t="s">
        <v>66</v>
      </c>
      <c r="S13" s="208" t="s">
        <v>66</v>
      </c>
      <c r="T13" s="208" t="s">
        <v>66</v>
      </c>
      <c r="U13" s="208" t="s">
        <v>66</v>
      </c>
      <c r="V13" s="208" t="s">
        <v>66</v>
      </c>
      <c r="W13" s="208" t="s">
        <v>66</v>
      </c>
      <c r="X13" s="208" t="s">
        <v>66</v>
      </c>
      <c r="Y13" s="208" t="s">
        <v>66</v>
      </c>
      <c r="Z13" s="208" t="s">
        <v>66</v>
      </c>
      <c r="AA13" s="208" t="s">
        <v>66</v>
      </c>
      <c r="AB13" s="208" t="s">
        <v>66</v>
      </c>
      <c r="AC13" s="208" t="s">
        <v>66</v>
      </c>
      <c r="AD13" s="208" t="s">
        <v>66</v>
      </c>
      <c r="AE13" s="208" t="s">
        <v>66</v>
      </c>
      <c r="AF13" s="208" t="s">
        <v>66</v>
      </c>
      <c r="AG13" s="208" t="s">
        <v>66</v>
      </c>
      <c r="AH13" s="208" t="s">
        <v>66</v>
      </c>
      <c r="AI13" s="208" t="s">
        <v>66</v>
      </c>
    </row>
    <row r="14" spans="1:35">
      <c r="A14" t="s">
        <v>77</v>
      </c>
      <c r="D14" s="203"/>
      <c r="E14" s="204"/>
      <c r="H14" s="23" t="s">
        <v>66</v>
      </c>
      <c r="I14" s="20"/>
      <c r="J14" s="24"/>
      <c r="K14" s="208" t="s">
        <v>66</v>
      </c>
      <c r="L14" s="208" t="s">
        <v>66</v>
      </c>
      <c r="M14" s="208" t="s">
        <v>66</v>
      </c>
      <c r="N14" s="208" t="s">
        <v>66</v>
      </c>
      <c r="O14" s="208" t="s">
        <v>66</v>
      </c>
      <c r="P14" s="208" t="s">
        <v>66</v>
      </c>
      <c r="Q14" s="208" t="s">
        <v>66</v>
      </c>
      <c r="R14" s="208" t="s">
        <v>66</v>
      </c>
      <c r="S14" s="208" t="s">
        <v>66</v>
      </c>
      <c r="T14" s="208" t="s">
        <v>66</v>
      </c>
      <c r="U14" s="208" t="s">
        <v>66</v>
      </c>
      <c r="V14" s="208" t="s">
        <v>66</v>
      </c>
      <c r="W14" s="208" t="s">
        <v>66</v>
      </c>
      <c r="X14" s="208" t="s">
        <v>66</v>
      </c>
      <c r="Y14" s="208" t="s">
        <v>66</v>
      </c>
      <c r="Z14" s="208" t="s">
        <v>66</v>
      </c>
      <c r="AA14" s="208" t="s">
        <v>66</v>
      </c>
      <c r="AB14" s="208" t="s">
        <v>66</v>
      </c>
      <c r="AC14" s="208" t="s">
        <v>66</v>
      </c>
      <c r="AD14" s="208" t="s">
        <v>66</v>
      </c>
      <c r="AE14" s="208" t="s">
        <v>66</v>
      </c>
      <c r="AF14" s="208" t="s">
        <v>66</v>
      </c>
      <c r="AG14" s="208" t="s">
        <v>66</v>
      </c>
      <c r="AH14" s="208" t="s">
        <v>66</v>
      </c>
      <c r="AI14" s="208" t="s">
        <v>66</v>
      </c>
    </row>
    <row r="15" spans="1:35">
      <c r="B15" s="12" t="s">
        <v>78</v>
      </c>
      <c r="C15" s="13">
        <v>52000</v>
      </c>
      <c r="D15" s="206">
        <v>52000</v>
      </c>
      <c r="E15" s="207">
        <v>0</v>
      </c>
      <c r="G15" s="12" t="s">
        <v>79</v>
      </c>
      <c r="H15" s="23">
        <v>577568.45754099416</v>
      </c>
      <c r="I15" s="20">
        <v>0.03</v>
      </c>
      <c r="J15" s="24">
        <v>0</v>
      </c>
      <c r="K15" s="208">
        <v>0</v>
      </c>
      <c r="L15" s="208">
        <v>0</v>
      </c>
      <c r="M15" s="208">
        <v>5682.1804000000011</v>
      </c>
      <c r="N15" s="208">
        <v>17557.937435999997</v>
      </c>
      <c r="O15" s="208">
        <v>45211.688897699998</v>
      </c>
      <c r="P15" s="208">
        <v>46568.039564630992</v>
      </c>
      <c r="Q15" s="208">
        <v>47965.080751569927</v>
      </c>
      <c r="R15" s="208">
        <v>65872.044232156026</v>
      </c>
      <c r="S15" s="208">
        <v>67848.205559120717</v>
      </c>
      <c r="T15" s="208">
        <v>69883.651725894335</v>
      </c>
      <c r="U15" s="208">
        <v>71980.16127767117</v>
      </c>
      <c r="V15" s="208">
        <v>74139.566116001282</v>
      </c>
      <c r="W15" s="208">
        <v>76363.753099481328</v>
      </c>
      <c r="X15" s="208">
        <v>78654.665692465773</v>
      </c>
      <c r="Y15" s="208">
        <v>81014.305663239749</v>
      </c>
      <c r="Z15" s="208">
        <v>83444.734833136929</v>
      </c>
      <c r="AA15" s="208">
        <v>85948.076878131033</v>
      </c>
      <c r="AB15" s="208">
        <v>88526.519184474964</v>
      </c>
      <c r="AC15" s="208">
        <v>91182.31476000922</v>
      </c>
      <c r="AD15" s="208">
        <v>93917.784202809489</v>
      </c>
      <c r="AE15" s="208">
        <v>96735.317728893759</v>
      </c>
      <c r="AF15" s="208">
        <v>24909.344315190145</v>
      </c>
      <c r="AG15" s="208">
        <v>0</v>
      </c>
      <c r="AH15" s="208">
        <v>0</v>
      </c>
      <c r="AI15" s="208">
        <v>0</v>
      </c>
    </row>
    <row r="16" spans="1:35" ht="30">
      <c r="B16" s="12" t="s">
        <v>80</v>
      </c>
      <c r="C16" s="13">
        <v>135122</v>
      </c>
      <c r="D16" s="206">
        <v>135122</v>
      </c>
      <c r="E16" s="207">
        <v>0</v>
      </c>
      <c r="G16" s="12" t="s">
        <v>81</v>
      </c>
      <c r="H16" s="23">
        <v>1500811.6369202733</v>
      </c>
      <c r="I16" s="20">
        <v>0.03</v>
      </c>
      <c r="J16" s="24">
        <v>0</v>
      </c>
      <c r="K16" s="208">
        <v>0</v>
      </c>
      <c r="L16" s="208">
        <v>0</v>
      </c>
      <c r="M16" s="208">
        <v>14765.145769400002</v>
      </c>
      <c r="N16" s="208">
        <v>45624.300427445996</v>
      </c>
      <c r="O16" s="208">
        <v>117482.57360067344</v>
      </c>
      <c r="P16" s="208">
        <v>121007.05080869363</v>
      </c>
      <c r="Q16" s="208">
        <v>124637.26233295444</v>
      </c>
      <c r="R16" s="208">
        <v>171168.50693725745</v>
      </c>
      <c r="S16" s="208">
        <v>176303.56214537518</v>
      </c>
      <c r="T16" s="208">
        <v>181592.66900973642</v>
      </c>
      <c r="U16" s="208">
        <v>187040.44908002851</v>
      </c>
      <c r="V16" s="208">
        <v>192651.66255242936</v>
      </c>
      <c r="W16" s="208">
        <v>198431.21242900222</v>
      </c>
      <c r="X16" s="208">
        <v>204384.1488018723</v>
      </c>
      <c r="Y16" s="208">
        <v>210515.67326592849</v>
      </c>
      <c r="Z16" s="208">
        <v>216831.14346390631</v>
      </c>
      <c r="AA16" s="208">
        <v>223336.0777678235</v>
      </c>
      <c r="AB16" s="208">
        <v>230036.16010085819</v>
      </c>
      <c r="AC16" s="208">
        <v>236937.24490388395</v>
      </c>
      <c r="AD16" s="208">
        <v>244045.36225100045</v>
      </c>
      <c r="AE16" s="208">
        <v>251366.72311853044</v>
      </c>
      <c r="AF16" s="208">
        <v>64726.931203021595</v>
      </c>
      <c r="AG16" s="208">
        <v>0</v>
      </c>
      <c r="AH16" s="208">
        <v>0</v>
      </c>
      <c r="AI16" s="208">
        <v>0</v>
      </c>
    </row>
    <row r="17" spans="1:35" ht="15.75" thickBot="1">
      <c r="B17" s="12" t="s">
        <v>82</v>
      </c>
      <c r="C17" s="223">
        <v>92000</v>
      </c>
      <c r="D17" s="215">
        <v>92000</v>
      </c>
      <c r="E17" s="216">
        <v>0</v>
      </c>
      <c r="F17" s="217"/>
      <c r="G17" s="218" t="s">
        <v>83</v>
      </c>
      <c r="H17" s="219">
        <v>1112029.9062139769</v>
      </c>
      <c r="I17" s="220">
        <v>0.03</v>
      </c>
      <c r="J17" s="221">
        <v>7.0000000000000001E-3</v>
      </c>
      <c r="K17" s="222">
        <v>0</v>
      </c>
      <c r="L17" s="222">
        <v>0</v>
      </c>
      <c r="M17" s="222">
        <v>10259.450407599999</v>
      </c>
      <c r="N17" s="222">
        <v>31917.150218043589</v>
      </c>
      <c r="O17" s="222">
        <v>82745.211940278008</v>
      </c>
      <c r="P17" s="222">
        <v>85806.78478206828</v>
      </c>
      <c r="Q17" s="222">
        <v>88981.635819004819</v>
      </c>
      <c r="R17" s="222">
        <v>123031.94179241062</v>
      </c>
      <c r="S17" s="222">
        <v>127584.12363872981</v>
      </c>
      <c r="T17" s="222">
        <v>132304.7362133628</v>
      </c>
      <c r="U17" s="222">
        <v>137200.01145325723</v>
      </c>
      <c r="V17" s="222">
        <v>142276.41187702771</v>
      </c>
      <c r="W17" s="222">
        <v>147540.63911647775</v>
      </c>
      <c r="X17" s="222">
        <v>152999.64276378739</v>
      </c>
      <c r="Y17" s="222">
        <v>158660.62954604754</v>
      </c>
      <c r="Z17" s="222">
        <v>164531.07283925128</v>
      </c>
      <c r="AA17" s="222">
        <v>170618.72253430355</v>
      </c>
      <c r="AB17" s="222">
        <v>176931.61526807278</v>
      </c>
      <c r="AC17" s="222">
        <v>183478.08503299148</v>
      </c>
      <c r="AD17" s="222">
        <v>190266.77417921211</v>
      </c>
      <c r="AE17" s="222">
        <v>197306.64482384297</v>
      </c>
      <c r="AF17" s="222">
        <v>51151.747670581288</v>
      </c>
      <c r="AG17" s="222">
        <v>0</v>
      </c>
      <c r="AH17" s="222">
        <v>0</v>
      </c>
      <c r="AI17" s="222">
        <v>0</v>
      </c>
    </row>
    <row r="18" spans="1:35" ht="15.75" thickTop="1">
      <c r="B18" s="12" t="s">
        <v>84</v>
      </c>
      <c r="C18" s="13">
        <v>279122</v>
      </c>
      <c r="D18" s="206">
        <v>279122</v>
      </c>
      <c r="E18" s="207">
        <v>0</v>
      </c>
      <c r="F18" s="19" t="s">
        <v>76</v>
      </c>
      <c r="H18" s="23">
        <v>3190410.0006752443</v>
      </c>
      <c r="I18" s="23"/>
      <c r="J18" s="23"/>
      <c r="K18" s="23">
        <v>0</v>
      </c>
      <c r="L18" s="226">
        <v>0</v>
      </c>
      <c r="M18" s="23">
        <v>30706.776577000004</v>
      </c>
      <c r="N18" s="23">
        <v>95099.388081489582</v>
      </c>
      <c r="O18" s="23">
        <v>245439.47443865144</v>
      </c>
      <c r="P18" s="23">
        <v>253381.87515539292</v>
      </c>
      <c r="Q18" s="23">
        <v>261583.97890352921</v>
      </c>
      <c r="R18" s="23">
        <v>360072.49296182411</v>
      </c>
      <c r="S18" s="23">
        <v>371735.89134322572</v>
      </c>
      <c r="T18" s="23">
        <v>383781.05694899359</v>
      </c>
      <c r="U18" s="23">
        <v>396220.62181095692</v>
      </c>
      <c r="V18" s="23">
        <v>409067.64054545836</v>
      </c>
      <c r="W18" s="23">
        <v>422335.60464496131</v>
      </c>
      <c r="X18" s="23">
        <v>436038.45725812542</v>
      </c>
      <c r="Y18" s="23">
        <v>450190.60847521579</v>
      </c>
      <c r="Z18" s="23">
        <v>464806.95113629452</v>
      </c>
      <c r="AA18" s="23">
        <v>479902.8771802581</v>
      </c>
      <c r="AB18" s="23">
        <v>495494.29455340595</v>
      </c>
      <c r="AC18" s="23">
        <v>511597.64469688467</v>
      </c>
      <c r="AD18" s="23">
        <v>528229.92063302197</v>
      </c>
      <c r="AE18" s="23">
        <v>545408.6856712671</v>
      </c>
      <c r="AF18" s="23">
        <v>140788.02318879304</v>
      </c>
      <c r="AG18" s="23">
        <v>0</v>
      </c>
      <c r="AH18" s="23">
        <v>0</v>
      </c>
      <c r="AI18" s="23">
        <v>0</v>
      </c>
    </row>
    <row r="19" spans="1:35">
      <c r="D19" s="203"/>
      <c r="E19" s="204"/>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row>
    <row r="20" spans="1:35">
      <c r="A20" t="s">
        <v>85</v>
      </c>
      <c r="D20" s="203"/>
      <c r="E20" s="204"/>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row>
    <row r="21" spans="1:35">
      <c r="B21" s="12" t="s">
        <v>86</v>
      </c>
      <c r="C21" s="14">
        <v>20000</v>
      </c>
      <c r="D21" s="206">
        <v>20000</v>
      </c>
      <c r="E21" s="207"/>
      <c r="G21" s="12" t="s">
        <v>87</v>
      </c>
      <c r="H21" s="23">
        <v>250712.35891724407</v>
      </c>
      <c r="I21" s="20">
        <v>0.03</v>
      </c>
      <c r="J21" s="24">
        <v>0.01</v>
      </c>
      <c r="K21" s="208">
        <v>0</v>
      </c>
      <c r="L21" s="208">
        <v>0</v>
      </c>
      <c r="M21" s="208">
        <v>2249.7280000000005</v>
      </c>
      <c r="N21" s="208">
        <v>7019.1513600000008</v>
      </c>
      <c r="O21" s="208">
        <v>18249.793536000005</v>
      </c>
      <c r="P21" s="208">
        <v>18979.785277440005</v>
      </c>
      <c r="Q21" s="208">
        <v>19738.976688537605</v>
      </c>
      <c r="R21" s="208">
        <v>27371.381008105483</v>
      </c>
      <c r="S21" s="208">
        <v>28466.236248429705</v>
      </c>
      <c r="T21" s="208">
        <v>29604.885698366892</v>
      </c>
      <c r="U21" s="208">
        <v>30789.081126301564</v>
      </c>
      <c r="V21" s="208">
        <v>32020.644371353636</v>
      </c>
      <c r="W21" s="208">
        <v>33301.470146207779</v>
      </c>
      <c r="X21" s="208">
        <v>34633.528952056091</v>
      </c>
      <c r="Y21" s="208">
        <v>36018.870110138334</v>
      </c>
      <c r="Z21" s="208">
        <v>37459.624914543878</v>
      </c>
      <c r="AA21" s="208">
        <v>38958.009911125628</v>
      </c>
      <c r="AB21" s="208">
        <v>40516.330307570657</v>
      </c>
      <c r="AC21" s="208">
        <v>42136.983519873487</v>
      </c>
      <c r="AD21" s="208">
        <v>43822.462860668427</v>
      </c>
      <c r="AE21" s="208">
        <v>45575.361375095177</v>
      </c>
      <c r="AF21" s="208">
        <v>11849.593957524745</v>
      </c>
      <c r="AG21" s="208">
        <v>0</v>
      </c>
      <c r="AH21" s="208">
        <v>0</v>
      </c>
      <c r="AI21" s="208">
        <v>0</v>
      </c>
    </row>
    <row r="22" spans="1:35" ht="30">
      <c r="B22" s="12" t="s">
        <v>88</v>
      </c>
      <c r="C22" s="16">
        <v>553306</v>
      </c>
      <c r="D22" s="224">
        <v>433306</v>
      </c>
      <c r="E22" s="207">
        <v>120000</v>
      </c>
      <c r="G22" s="12" t="s">
        <v>89</v>
      </c>
      <c r="H22" s="23">
        <v>5431758.4696497666</v>
      </c>
      <c r="I22" s="20">
        <v>0.03</v>
      </c>
      <c r="J22" s="24">
        <v>0.01</v>
      </c>
      <c r="K22" s="208">
        <v>0</v>
      </c>
      <c r="L22" s="208">
        <v>0</v>
      </c>
      <c r="M22" s="208">
        <v>48741.032038400008</v>
      </c>
      <c r="N22" s="208">
        <v>152072.01995980801</v>
      </c>
      <c r="O22" s="208">
        <v>395387.25189550087</v>
      </c>
      <c r="P22" s="208">
        <v>411202.74197132094</v>
      </c>
      <c r="Q22" s="208">
        <v>427650.85165017372</v>
      </c>
      <c r="R22" s="208">
        <v>593009.18095490767</v>
      </c>
      <c r="S22" s="208">
        <v>616729.5481931041</v>
      </c>
      <c r="T22" s="208">
        <v>641398.73012082826</v>
      </c>
      <c r="U22" s="208">
        <v>667054.67932566127</v>
      </c>
      <c r="V22" s="208">
        <v>693736.86649868789</v>
      </c>
      <c r="W22" s="208">
        <v>721486.34115863545</v>
      </c>
      <c r="X22" s="208">
        <v>750345.79480498086</v>
      </c>
      <c r="Y22" s="208">
        <v>780359.62659718003</v>
      </c>
      <c r="Z22" s="208">
        <v>811574.01166106737</v>
      </c>
      <c r="AA22" s="208">
        <v>844036.97212751012</v>
      </c>
      <c r="AB22" s="208">
        <v>877798.45101261057</v>
      </c>
      <c r="AC22" s="208">
        <v>912910.38905311504</v>
      </c>
      <c r="AD22" s="208">
        <v>949426.80461523961</v>
      </c>
      <c r="AE22" s="208">
        <v>987403.87679984944</v>
      </c>
      <c r="AF22" s="208">
        <v>256725.00796796085</v>
      </c>
      <c r="AG22" s="208">
        <v>0</v>
      </c>
      <c r="AH22" s="208">
        <v>0</v>
      </c>
      <c r="AI22" s="208">
        <v>0</v>
      </c>
    </row>
    <row r="23" spans="1:35" ht="15.75" thickBot="1">
      <c r="B23" s="12" t="s">
        <v>90</v>
      </c>
      <c r="C23" s="225">
        <v>1.05</v>
      </c>
      <c r="D23" s="215"/>
      <c r="E23" s="216"/>
      <c r="F23" s="217"/>
      <c r="G23" s="218" t="s">
        <v>91</v>
      </c>
      <c r="H23" s="219" t="s">
        <v>66</v>
      </c>
      <c r="I23" s="220"/>
      <c r="J23" s="221"/>
      <c r="K23" s="222" t="s">
        <v>66</v>
      </c>
      <c r="L23" s="222" t="s">
        <v>66</v>
      </c>
      <c r="M23" s="222" t="s">
        <v>66</v>
      </c>
      <c r="N23" s="222" t="s">
        <v>66</v>
      </c>
      <c r="O23" s="222" t="s">
        <v>66</v>
      </c>
      <c r="P23" s="222" t="s">
        <v>66</v>
      </c>
      <c r="Q23" s="222" t="s">
        <v>66</v>
      </c>
      <c r="R23" s="222" t="s">
        <v>66</v>
      </c>
      <c r="S23" s="222" t="s">
        <v>66</v>
      </c>
      <c r="T23" s="222" t="s">
        <v>66</v>
      </c>
      <c r="U23" s="222" t="s">
        <v>66</v>
      </c>
      <c r="V23" s="222" t="s">
        <v>66</v>
      </c>
      <c r="W23" s="222" t="s">
        <v>66</v>
      </c>
      <c r="X23" s="222" t="s">
        <v>66</v>
      </c>
      <c r="Y23" s="222" t="s">
        <v>66</v>
      </c>
      <c r="Z23" s="222" t="s">
        <v>66</v>
      </c>
      <c r="AA23" s="222" t="s">
        <v>66</v>
      </c>
      <c r="AB23" s="222" t="s">
        <v>66</v>
      </c>
      <c r="AC23" s="222" t="s">
        <v>66</v>
      </c>
      <c r="AD23" s="222" t="s">
        <v>66</v>
      </c>
      <c r="AE23" s="222" t="s">
        <v>66</v>
      </c>
      <c r="AF23" s="222" t="s">
        <v>66</v>
      </c>
      <c r="AG23" s="222" t="s">
        <v>66</v>
      </c>
      <c r="AH23" s="222" t="s">
        <v>66</v>
      </c>
      <c r="AI23" s="222" t="s">
        <v>66</v>
      </c>
    </row>
    <row r="24" spans="1:35" ht="15.75" thickTop="1">
      <c r="B24" s="12" t="s">
        <v>92</v>
      </c>
      <c r="D24" s="212">
        <v>454971.30000000005</v>
      </c>
      <c r="E24" s="207">
        <v>126000</v>
      </c>
      <c r="G24" s="12" t="s">
        <v>93</v>
      </c>
      <c r="H24" s="23">
        <v>5682470.8285670104</v>
      </c>
      <c r="I24" s="23"/>
      <c r="J24" s="23"/>
      <c r="K24" s="23">
        <v>0</v>
      </c>
      <c r="L24" s="226">
        <v>0</v>
      </c>
      <c r="M24" s="23">
        <v>50990.760038400011</v>
      </c>
      <c r="N24" s="23">
        <v>159091.171319808</v>
      </c>
      <c r="O24" s="23">
        <v>413637.04543150088</v>
      </c>
      <c r="P24" s="23">
        <v>430182.52724876092</v>
      </c>
      <c r="Q24" s="23">
        <v>447389.82833871135</v>
      </c>
      <c r="R24" s="23">
        <v>620380.56196301314</v>
      </c>
      <c r="S24" s="23">
        <v>645195.78444153385</v>
      </c>
      <c r="T24" s="23">
        <v>671003.61581919517</v>
      </c>
      <c r="U24" s="23">
        <v>697843.76045196282</v>
      </c>
      <c r="V24" s="23">
        <v>725757.51087004156</v>
      </c>
      <c r="W24" s="23">
        <v>754787.81130484329</v>
      </c>
      <c r="X24" s="23">
        <v>784979.32375703694</v>
      </c>
      <c r="Y24" s="23">
        <v>816378.49670731835</v>
      </c>
      <c r="Z24" s="23">
        <v>849033.63657561131</v>
      </c>
      <c r="AA24" s="23">
        <v>882994.98203863576</v>
      </c>
      <c r="AB24" s="23">
        <v>918314.78132018121</v>
      </c>
      <c r="AC24" s="23">
        <v>955047.3725729885</v>
      </c>
      <c r="AD24" s="23">
        <v>993249.26747590804</v>
      </c>
      <c r="AE24" s="23">
        <v>1032979.2381749447</v>
      </c>
      <c r="AF24" s="23">
        <v>268574.60192548559</v>
      </c>
      <c r="AG24" s="23">
        <v>0</v>
      </c>
      <c r="AH24" s="23">
        <v>0</v>
      </c>
      <c r="AI24" s="23">
        <v>0</v>
      </c>
    </row>
    <row r="25" spans="1:35">
      <c r="C25" s="14"/>
      <c r="D25" s="206"/>
      <c r="E25" s="207"/>
      <c r="H25" s="23" t="s">
        <v>66</v>
      </c>
      <c r="I25" s="20"/>
      <c r="J25" s="24"/>
      <c r="K25" s="208" t="s">
        <v>66</v>
      </c>
      <c r="L25" s="208" t="s">
        <v>66</v>
      </c>
      <c r="M25" s="208" t="s">
        <v>66</v>
      </c>
      <c r="N25" s="208" t="s">
        <v>66</v>
      </c>
      <c r="O25" s="208" t="s">
        <v>66</v>
      </c>
      <c r="P25" s="208" t="s">
        <v>66</v>
      </c>
      <c r="Q25" s="208" t="s">
        <v>66</v>
      </c>
      <c r="R25" s="208" t="s">
        <v>66</v>
      </c>
      <c r="S25" s="208" t="s">
        <v>66</v>
      </c>
      <c r="T25" s="208" t="s">
        <v>66</v>
      </c>
      <c r="U25" s="208" t="s">
        <v>66</v>
      </c>
      <c r="V25" s="208" t="s">
        <v>66</v>
      </c>
      <c r="W25" s="208" t="s">
        <v>66</v>
      </c>
      <c r="X25" s="208" t="s">
        <v>66</v>
      </c>
      <c r="Y25" s="208" t="s">
        <v>66</v>
      </c>
      <c r="Z25" s="208" t="s">
        <v>66</v>
      </c>
      <c r="AA25" s="208" t="s">
        <v>66</v>
      </c>
      <c r="AB25" s="208" t="s">
        <v>66</v>
      </c>
      <c r="AC25" s="208" t="s">
        <v>66</v>
      </c>
      <c r="AD25" s="208" t="s">
        <v>66</v>
      </c>
      <c r="AE25" s="208" t="s">
        <v>66</v>
      </c>
      <c r="AF25" s="208" t="s">
        <v>66</v>
      </c>
      <c r="AG25" s="208" t="s">
        <v>66</v>
      </c>
      <c r="AH25" s="208" t="s">
        <v>66</v>
      </c>
      <c r="AI25" s="208" t="s">
        <v>66</v>
      </c>
    </row>
    <row r="26" spans="1:35">
      <c r="A26" t="s">
        <v>94</v>
      </c>
      <c r="C26" s="14"/>
      <c r="D26" s="206"/>
      <c r="E26" s="207"/>
      <c r="H26" s="23" t="s">
        <v>66</v>
      </c>
      <c r="I26" s="20"/>
      <c r="J26" s="24"/>
      <c r="K26" s="208" t="s">
        <v>66</v>
      </c>
      <c r="L26" s="208" t="s">
        <v>66</v>
      </c>
      <c r="M26" s="208" t="s">
        <v>66</v>
      </c>
      <c r="N26" s="208" t="s">
        <v>66</v>
      </c>
      <c r="O26" s="208" t="s">
        <v>66</v>
      </c>
      <c r="P26" s="208" t="s">
        <v>66</v>
      </c>
      <c r="Q26" s="208" t="s">
        <v>66</v>
      </c>
      <c r="R26" s="208" t="s">
        <v>66</v>
      </c>
      <c r="S26" s="208" t="s">
        <v>66</v>
      </c>
      <c r="T26" s="208" t="s">
        <v>66</v>
      </c>
      <c r="U26" s="208" t="s">
        <v>66</v>
      </c>
      <c r="V26" s="208" t="s">
        <v>66</v>
      </c>
      <c r="W26" s="208" t="s">
        <v>66</v>
      </c>
      <c r="X26" s="208" t="s">
        <v>66</v>
      </c>
      <c r="Y26" s="208" t="s">
        <v>66</v>
      </c>
      <c r="Z26" s="208" t="s">
        <v>66</v>
      </c>
      <c r="AA26" s="208" t="s">
        <v>66</v>
      </c>
      <c r="AB26" s="208" t="s">
        <v>66</v>
      </c>
      <c r="AC26" s="208" t="s">
        <v>66</v>
      </c>
      <c r="AD26" s="208" t="s">
        <v>66</v>
      </c>
      <c r="AE26" s="208" t="s">
        <v>66</v>
      </c>
      <c r="AF26" s="208" t="s">
        <v>66</v>
      </c>
      <c r="AG26" s="208" t="s">
        <v>66</v>
      </c>
      <c r="AH26" s="208" t="s">
        <v>66</v>
      </c>
      <c r="AI26" s="208" t="s">
        <v>66</v>
      </c>
    </row>
    <row r="27" spans="1:35" ht="30">
      <c r="B27" s="12" t="s">
        <v>95</v>
      </c>
      <c r="C27" s="14">
        <v>56785</v>
      </c>
      <c r="D27" s="206">
        <v>56785</v>
      </c>
      <c r="E27" s="207"/>
      <c r="G27" s="12" t="s">
        <v>96</v>
      </c>
      <c r="H27" s="23">
        <v>686376.28504739853</v>
      </c>
      <c r="I27" s="20">
        <v>0.03</v>
      </c>
      <c r="J27" s="24">
        <v>7.0000000000000001E-3</v>
      </c>
      <c r="K27" s="208">
        <v>0</v>
      </c>
      <c r="L27" s="208">
        <v>0</v>
      </c>
      <c r="M27" s="208">
        <v>6332.4227325604988</v>
      </c>
      <c r="N27" s="208">
        <v>19700.167120995709</v>
      </c>
      <c r="O27" s="208">
        <v>51072.683261181373</v>
      </c>
      <c r="P27" s="208">
        <v>52962.372541845078</v>
      </c>
      <c r="Q27" s="208">
        <v>54921.980325893353</v>
      </c>
      <c r="R27" s="208">
        <v>75938.791463935195</v>
      </c>
      <c r="S27" s="208">
        <v>78748.52674810079</v>
      </c>
      <c r="T27" s="208">
        <v>81662.222237780501</v>
      </c>
      <c r="U27" s="208">
        <v>84683.724460578393</v>
      </c>
      <c r="V27" s="208">
        <v>87817.022265619773</v>
      </c>
      <c r="W27" s="208">
        <v>91066.252089447706</v>
      </c>
      <c r="X27" s="208">
        <v>94435.703416757256</v>
      </c>
      <c r="Y27" s="208">
        <v>97929.824443177276</v>
      </c>
      <c r="Z27" s="208">
        <v>101553.22794757482</v>
      </c>
      <c r="AA27" s="208">
        <v>105310.69738163508</v>
      </c>
      <c r="AB27" s="208">
        <v>109207.19318475557</v>
      </c>
      <c r="AC27" s="208">
        <v>113247.85933259153</v>
      </c>
      <c r="AD27" s="208">
        <v>117438.03012789738</v>
      </c>
      <c r="AE27" s="208">
        <v>121783.23724262961</v>
      </c>
      <c r="AF27" s="208">
        <v>31572.304255151721</v>
      </c>
      <c r="AG27" s="208">
        <v>0</v>
      </c>
      <c r="AH27" s="208">
        <v>0</v>
      </c>
      <c r="AI27" s="208">
        <v>0</v>
      </c>
    </row>
    <row r="28" spans="1:35" ht="15.75" thickBot="1">
      <c r="B28" s="12" t="s">
        <v>97</v>
      </c>
      <c r="C28" s="227">
        <v>12000</v>
      </c>
      <c r="D28" s="215"/>
      <c r="E28" s="216">
        <v>12000</v>
      </c>
      <c r="F28" s="217"/>
      <c r="G28" s="218"/>
      <c r="H28" s="219" t="s">
        <v>66</v>
      </c>
      <c r="I28" s="220"/>
      <c r="J28" s="221"/>
      <c r="K28" s="222" t="s">
        <v>66</v>
      </c>
      <c r="L28" s="222" t="s">
        <v>66</v>
      </c>
      <c r="M28" s="222" t="s">
        <v>66</v>
      </c>
      <c r="N28" s="222" t="s">
        <v>66</v>
      </c>
      <c r="O28" s="222" t="s">
        <v>66</v>
      </c>
      <c r="P28" s="222" t="s">
        <v>66</v>
      </c>
      <c r="Q28" s="222" t="s">
        <v>66</v>
      </c>
      <c r="R28" s="222" t="s">
        <v>66</v>
      </c>
      <c r="S28" s="222" t="s">
        <v>66</v>
      </c>
      <c r="T28" s="222" t="s">
        <v>66</v>
      </c>
      <c r="U28" s="222" t="s">
        <v>66</v>
      </c>
      <c r="V28" s="222" t="s">
        <v>66</v>
      </c>
      <c r="W28" s="222" t="s">
        <v>66</v>
      </c>
      <c r="X28" s="222" t="s">
        <v>66</v>
      </c>
      <c r="Y28" s="222" t="s">
        <v>66</v>
      </c>
      <c r="Z28" s="222" t="s">
        <v>66</v>
      </c>
      <c r="AA28" s="222" t="s">
        <v>66</v>
      </c>
      <c r="AB28" s="222" t="s">
        <v>66</v>
      </c>
      <c r="AC28" s="222" t="s">
        <v>66</v>
      </c>
      <c r="AD28" s="222" t="s">
        <v>66</v>
      </c>
      <c r="AE28" s="222" t="s">
        <v>66</v>
      </c>
      <c r="AF28" s="222" t="s">
        <v>66</v>
      </c>
      <c r="AG28" s="222" t="s">
        <v>66</v>
      </c>
      <c r="AH28" s="222" t="s">
        <v>66</v>
      </c>
      <c r="AI28" s="222" t="s">
        <v>66</v>
      </c>
    </row>
    <row r="29" spans="1:35" ht="15.75" thickTop="1">
      <c r="B29" s="12" t="s">
        <v>98</v>
      </c>
      <c r="C29" s="14">
        <v>68785</v>
      </c>
      <c r="D29" s="206">
        <v>56785</v>
      </c>
      <c r="E29" s="207">
        <v>12000</v>
      </c>
      <c r="H29" s="23">
        <v>711835.06505578512</v>
      </c>
      <c r="I29" s="20">
        <v>0.03</v>
      </c>
      <c r="J29" s="24">
        <v>0.01</v>
      </c>
      <c r="K29" s="208">
        <v>0</v>
      </c>
      <c r="L29" s="208">
        <v>0</v>
      </c>
      <c r="M29" s="208">
        <v>6387.5402240000003</v>
      </c>
      <c r="N29" s="208">
        <v>19929.125498880003</v>
      </c>
      <c r="O29" s="208">
        <v>51815.726297088011</v>
      </c>
      <c r="P29" s="208">
        <v>53888.355348971534</v>
      </c>
      <c r="Q29" s="208">
        <v>56043.889562930388</v>
      </c>
      <c r="R29" s="208">
        <v>77714.193527263487</v>
      </c>
      <c r="S29" s="208">
        <v>80822.761268354036</v>
      </c>
      <c r="T29" s="208">
        <v>84055.671719088205</v>
      </c>
      <c r="U29" s="208">
        <v>87417.898587851712</v>
      </c>
      <c r="V29" s="208">
        <v>90914.614531365805</v>
      </c>
      <c r="W29" s="208">
        <v>94551.199112620438</v>
      </c>
      <c r="X29" s="208">
        <v>98333.247077125256</v>
      </c>
      <c r="Y29" s="208">
        <v>102266.57696021027</v>
      </c>
      <c r="Z29" s="208">
        <v>106357.24003861869</v>
      </c>
      <c r="AA29" s="208">
        <v>110611.52964016344</v>
      </c>
      <c r="AB29" s="208">
        <v>115035.99082577</v>
      </c>
      <c r="AC29" s="208">
        <v>119637.43045880079</v>
      </c>
      <c r="AD29" s="208">
        <v>124422.92767715282</v>
      </c>
      <c r="AE29" s="208">
        <v>129399.84478423897</v>
      </c>
      <c r="AF29" s="208">
        <v>33643.959643902133</v>
      </c>
      <c r="AG29" s="208">
        <v>0</v>
      </c>
      <c r="AH29" s="208">
        <v>0</v>
      </c>
      <c r="AI29" s="208">
        <v>0</v>
      </c>
    </row>
    <row r="30" spans="1:35">
      <c r="C30" s="14"/>
      <c r="D30" s="206"/>
      <c r="E30" s="207"/>
      <c r="H30" s="23" t="s">
        <v>66</v>
      </c>
      <c r="I30" s="20"/>
      <c r="J30" s="24"/>
      <c r="K30" s="208" t="s">
        <v>66</v>
      </c>
      <c r="L30" s="208" t="s">
        <v>66</v>
      </c>
      <c r="M30" s="208" t="s">
        <v>66</v>
      </c>
      <c r="N30" s="208" t="s">
        <v>66</v>
      </c>
      <c r="O30" s="208" t="s">
        <v>66</v>
      </c>
      <c r="P30" s="208" t="s">
        <v>66</v>
      </c>
      <c r="Q30" s="208" t="s">
        <v>66</v>
      </c>
      <c r="R30" s="208" t="s">
        <v>66</v>
      </c>
      <c r="S30" s="208" t="s">
        <v>66</v>
      </c>
      <c r="T30" s="208" t="s">
        <v>66</v>
      </c>
      <c r="U30" s="208" t="s">
        <v>66</v>
      </c>
      <c r="V30" s="208" t="s">
        <v>66</v>
      </c>
      <c r="W30" s="208" t="s">
        <v>66</v>
      </c>
      <c r="X30" s="208" t="s">
        <v>66</v>
      </c>
      <c r="Y30" s="208" t="s">
        <v>66</v>
      </c>
      <c r="Z30" s="208" t="s">
        <v>66</v>
      </c>
      <c r="AA30" s="208" t="s">
        <v>66</v>
      </c>
      <c r="AB30" s="208" t="s">
        <v>66</v>
      </c>
      <c r="AC30" s="208" t="s">
        <v>66</v>
      </c>
      <c r="AD30" s="208" t="s">
        <v>66</v>
      </c>
      <c r="AE30" s="208" t="s">
        <v>66</v>
      </c>
      <c r="AF30" s="208" t="s">
        <v>66</v>
      </c>
      <c r="AG30" s="208" t="s">
        <v>66</v>
      </c>
      <c r="AH30" s="208" t="s">
        <v>66</v>
      </c>
      <c r="AI30" s="208" t="s">
        <v>66</v>
      </c>
    </row>
    <row r="31" spans="1:35">
      <c r="A31" t="s">
        <v>99</v>
      </c>
      <c r="D31" s="206"/>
      <c r="E31" s="207"/>
      <c r="H31" s="23" t="s">
        <v>66</v>
      </c>
      <c r="I31" s="20"/>
      <c r="J31" s="24"/>
      <c r="K31" s="208" t="s">
        <v>66</v>
      </c>
      <c r="L31" s="208" t="s">
        <v>66</v>
      </c>
      <c r="M31" s="208" t="s">
        <v>66</v>
      </c>
      <c r="N31" s="208" t="s">
        <v>66</v>
      </c>
      <c r="O31" s="208" t="s">
        <v>66</v>
      </c>
      <c r="P31" s="208" t="s">
        <v>66</v>
      </c>
      <c r="Q31" s="208" t="s">
        <v>66</v>
      </c>
      <c r="R31" s="208" t="s">
        <v>66</v>
      </c>
      <c r="S31" s="208" t="s">
        <v>66</v>
      </c>
      <c r="T31" s="208" t="s">
        <v>66</v>
      </c>
      <c r="U31" s="208" t="s">
        <v>66</v>
      </c>
      <c r="V31" s="208" t="s">
        <v>66</v>
      </c>
      <c r="W31" s="208" t="s">
        <v>66</v>
      </c>
      <c r="X31" s="208" t="s">
        <v>66</v>
      </c>
      <c r="Y31" s="208" t="s">
        <v>66</v>
      </c>
      <c r="Z31" s="208" t="s">
        <v>66</v>
      </c>
      <c r="AA31" s="208" t="s">
        <v>66</v>
      </c>
      <c r="AB31" s="208" t="s">
        <v>66</v>
      </c>
      <c r="AC31" s="208" t="s">
        <v>66</v>
      </c>
      <c r="AD31" s="208" t="s">
        <v>66</v>
      </c>
      <c r="AE31" s="208" t="s">
        <v>66</v>
      </c>
      <c r="AF31" s="208" t="s">
        <v>66</v>
      </c>
      <c r="AG31" s="208" t="s">
        <v>66</v>
      </c>
      <c r="AH31" s="208" t="s">
        <v>66</v>
      </c>
      <c r="AI31" s="208" t="s">
        <v>66</v>
      </c>
    </row>
    <row r="32" spans="1:35">
      <c r="B32" s="12" t="s">
        <v>100</v>
      </c>
      <c r="D32" s="206"/>
      <c r="E32" s="207"/>
      <c r="H32" s="23" t="s">
        <v>66</v>
      </c>
      <c r="I32" s="20"/>
      <c r="J32" s="24"/>
      <c r="K32" s="208" t="s">
        <v>66</v>
      </c>
      <c r="L32" s="208" t="s">
        <v>66</v>
      </c>
      <c r="M32" s="208" t="s">
        <v>66</v>
      </c>
      <c r="N32" s="208" t="s">
        <v>66</v>
      </c>
      <c r="O32" s="208" t="s">
        <v>66</v>
      </c>
      <c r="P32" s="208" t="s">
        <v>66</v>
      </c>
      <c r="Q32" s="208" t="s">
        <v>66</v>
      </c>
      <c r="R32" s="208" t="s">
        <v>66</v>
      </c>
      <c r="S32" s="208" t="s">
        <v>66</v>
      </c>
      <c r="T32" s="208" t="s">
        <v>66</v>
      </c>
      <c r="U32" s="208" t="s">
        <v>66</v>
      </c>
      <c r="V32" s="208" t="s">
        <v>66</v>
      </c>
      <c r="W32" s="208" t="s">
        <v>66</v>
      </c>
      <c r="X32" s="208" t="s">
        <v>66</v>
      </c>
      <c r="Y32" s="208" t="s">
        <v>66</v>
      </c>
      <c r="Z32" s="208" t="s">
        <v>66</v>
      </c>
      <c r="AA32" s="208" t="s">
        <v>66</v>
      </c>
      <c r="AB32" s="208" t="s">
        <v>66</v>
      </c>
      <c r="AC32" s="208" t="s">
        <v>66</v>
      </c>
      <c r="AD32" s="208" t="s">
        <v>66</v>
      </c>
      <c r="AE32" s="208" t="s">
        <v>66</v>
      </c>
      <c r="AF32" s="208" t="s">
        <v>66</v>
      </c>
      <c r="AG32" s="208" t="s">
        <v>66</v>
      </c>
      <c r="AH32" s="208" t="s">
        <v>66</v>
      </c>
      <c r="AI32" s="208" t="s">
        <v>66</v>
      </c>
    </row>
    <row r="33" spans="1:35" ht="30">
      <c r="B33" s="12" t="s">
        <v>88</v>
      </c>
      <c r="C33" s="17"/>
      <c r="D33" s="224">
        <v>433306</v>
      </c>
      <c r="E33" s="207">
        <v>120000</v>
      </c>
      <c r="G33" s="12" t="s">
        <v>89</v>
      </c>
      <c r="H33" s="23">
        <v>5431758.4696497666</v>
      </c>
      <c r="I33" s="20">
        <v>0.03</v>
      </c>
      <c r="J33" s="24">
        <v>0.01</v>
      </c>
      <c r="K33" s="208">
        <v>0</v>
      </c>
      <c r="L33" s="208">
        <v>0</v>
      </c>
      <c r="M33" s="208">
        <v>48741.032038400008</v>
      </c>
      <c r="N33" s="208">
        <v>152072.01995980801</v>
      </c>
      <c r="O33" s="208">
        <v>395387.25189550087</v>
      </c>
      <c r="P33" s="208">
        <v>411202.74197132094</v>
      </c>
      <c r="Q33" s="208">
        <v>427650.85165017372</v>
      </c>
      <c r="R33" s="208">
        <v>593009.18095490767</v>
      </c>
      <c r="S33" s="208">
        <v>616729.5481931041</v>
      </c>
      <c r="T33" s="208">
        <v>641398.73012082826</v>
      </c>
      <c r="U33" s="208">
        <v>667054.67932566127</v>
      </c>
      <c r="V33" s="208">
        <v>693736.86649868789</v>
      </c>
      <c r="W33" s="208">
        <v>721486.34115863545</v>
      </c>
      <c r="X33" s="208">
        <v>750345.79480498086</v>
      </c>
      <c r="Y33" s="208">
        <v>780359.62659718003</v>
      </c>
      <c r="Z33" s="208">
        <v>811574.01166106737</v>
      </c>
      <c r="AA33" s="208">
        <v>844036.97212751012</v>
      </c>
      <c r="AB33" s="208">
        <v>877798.45101261057</v>
      </c>
      <c r="AC33" s="208">
        <v>912910.38905311504</v>
      </c>
      <c r="AD33" s="208">
        <v>949426.80461523961</v>
      </c>
      <c r="AE33" s="208">
        <v>987403.87679984944</v>
      </c>
      <c r="AF33" s="208">
        <v>256725.00796796085</v>
      </c>
      <c r="AG33" s="208">
        <v>0</v>
      </c>
      <c r="AH33" s="208">
        <v>0</v>
      </c>
      <c r="AI33" s="208">
        <v>0</v>
      </c>
    </row>
    <row r="34" spans="1:35" ht="45">
      <c r="B34" s="12" t="s">
        <v>101</v>
      </c>
      <c r="C34">
        <v>0.96</v>
      </c>
      <c r="D34" s="206"/>
      <c r="E34" s="207"/>
      <c r="G34" s="12" t="s">
        <v>102</v>
      </c>
      <c r="H34" s="23" t="s">
        <v>66</v>
      </c>
      <c r="I34" s="20"/>
      <c r="J34" s="24"/>
      <c r="K34" s="208" t="s">
        <v>66</v>
      </c>
      <c r="L34" s="208" t="s">
        <v>66</v>
      </c>
      <c r="M34" s="208" t="s">
        <v>66</v>
      </c>
      <c r="N34" s="208" t="s">
        <v>66</v>
      </c>
      <c r="O34" s="208" t="s">
        <v>66</v>
      </c>
      <c r="P34" s="208" t="s">
        <v>66</v>
      </c>
      <c r="Q34" s="208" t="s">
        <v>66</v>
      </c>
      <c r="R34" s="208" t="s">
        <v>66</v>
      </c>
      <c r="S34" s="208" t="s">
        <v>66</v>
      </c>
      <c r="T34" s="208" t="s">
        <v>66</v>
      </c>
      <c r="U34" s="208" t="s">
        <v>66</v>
      </c>
      <c r="V34" s="208" t="s">
        <v>66</v>
      </c>
      <c r="W34" s="208" t="s">
        <v>66</v>
      </c>
      <c r="X34" s="208" t="s">
        <v>66</v>
      </c>
      <c r="Y34" s="208" t="s">
        <v>66</v>
      </c>
      <c r="Z34" s="208" t="s">
        <v>66</v>
      </c>
      <c r="AA34" s="208" t="s">
        <v>66</v>
      </c>
      <c r="AB34" s="208" t="s">
        <v>66</v>
      </c>
      <c r="AC34" s="208" t="s">
        <v>66</v>
      </c>
      <c r="AD34" s="208" t="s">
        <v>66</v>
      </c>
      <c r="AE34" s="208" t="s">
        <v>66</v>
      </c>
      <c r="AF34" s="208" t="s">
        <v>66</v>
      </c>
      <c r="AG34" s="208" t="s">
        <v>66</v>
      </c>
      <c r="AH34" s="208" t="s">
        <v>66</v>
      </c>
      <c r="AI34" s="208" t="s">
        <v>66</v>
      </c>
    </row>
    <row r="35" spans="1:35" ht="30">
      <c r="B35" s="12" t="s">
        <v>103</v>
      </c>
      <c r="C35" s="17"/>
      <c r="D35" s="224">
        <v>207.98688000000001</v>
      </c>
      <c r="E35" s="228">
        <v>57.6</v>
      </c>
      <c r="G35" s="12" t="s">
        <v>104</v>
      </c>
      <c r="H35" s="23" t="s">
        <v>66</v>
      </c>
      <c r="I35" s="20"/>
      <c r="J35" s="24"/>
      <c r="K35" s="208" t="s">
        <v>66</v>
      </c>
      <c r="L35" s="208" t="s">
        <v>66</v>
      </c>
      <c r="M35" s="208" t="s">
        <v>66</v>
      </c>
      <c r="N35" s="208" t="s">
        <v>66</v>
      </c>
      <c r="O35" s="208" t="s">
        <v>66</v>
      </c>
      <c r="P35" s="208" t="s">
        <v>66</v>
      </c>
      <c r="Q35" s="208" t="s">
        <v>66</v>
      </c>
      <c r="R35" s="208" t="s">
        <v>66</v>
      </c>
      <c r="S35" s="208" t="s">
        <v>66</v>
      </c>
      <c r="T35" s="208" t="s">
        <v>66</v>
      </c>
      <c r="U35" s="208" t="s">
        <v>66</v>
      </c>
      <c r="V35" s="208" t="s">
        <v>66</v>
      </c>
      <c r="W35" s="208" t="s">
        <v>66</v>
      </c>
      <c r="X35" s="208" t="s">
        <v>66</v>
      </c>
      <c r="Y35" s="208" t="s">
        <v>66</v>
      </c>
      <c r="Z35" s="208" t="s">
        <v>66</v>
      </c>
      <c r="AA35" s="208" t="s">
        <v>66</v>
      </c>
      <c r="AB35" s="208" t="s">
        <v>66</v>
      </c>
      <c r="AC35" s="208" t="s">
        <v>66</v>
      </c>
      <c r="AD35" s="208" t="s">
        <v>66</v>
      </c>
      <c r="AE35" s="208" t="s">
        <v>66</v>
      </c>
      <c r="AF35" s="208" t="s">
        <v>66</v>
      </c>
      <c r="AG35" s="208" t="s">
        <v>66</v>
      </c>
      <c r="AH35" s="208" t="s">
        <v>66</v>
      </c>
      <c r="AI35" s="208" t="s">
        <v>66</v>
      </c>
    </row>
    <row r="36" spans="1:35" ht="15.75" thickBot="1">
      <c r="B36" s="12" t="s">
        <v>105</v>
      </c>
      <c r="C36" s="229">
        <v>8</v>
      </c>
      <c r="D36" s="215"/>
      <c r="E36" s="216"/>
      <c r="F36" s="217"/>
      <c r="G36" s="218" t="s">
        <v>106</v>
      </c>
      <c r="H36" s="219" t="s">
        <v>66</v>
      </c>
      <c r="I36" s="220"/>
      <c r="J36" s="221"/>
      <c r="K36" s="222" t="s">
        <v>66</v>
      </c>
      <c r="L36" s="222" t="s">
        <v>66</v>
      </c>
      <c r="M36" s="222" t="s">
        <v>66</v>
      </c>
      <c r="N36" s="222" t="s">
        <v>66</v>
      </c>
      <c r="O36" s="222" t="s">
        <v>66</v>
      </c>
      <c r="P36" s="222" t="s">
        <v>66</v>
      </c>
      <c r="Q36" s="222" t="s">
        <v>66</v>
      </c>
      <c r="R36" s="222" t="s">
        <v>66</v>
      </c>
      <c r="S36" s="222" t="s">
        <v>66</v>
      </c>
      <c r="T36" s="222" t="s">
        <v>66</v>
      </c>
      <c r="U36" s="222" t="s">
        <v>66</v>
      </c>
      <c r="V36" s="222" t="s">
        <v>66</v>
      </c>
      <c r="W36" s="222" t="s">
        <v>66</v>
      </c>
      <c r="X36" s="222" t="s">
        <v>66</v>
      </c>
      <c r="Y36" s="222" t="s">
        <v>66</v>
      </c>
      <c r="Z36" s="222" t="s">
        <v>66</v>
      </c>
      <c r="AA36" s="222" t="s">
        <v>66</v>
      </c>
      <c r="AB36" s="222" t="s">
        <v>66</v>
      </c>
      <c r="AC36" s="222" t="s">
        <v>66</v>
      </c>
      <c r="AD36" s="222" t="s">
        <v>66</v>
      </c>
      <c r="AE36" s="222" t="s">
        <v>66</v>
      </c>
      <c r="AF36" s="222" t="s">
        <v>66</v>
      </c>
      <c r="AG36" s="222" t="s">
        <v>66</v>
      </c>
      <c r="AH36" s="222" t="s">
        <v>66</v>
      </c>
      <c r="AI36" s="222" t="s">
        <v>66</v>
      </c>
    </row>
    <row r="37" spans="1:35" ht="15.75" thickTop="1">
      <c r="B37" s="12" t="s">
        <v>107</v>
      </c>
      <c r="D37" s="230">
        <v>1663.8950400000001</v>
      </c>
      <c r="E37" s="207">
        <v>460.8</v>
      </c>
      <c r="G37" s="195" t="s">
        <v>108</v>
      </c>
      <c r="H37" s="23">
        <v>20857.952523455107</v>
      </c>
      <c r="I37" s="20">
        <v>0.03</v>
      </c>
      <c r="J37" s="24">
        <v>0.01</v>
      </c>
      <c r="K37" s="208">
        <v>0</v>
      </c>
      <c r="L37" s="208">
        <v>0</v>
      </c>
      <c r="M37" s="208">
        <v>187.16556302745605</v>
      </c>
      <c r="N37" s="208">
        <v>583.95655664566277</v>
      </c>
      <c r="O37" s="208">
        <v>1518.2870472787235</v>
      </c>
      <c r="P37" s="208">
        <v>1579.0185291698724</v>
      </c>
      <c r="Q37" s="208">
        <v>1642.1792703366673</v>
      </c>
      <c r="R37" s="208">
        <v>2277.1552548668456</v>
      </c>
      <c r="S37" s="208">
        <v>2368.2414650615196</v>
      </c>
      <c r="T37" s="208">
        <v>2462.9711236639805</v>
      </c>
      <c r="U37" s="208">
        <v>2561.4899686105396</v>
      </c>
      <c r="V37" s="208">
        <v>2663.9495673549618</v>
      </c>
      <c r="W37" s="208">
        <v>2770.5075500491603</v>
      </c>
      <c r="X37" s="208">
        <v>2881.3278520511267</v>
      </c>
      <c r="Y37" s="208">
        <v>2996.5809661331718</v>
      </c>
      <c r="Z37" s="208">
        <v>3116.4442047784992</v>
      </c>
      <c r="AA37" s="208">
        <v>3241.1019729696391</v>
      </c>
      <c r="AB37" s="208">
        <v>3370.746051888425</v>
      </c>
      <c r="AC37" s="208">
        <v>3505.5758939639618</v>
      </c>
      <c r="AD37" s="208">
        <v>3645.7989297225204</v>
      </c>
      <c r="AE37" s="208">
        <v>3791.6308869114223</v>
      </c>
      <c r="AF37" s="208">
        <v>985.82403059696969</v>
      </c>
      <c r="AG37" s="208">
        <v>0</v>
      </c>
      <c r="AH37" s="208">
        <v>0</v>
      </c>
      <c r="AI37" s="208">
        <v>0</v>
      </c>
    </row>
    <row r="38" spans="1:35">
      <c r="C38" s="14"/>
      <c r="D38" s="206"/>
      <c r="E38" s="207"/>
      <c r="H38" s="23" t="s">
        <v>66</v>
      </c>
      <c r="I38" s="20"/>
      <c r="J38" s="24"/>
      <c r="K38" s="208" t="s">
        <v>66</v>
      </c>
      <c r="L38" s="208" t="s">
        <v>66</v>
      </c>
      <c r="M38" s="208" t="s">
        <v>66</v>
      </c>
      <c r="N38" s="208" t="s">
        <v>66</v>
      </c>
      <c r="O38" s="208" t="s">
        <v>66</v>
      </c>
      <c r="P38" s="208" t="s">
        <v>66</v>
      </c>
      <c r="Q38" s="208" t="s">
        <v>66</v>
      </c>
      <c r="R38" s="208" t="s">
        <v>66</v>
      </c>
      <c r="S38" s="208" t="s">
        <v>66</v>
      </c>
      <c r="T38" s="208" t="s">
        <v>66</v>
      </c>
      <c r="U38" s="208" t="s">
        <v>66</v>
      </c>
      <c r="V38" s="208" t="s">
        <v>66</v>
      </c>
      <c r="W38" s="208" t="s">
        <v>66</v>
      </c>
      <c r="X38" s="208" t="s">
        <v>66</v>
      </c>
      <c r="Y38" s="208" t="s">
        <v>66</v>
      </c>
      <c r="Z38" s="208" t="s">
        <v>66</v>
      </c>
      <c r="AA38" s="208" t="s">
        <v>66</v>
      </c>
      <c r="AB38" s="208" t="s">
        <v>66</v>
      </c>
      <c r="AC38" s="208" t="s">
        <v>66</v>
      </c>
      <c r="AD38" s="208" t="s">
        <v>66</v>
      </c>
      <c r="AE38" s="208" t="s">
        <v>66</v>
      </c>
      <c r="AF38" s="208" t="s">
        <v>66</v>
      </c>
      <c r="AG38" s="208" t="s">
        <v>66</v>
      </c>
      <c r="AH38" s="208" t="s">
        <v>66</v>
      </c>
      <c r="AI38" s="208" t="s">
        <v>66</v>
      </c>
    </row>
    <row r="39" spans="1:35">
      <c r="A39" t="s">
        <v>109</v>
      </c>
      <c r="D39" s="203"/>
      <c r="E39" s="204"/>
      <c r="H39" s="23" t="s">
        <v>66</v>
      </c>
      <c r="I39" s="20"/>
      <c r="J39" s="24"/>
      <c r="K39" s="208" t="s">
        <v>66</v>
      </c>
      <c r="L39" s="208" t="s">
        <v>66</v>
      </c>
      <c r="M39" s="208" t="s">
        <v>66</v>
      </c>
      <c r="N39" s="208" t="s">
        <v>66</v>
      </c>
      <c r="O39" s="208" t="s">
        <v>66</v>
      </c>
      <c r="P39" s="208" t="s">
        <v>66</v>
      </c>
      <c r="Q39" s="208" t="s">
        <v>66</v>
      </c>
      <c r="R39" s="208" t="s">
        <v>66</v>
      </c>
      <c r="S39" s="208" t="s">
        <v>66</v>
      </c>
      <c r="T39" s="208" t="s">
        <v>66</v>
      </c>
      <c r="U39" s="208" t="s">
        <v>66</v>
      </c>
      <c r="V39" s="208" t="s">
        <v>66</v>
      </c>
      <c r="W39" s="208" t="s">
        <v>66</v>
      </c>
      <c r="X39" s="208" t="s">
        <v>66</v>
      </c>
      <c r="Y39" s="208" t="s">
        <v>66</v>
      </c>
      <c r="Z39" s="208" t="s">
        <v>66</v>
      </c>
      <c r="AA39" s="208" t="s">
        <v>66</v>
      </c>
      <c r="AB39" s="208" t="s">
        <v>66</v>
      </c>
      <c r="AC39" s="208" t="s">
        <v>66</v>
      </c>
      <c r="AD39" s="208" t="s">
        <v>66</v>
      </c>
      <c r="AE39" s="208" t="s">
        <v>66</v>
      </c>
      <c r="AF39" s="208" t="s">
        <v>66</v>
      </c>
      <c r="AG39" s="208" t="s">
        <v>66</v>
      </c>
      <c r="AH39" s="208" t="s">
        <v>66</v>
      </c>
      <c r="AI39" s="208" t="s">
        <v>66</v>
      </c>
    </row>
    <row r="40" spans="1:35">
      <c r="B40" s="12" t="s">
        <v>110</v>
      </c>
      <c r="C40" s="15">
        <v>0.61</v>
      </c>
      <c r="D40" s="230">
        <v>1461611.8499999999</v>
      </c>
      <c r="E40" s="207">
        <v>255409.44</v>
      </c>
      <c r="G40" s="12" t="s">
        <v>111</v>
      </c>
      <c r="H40" s="23">
        <v>18322207.736744851</v>
      </c>
      <c r="I40" s="20">
        <v>0.03</v>
      </c>
      <c r="J40" s="24">
        <v>0.01</v>
      </c>
      <c r="K40" s="208">
        <v>0</v>
      </c>
      <c r="L40" s="208">
        <v>0</v>
      </c>
      <c r="M40" s="208">
        <v>164411.45520384001</v>
      </c>
      <c r="N40" s="208">
        <v>512963.74023598083</v>
      </c>
      <c r="O40" s="208">
        <v>1333705.7246135504</v>
      </c>
      <c r="P40" s="208">
        <v>1387053.9535980923</v>
      </c>
      <c r="Q40" s="208">
        <v>1442536.1117420159</v>
      </c>
      <c r="R40" s="208">
        <v>2000316.7416155958</v>
      </c>
      <c r="S40" s="208">
        <v>2080329.4112802197</v>
      </c>
      <c r="T40" s="208">
        <v>2163542.5877314284</v>
      </c>
      <c r="U40" s="208">
        <v>2250084.2912406856</v>
      </c>
      <c r="V40" s="208">
        <v>2340087.6628903137</v>
      </c>
      <c r="W40" s="208">
        <v>2433691.169405926</v>
      </c>
      <c r="X40" s="208">
        <v>2531038.8161821631</v>
      </c>
      <c r="Y40" s="208">
        <v>2632280.3688294496</v>
      </c>
      <c r="Z40" s="208">
        <v>2737571.5835826281</v>
      </c>
      <c r="AA40" s="208">
        <v>2847074.446925933</v>
      </c>
      <c r="AB40" s="208">
        <v>2960957.4248029706</v>
      </c>
      <c r="AC40" s="208">
        <v>3079395.7217950895</v>
      </c>
      <c r="AD40" s="208">
        <v>3202571.5506668934</v>
      </c>
      <c r="AE40" s="208">
        <v>3330674.4126935699</v>
      </c>
      <c r="AF40" s="208">
        <v>865975.34730032808</v>
      </c>
      <c r="AG40" s="208">
        <v>0</v>
      </c>
      <c r="AH40" s="208">
        <v>0</v>
      </c>
      <c r="AI40" s="208">
        <v>0</v>
      </c>
    </row>
    <row r="41" spans="1:35">
      <c r="B41" s="12" t="s">
        <v>112</v>
      </c>
      <c r="C41" s="13">
        <v>10000</v>
      </c>
      <c r="D41" s="203"/>
      <c r="E41" s="204"/>
      <c r="G41" s="12" t="s">
        <v>113</v>
      </c>
      <c r="H41" s="23" t="s">
        <v>66</v>
      </c>
      <c r="I41" s="20"/>
      <c r="J41" s="24"/>
      <c r="K41" s="208" t="s">
        <v>66</v>
      </c>
      <c r="L41" s="208" t="s">
        <v>66</v>
      </c>
      <c r="M41" s="208" t="s">
        <v>66</v>
      </c>
      <c r="N41" s="208" t="s">
        <v>66</v>
      </c>
      <c r="O41" s="208" t="s">
        <v>66</v>
      </c>
      <c r="P41" s="208" t="s">
        <v>66</v>
      </c>
      <c r="Q41" s="208" t="s">
        <v>66</v>
      </c>
      <c r="R41" s="208" t="s">
        <v>66</v>
      </c>
      <c r="S41" s="208" t="s">
        <v>66</v>
      </c>
      <c r="T41" s="208" t="s">
        <v>66</v>
      </c>
      <c r="U41" s="208" t="s">
        <v>66</v>
      </c>
      <c r="V41" s="208" t="s">
        <v>66</v>
      </c>
      <c r="W41" s="208" t="s">
        <v>66</v>
      </c>
      <c r="X41" s="208" t="s">
        <v>66</v>
      </c>
      <c r="Y41" s="208" t="s">
        <v>66</v>
      </c>
      <c r="Z41" s="208" t="s">
        <v>66</v>
      </c>
      <c r="AA41" s="208" t="s">
        <v>66</v>
      </c>
      <c r="AB41" s="208" t="s">
        <v>66</v>
      </c>
      <c r="AC41" s="208" t="s">
        <v>66</v>
      </c>
      <c r="AD41" s="208" t="s">
        <v>66</v>
      </c>
      <c r="AE41" s="208" t="s">
        <v>66</v>
      </c>
      <c r="AF41" s="208" t="s">
        <v>66</v>
      </c>
      <c r="AG41" s="208" t="s">
        <v>66</v>
      </c>
      <c r="AH41" s="208" t="s">
        <v>66</v>
      </c>
      <c r="AI41" s="208" t="s">
        <v>66</v>
      </c>
    </row>
    <row r="42" spans="1:35">
      <c r="B42" s="12" t="s">
        <v>114</v>
      </c>
      <c r="D42" s="230">
        <v>0.78295550643922118</v>
      </c>
      <c r="E42" s="231">
        <v>0.21704449356077882</v>
      </c>
      <c r="G42" t="s">
        <v>115</v>
      </c>
      <c r="H42" s="23" t="s">
        <v>66</v>
      </c>
      <c r="I42" s="20"/>
      <c r="J42" s="24"/>
      <c r="K42" s="208" t="s">
        <v>66</v>
      </c>
      <c r="L42" s="208" t="s">
        <v>66</v>
      </c>
      <c r="M42" s="208" t="s">
        <v>66</v>
      </c>
      <c r="N42" s="208" t="s">
        <v>66</v>
      </c>
      <c r="O42" s="208" t="s">
        <v>66</v>
      </c>
      <c r="P42" s="208" t="s">
        <v>66</v>
      </c>
      <c r="Q42" s="208" t="s">
        <v>66</v>
      </c>
      <c r="R42" s="208" t="s">
        <v>66</v>
      </c>
      <c r="S42" s="208" t="s">
        <v>66</v>
      </c>
      <c r="T42" s="208" t="s">
        <v>66</v>
      </c>
      <c r="U42" s="208" t="s">
        <v>66</v>
      </c>
      <c r="V42" s="208" t="s">
        <v>66</v>
      </c>
      <c r="W42" s="208" t="s">
        <v>66</v>
      </c>
      <c r="X42" s="208" t="s">
        <v>66</v>
      </c>
      <c r="Y42" s="208" t="s">
        <v>66</v>
      </c>
      <c r="Z42" s="208" t="s">
        <v>66</v>
      </c>
      <c r="AA42" s="208" t="s">
        <v>66</v>
      </c>
      <c r="AB42" s="208" t="s">
        <v>66</v>
      </c>
      <c r="AC42" s="208" t="s">
        <v>66</v>
      </c>
      <c r="AD42" s="208" t="s">
        <v>66</v>
      </c>
      <c r="AE42" s="208" t="s">
        <v>66</v>
      </c>
      <c r="AF42" s="208" t="s">
        <v>66</v>
      </c>
      <c r="AG42" s="208" t="s">
        <v>66</v>
      </c>
      <c r="AH42" s="208" t="s">
        <v>66</v>
      </c>
      <c r="AI42" s="208" t="s">
        <v>66</v>
      </c>
    </row>
    <row r="43" spans="1:35" ht="15.75" thickBot="1">
      <c r="B43" s="12" t="s">
        <v>116</v>
      </c>
      <c r="C43" s="227"/>
      <c r="D43" s="215">
        <v>7829.5550643922115</v>
      </c>
      <c r="E43" s="216">
        <v>2170.444935607788</v>
      </c>
      <c r="F43" s="217"/>
      <c r="G43" s="232" t="s">
        <v>117</v>
      </c>
      <c r="H43" s="219">
        <v>98148.310973311294</v>
      </c>
      <c r="I43" s="220">
        <v>0.03</v>
      </c>
      <c r="J43" s="221">
        <v>0.01</v>
      </c>
      <c r="K43" s="222">
        <v>0</v>
      </c>
      <c r="L43" s="222">
        <v>0</v>
      </c>
      <c r="M43" s="222">
        <v>880.71846279524823</v>
      </c>
      <c r="N43" s="222">
        <v>2747.8416039211743</v>
      </c>
      <c r="O43" s="222">
        <v>7144.388170195054</v>
      </c>
      <c r="P43" s="222">
        <v>7430.1636970028567</v>
      </c>
      <c r="Q43" s="222">
        <v>7727.3702448829699</v>
      </c>
      <c r="R43" s="222">
        <v>10715.286739571053</v>
      </c>
      <c r="S43" s="222">
        <v>11143.898209153896</v>
      </c>
      <c r="T43" s="222">
        <v>11589.654137520052</v>
      </c>
      <c r="U43" s="222">
        <v>12053.240303020853</v>
      </c>
      <c r="V43" s="222">
        <v>12535.369915141691</v>
      </c>
      <c r="W43" s="222">
        <v>13036.784711747359</v>
      </c>
      <c r="X43" s="222">
        <v>13558.256100217253</v>
      </c>
      <c r="Y43" s="222">
        <v>14100.586344225943</v>
      </c>
      <c r="Z43" s="222">
        <v>14664.609797994983</v>
      </c>
      <c r="AA43" s="222">
        <v>15251.194189914782</v>
      </c>
      <c r="AB43" s="222">
        <v>15861.241957511376</v>
      </c>
      <c r="AC43" s="222">
        <v>16495.691635811829</v>
      </c>
      <c r="AD43" s="222">
        <v>17155.519301244305</v>
      </c>
      <c r="AE43" s="222">
        <v>17841.740073294081</v>
      </c>
      <c r="AF43" s="222">
        <v>4638.8524190564603</v>
      </c>
      <c r="AG43" s="222">
        <v>0</v>
      </c>
      <c r="AH43" s="222">
        <v>0</v>
      </c>
      <c r="AI43" s="222">
        <v>0</v>
      </c>
    </row>
    <row r="44" spans="1:35" ht="15.75" thickTop="1">
      <c r="B44" s="12" t="s">
        <v>118</v>
      </c>
      <c r="D44" s="206">
        <v>1477271.7430842908</v>
      </c>
      <c r="E44" s="207">
        <v>259750.54691570913</v>
      </c>
      <c r="H44" s="23">
        <v>18420356.047718164</v>
      </c>
      <c r="I44" s="23"/>
      <c r="J44" s="23"/>
      <c r="K44" s="23"/>
      <c r="L44" s="23">
        <v>0</v>
      </c>
      <c r="M44" s="23">
        <v>165292.17366663527</v>
      </c>
      <c r="N44" s="23">
        <v>515711.58183990204</v>
      </c>
      <c r="O44" s="23">
        <v>1340850.1127837454</v>
      </c>
      <c r="P44" s="23">
        <v>1394484.1172950952</v>
      </c>
      <c r="Q44" s="23">
        <v>1450263.4819868989</v>
      </c>
      <c r="R44" s="23">
        <v>2011032.0283551668</v>
      </c>
      <c r="S44" s="23">
        <v>2091473.3094893736</v>
      </c>
      <c r="T44" s="23">
        <v>2175132.2418689486</v>
      </c>
      <c r="U44" s="23">
        <v>2262137.5315437065</v>
      </c>
      <c r="V44" s="23">
        <v>2352623.0328054554</v>
      </c>
      <c r="W44" s="23">
        <v>2446727.9541176734</v>
      </c>
      <c r="X44" s="23">
        <v>2544597.0722823804</v>
      </c>
      <c r="Y44" s="23">
        <v>2646380.9551736754</v>
      </c>
      <c r="Z44" s="23">
        <v>2752236.1933806231</v>
      </c>
      <c r="AA44" s="23">
        <v>2862325.641115848</v>
      </c>
      <c r="AB44" s="23">
        <v>2976818.6667604819</v>
      </c>
      <c r="AC44" s="23">
        <v>3095891.4134309012</v>
      </c>
      <c r="AD44" s="23">
        <v>3219727.0699681379</v>
      </c>
      <c r="AE44" s="23">
        <v>3348516.1527668638</v>
      </c>
      <c r="AF44" s="23">
        <v>870614.19971938455</v>
      </c>
      <c r="AG44" s="23">
        <v>0</v>
      </c>
      <c r="AH44" s="23">
        <v>0</v>
      </c>
      <c r="AI44" s="23">
        <v>0</v>
      </c>
    </row>
    <row r="45" spans="1:35">
      <c r="D45" s="203"/>
      <c r="E45" s="204"/>
    </row>
    <row r="46" spans="1:35" ht="15.75" thickBot="1">
      <c r="C46" s="7"/>
      <c r="D46" s="233"/>
      <c r="E46" s="234"/>
      <c r="F46" s="196"/>
      <c r="G46" s="235"/>
      <c r="H46" s="235"/>
      <c r="I46" s="196"/>
      <c r="J46" s="19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row>
    <row r="47" spans="1:35">
      <c r="A47" t="s">
        <v>119</v>
      </c>
      <c r="D47" s="206">
        <v>4826775.6918227738</v>
      </c>
      <c r="E47" s="207">
        <v>922280.31321722583</v>
      </c>
      <c r="G47" s="12" t="s">
        <v>120</v>
      </c>
      <c r="H47" s="208">
        <v>59045423.35846632</v>
      </c>
      <c r="I47" s="208"/>
      <c r="J47" s="208"/>
      <c r="K47" s="208">
        <v>280175</v>
      </c>
      <c r="L47" s="208">
        <v>369752.77120000031</v>
      </c>
      <c r="M47" s="208">
        <v>580538.65811706323</v>
      </c>
      <c r="N47" s="208">
        <v>1652817.0334517234</v>
      </c>
      <c r="O47" s="208">
        <v>4295101.6957793366</v>
      </c>
      <c r="P47" s="208">
        <v>4464611.9934327714</v>
      </c>
      <c r="Q47" s="208">
        <v>4640829.2220941437</v>
      </c>
      <c r="R47" s="208">
        <v>6432025.709157981</v>
      </c>
      <c r="S47" s="208">
        <v>6685944.8415476931</v>
      </c>
      <c r="T47" s="208">
        <v>6949912.9419204406</v>
      </c>
      <c r="U47" s="208">
        <v>7224328.4782801382</v>
      </c>
      <c r="V47" s="208">
        <v>7509605.7431279421</v>
      </c>
      <c r="W47" s="208">
        <v>7806175.4826638978</v>
      </c>
      <c r="X47" s="208">
        <v>8114485.5510302968</v>
      </c>
      <c r="Y47" s="208">
        <v>8435001.5905941557</v>
      </c>
      <c r="Z47" s="208">
        <v>8768207.7393059209</v>
      </c>
      <c r="AA47" s="208">
        <v>9114607.366212938</v>
      </c>
      <c r="AB47" s="208">
        <v>9474723.8362491019</v>
      </c>
      <c r="AC47" s="208">
        <v>9849101.3054668829</v>
      </c>
      <c r="AD47" s="208">
        <v>10238305.547924332</v>
      </c>
      <c r="AE47" s="208">
        <v>10642924.815488093</v>
      </c>
      <c r="AF47" s="208">
        <v>2765892.6829658966</v>
      </c>
      <c r="AG47" s="208">
        <v>0</v>
      </c>
      <c r="AH47" s="208">
        <v>0</v>
      </c>
      <c r="AI47" s="208">
        <v>0</v>
      </c>
    </row>
    <row r="48" spans="1:35" ht="33">
      <c r="B48" s="12" t="s">
        <v>121</v>
      </c>
      <c r="D48" s="203"/>
      <c r="E48" s="204"/>
      <c r="H48" s="98"/>
      <c r="O48" s="430"/>
      <c r="P48" s="174"/>
      <c r="Q48" s="174"/>
    </row>
    <row r="49" spans="1:37">
      <c r="D49" s="203"/>
      <c r="E49" s="204"/>
    </row>
    <row r="50" spans="1:37">
      <c r="D50" s="203"/>
      <c r="E50" s="204"/>
    </row>
    <row r="51" spans="1:37">
      <c r="A51" t="s">
        <v>122</v>
      </c>
      <c r="D51" s="203"/>
      <c r="E51" s="204"/>
    </row>
    <row r="52" spans="1:37" ht="30">
      <c r="B52" t="s">
        <v>123</v>
      </c>
      <c r="C52" s="16">
        <v>4650000</v>
      </c>
      <c r="D52" s="237">
        <v>4650000</v>
      </c>
      <c r="E52" s="238"/>
      <c r="G52" s="12" t="s">
        <v>124</v>
      </c>
    </row>
    <row r="53" spans="1:37">
      <c r="D53" s="203"/>
      <c r="E53" s="204"/>
    </row>
    <row r="54" spans="1:37" ht="30">
      <c r="A54" t="s">
        <v>125</v>
      </c>
      <c r="D54" s="230">
        <v>1.0380162778113493</v>
      </c>
      <c r="E54" s="239"/>
      <c r="G54" s="12" t="s">
        <v>126</v>
      </c>
    </row>
    <row r="55" spans="1:37">
      <c r="D55" s="203"/>
      <c r="E55" s="204"/>
    </row>
    <row r="56" spans="1:37">
      <c r="A56" t="s">
        <v>127</v>
      </c>
      <c r="D56" s="230">
        <v>0.54988443117140084</v>
      </c>
      <c r="E56" s="239"/>
      <c r="G56" s="12" t="s">
        <v>128</v>
      </c>
    </row>
    <row r="61" spans="1:37" s="463" customFormat="1">
      <c r="A61" s="546">
        <v>1</v>
      </c>
      <c r="B61" s="463" t="s">
        <v>129</v>
      </c>
      <c r="F61" s="546"/>
      <c r="G61" s="556"/>
      <c r="I61" s="546"/>
      <c r="J61" s="546"/>
      <c r="K61" s="546"/>
      <c r="L61" s="546"/>
      <c r="M61" s="546"/>
      <c r="N61" s="546"/>
      <c r="O61" s="546"/>
      <c r="P61" s="546"/>
      <c r="Q61" s="546"/>
      <c r="R61" s="546"/>
      <c r="S61" s="546"/>
      <c r="T61" s="546"/>
      <c r="U61" s="546"/>
      <c r="V61" s="546"/>
      <c r="W61" s="546"/>
      <c r="X61" s="546"/>
      <c r="Y61" s="546"/>
      <c r="Z61" s="546"/>
      <c r="AA61" s="546"/>
      <c r="AB61" s="546"/>
      <c r="AC61" s="546"/>
      <c r="AD61" s="546"/>
      <c r="AE61" s="546"/>
      <c r="AF61" s="546"/>
      <c r="AG61" s="546"/>
      <c r="AH61" s="546"/>
      <c r="AI61" s="546"/>
    </row>
    <row r="62" spans="1:37" s="463" customFormat="1" ht="15" customHeight="1">
      <c r="B62" s="601" t="s">
        <v>130</v>
      </c>
      <c r="C62" s="601"/>
      <c r="D62" s="601"/>
      <c r="E62" s="557"/>
      <c r="F62" s="557"/>
      <c r="G62" s="557"/>
      <c r="H62" s="557"/>
      <c r="I62" s="557"/>
      <c r="J62" s="557"/>
      <c r="K62" s="557"/>
      <c r="L62" s="557"/>
      <c r="M62" s="557"/>
      <c r="N62" s="557"/>
      <c r="O62" s="557"/>
      <c r="P62" s="557"/>
      <c r="Q62" s="557"/>
      <c r="R62" s="557"/>
      <c r="S62" s="557"/>
      <c r="T62" s="557"/>
      <c r="U62" s="557"/>
      <c r="V62" s="557"/>
      <c r="W62" s="557"/>
      <c r="X62" s="558"/>
      <c r="Y62" s="558"/>
      <c r="Z62" s="558"/>
      <c r="AA62" s="546"/>
      <c r="AB62" s="546"/>
      <c r="AC62" s="546"/>
      <c r="AD62" s="546"/>
      <c r="AE62" s="546"/>
      <c r="AF62" s="546"/>
      <c r="AG62" s="546"/>
      <c r="AH62" s="546"/>
      <c r="AI62" s="546"/>
    </row>
    <row r="63" spans="1:37" s="463" customFormat="1">
      <c r="B63" s="552" t="s">
        <v>131</v>
      </c>
      <c r="C63" s="553">
        <v>1186907</v>
      </c>
      <c r="D63" s="553">
        <f>SUM(K63:AF63)</f>
        <v>3057897</v>
      </c>
      <c r="E63" s="554">
        <v>0</v>
      </c>
      <c r="F63" s="554"/>
      <c r="G63" s="556"/>
      <c r="I63" s="546"/>
      <c r="J63" s="546"/>
      <c r="K63" s="546"/>
      <c r="L63" s="546"/>
      <c r="M63" s="554"/>
      <c r="N63" s="554"/>
      <c r="O63" s="554"/>
      <c r="P63" s="554">
        <v>65910</v>
      </c>
      <c r="Q63" s="554">
        <v>137093</v>
      </c>
      <c r="R63" s="554">
        <v>142577</v>
      </c>
      <c r="S63" s="554">
        <v>148280</v>
      </c>
      <c r="T63" s="554">
        <v>154211</v>
      </c>
      <c r="U63" s="554">
        <v>160379</v>
      </c>
      <c r="V63" s="554">
        <v>166794</v>
      </c>
      <c r="W63" s="554">
        <v>173466</v>
      </c>
      <c r="X63" s="554">
        <v>180405</v>
      </c>
      <c r="Y63" s="554">
        <v>187621</v>
      </c>
      <c r="Z63" s="554">
        <v>195126</v>
      </c>
      <c r="AA63" s="554">
        <v>202931</v>
      </c>
      <c r="AB63" s="554">
        <v>211048</v>
      </c>
      <c r="AC63" s="554">
        <v>219490</v>
      </c>
      <c r="AD63" s="554">
        <v>228270</v>
      </c>
      <c r="AE63" s="554">
        <v>237400</v>
      </c>
      <c r="AF63" s="554">
        <v>246896</v>
      </c>
      <c r="AG63" s="546"/>
      <c r="AH63" s="546"/>
      <c r="AI63" s="546"/>
      <c r="AJ63" s="546"/>
      <c r="AK63" s="546"/>
    </row>
    <row r="64" spans="1:37" s="463" customFormat="1">
      <c r="B64" s="552" t="s">
        <v>132</v>
      </c>
      <c r="C64" s="553">
        <v>475361</v>
      </c>
      <c r="D64" s="553">
        <f>SUM(K64:AF64)</f>
        <v>831600</v>
      </c>
      <c r="E64" s="557"/>
      <c r="F64" s="557"/>
      <c r="G64" s="556"/>
      <c r="I64" s="546"/>
      <c r="J64" s="546"/>
      <c r="K64" s="546"/>
      <c r="L64" s="546"/>
      <c r="M64" s="557"/>
      <c r="N64" s="557"/>
      <c r="O64" s="557"/>
      <c r="P64" s="554">
        <v>25200</v>
      </c>
      <c r="Q64" s="554">
        <v>50400</v>
      </c>
      <c r="R64" s="554">
        <v>50400</v>
      </c>
      <c r="S64" s="554">
        <v>50400</v>
      </c>
      <c r="T64" s="554">
        <v>50400</v>
      </c>
      <c r="U64" s="554">
        <v>50400</v>
      </c>
      <c r="V64" s="554">
        <v>50400</v>
      </c>
      <c r="W64" s="554">
        <v>50400</v>
      </c>
      <c r="X64" s="554">
        <v>50400</v>
      </c>
      <c r="Y64" s="554">
        <v>50400</v>
      </c>
      <c r="Z64" s="554">
        <v>50400</v>
      </c>
      <c r="AA64" s="554">
        <v>50400</v>
      </c>
      <c r="AB64" s="554">
        <v>50400</v>
      </c>
      <c r="AC64" s="554">
        <v>50400</v>
      </c>
      <c r="AD64" s="554">
        <v>50400</v>
      </c>
      <c r="AE64" s="554">
        <v>50400</v>
      </c>
      <c r="AF64" s="554">
        <v>50400</v>
      </c>
      <c r="AG64" s="546"/>
      <c r="AH64" s="546"/>
      <c r="AI64" s="546"/>
      <c r="AJ64" s="546"/>
      <c r="AK64" s="546"/>
    </row>
    <row r="65" spans="2:35" s="463" customFormat="1">
      <c r="B65" s="552" t="s">
        <v>30</v>
      </c>
      <c r="C65" s="553">
        <f>SUM(C63:C64)</f>
        <v>1662268</v>
      </c>
      <c r="D65" s="553">
        <f>SUM(D63:D64)</f>
        <v>3889497</v>
      </c>
      <c r="F65" s="546"/>
      <c r="G65" s="556"/>
      <c r="I65" s="546"/>
      <c r="J65" s="546"/>
      <c r="K65" s="546"/>
      <c r="L65" s="546"/>
      <c r="M65" s="546"/>
      <c r="N65" s="546"/>
      <c r="O65" s="546"/>
      <c r="P65" s="559">
        <f t="shared" ref="P65:AF65" si="0">SUM(P63:P64)</f>
        <v>91110</v>
      </c>
      <c r="Q65" s="559">
        <f t="shared" si="0"/>
        <v>187493</v>
      </c>
      <c r="R65" s="559">
        <f t="shared" si="0"/>
        <v>192977</v>
      </c>
      <c r="S65" s="559">
        <f t="shared" si="0"/>
        <v>198680</v>
      </c>
      <c r="T65" s="559">
        <f t="shared" si="0"/>
        <v>204611</v>
      </c>
      <c r="U65" s="559">
        <f t="shared" si="0"/>
        <v>210779</v>
      </c>
      <c r="V65" s="559">
        <f t="shared" si="0"/>
        <v>217194</v>
      </c>
      <c r="W65" s="559">
        <f t="shared" si="0"/>
        <v>223866</v>
      </c>
      <c r="X65" s="559">
        <f t="shared" si="0"/>
        <v>230805</v>
      </c>
      <c r="Y65" s="559">
        <f t="shared" si="0"/>
        <v>238021</v>
      </c>
      <c r="Z65" s="559">
        <f t="shared" si="0"/>
        <v>245526</v>
      </c>
      <c r="AA65" s="559">
        <f t="shared" si="0"/>
        <v>253331</v>
      </c>
      <c r="AB65" s="559">
        <f t="shared" si="0"/>
        <v>261448</v>
      </c>
      <c r="AC65" s="559">
        <f t="shared" si="0"/>
        <v>269890</v>
      </c>
      <c r="AD65" s="559">
        <f t="shared" si="0"/>
        <v>278670</v>
      </c>
      <c r="AE65" s="559">
        <f t="shared" si="0"/>
        <v>287800</v>
      </c>
      <c r="AF65" s="559">
        <f t="shared" si="0"/>
        <v>297296</v>
      </c>
      <c r="AG65" s="546"/>
      <c r="AH65" s="546"/>
      <c r="AI65" s="546"/>
    </row>
  </sheetData>
  <mergeCells count="1">
    <mergeCell ref="B62:D62"/>
  </mergeCells>
  <hyperlinks>
    <hyperlink ref="A1" location="Summary_RealizationSchedule!A1" display="Back to Summary" xr:uid="{00000000-0004-0000-0400-000000000000}"/>
  </hyperlink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09FF78"/>
  </sheetPr>
  <dimension ref="A1:AK38"/>
  <sheetViews>
    <sheetView workbookViewId="0">
      <selection activeCell="F25" sqref="F25"/>
    </sheetView>
  </sheetViews>
  <sheetFormatPr defaultRowHeight="15"/>
  <cols>
    <col min="1" max="1" width="7.5703125" customWidth="1"/>
    <col min="2" max="2" width="57.5703125" bestFit="1" customWidth="1"/>
    <col min="3" max="4" width="11.5703125" bestFit="1" customWidth="1"/>
    <col min="5" max="5" width="2.7109375" customWidth="1"/>
    <col min="6" max="6" width="47.5703125" bestFit="1" customWidth="1"/>
    <col min="7" max="7" width="14.28515625" bestFit="1" customWidth="1"/>
    <col min="8" max="8" width="9.140625" style="19"/>
    <col min="9" max="9" width="10.140625" style="19" customWidth="1"/>
    <col min="10" max="10" width="13.28515625" style="19" bestFit="1" customWidth="1"/>
    <col min="11" max="25" width="11.5703125" style="19" bestFit="1" customWidth="1"/>
    <col min="26" max="27" width="12.5703125" style="19" bestFit="1" customWidth="1"/>
    <col min="28" max="28" width="11.5703125" style="19" bestFit="1" customWidth="1"/>
    <col min="29" max="34" width="10.5703125" style="19" bestFit="1" customWidth="1"/>
  </cols>
  <sheetData>
    <row r="1" spans="1:37">
      <c r="A1" s="9" t="s">
        <v>55</v>
      </c>
    </row>
    <row r="2" spans="1:37">
      <c r="G2" t="s">
        <v>58</v>
      </c>
      <c r="J2" s="19">
        <v>0</v>
      </c>
      <c r="K2" s="19">
        <v>0</v>
      </c>
      <c r="L2" s="19">
        <v>0</v>
      </c>
      <c r="M2" s="19">
        <v>0.3</v>
      </c>
      <c r="N2" s="19">
        <v>0.75</v>
      </c>
      <c r="O2" s="19">
        <v>0.75</v>
      </c>
      <c r="P2" s="19">
        <v>0.75</v>
      </c>
      <c r="Q2" s="19">
        <v>1</v>
      </c>
      <c r="R2" s="19">
        <v>1</v>
      </c>
      <c r="S2" s="19">
        <v>1</v>
      </c>
      <c r="T2" s="19">
        <v>1</v>
      </c>
      <c r="U2" s="19">
        <v>1</v>
      </c>
      <c r="V2" s="19">
        <v>1</v>
      </c>
      <c r="W2" s="19">
        <v>1</v>
      </c>
      <c r="X2" s="19">
        <v>1</v>
      </c>
      <c r="Y2" s="19">
        <v>1</v>
      </c>
      <c r="Z2" s="19">
        <v>1</v>
      </c>
      <c r="AA2" s="19">
        <v>1</v>
      </c>
      <c r="AB2" s="19">
        <v>1</v>
      </c>
      <c r="AC2" s="19">
        <v>1</v>
      </c>
      <c r="AD2" s="19">
        <v>1</v>
      </c>
      <c r="AE2" s="19">
        <v>0.25</v>
      </c>
      <c r="AF2" s="19">
        <v>0</v>
      </c>
      <c r="AG2" s="19">
        <v>0</v>
      </c>
      <c r="AH2" s="19">
        <v>0</v>
      </c>
    </row>
    <row r="3" spans="1:37" ht="46.5">
      <c r="A3" s="10" t="s">
        <v>8</v>
      </c>
      <c r="F3" s="11" t="s">
        <v>57</v>
      </c>
      <c r="G3" s="19" t="s">
        <v>4</v>
      </c>
      <c r="H3" s="202" t="s">
        <v>62</v>
      </c>
      <c r="I3" s="202" t="s">
        <v>63</v>
      </c>
      <c r="J3" s="19">
        <v>2016</v>
      </c>
      <c r="K3" s="19">
        <v>2017</v>
      </c>
      <c r="L3" s="19">
        <v>2018</v>
      </c>
      <c r="M3" s="19">
        <v>2019</v>
      </c>
      <c r="N3" s="19">
        <v>2020</v>
      </c>
      <c r="O3" s="19">
        <v>2021</v>
      </c>
      <c r="P3" s="19">
        <v>2022</v>
      </c>
      <c r="Q3" s="19">
        <v>2023</v>
      </c>
      <c r="R3" s="19">
        <v>2024</v>
      </c>
      <c r="S3" s="19">
        <v>2025</v>
      </c>
      <c r="T3" s="19">
        <v>2026</v>
      </c>
      <c r="U3" s="19">
        <v>2027</v>
      </c>
      <c r="V3" s="19">
        <v>2028</v>
      </c>
      <c r="W3" s="19">
        <v>2029</v>
      </c>
      <c r="X3" s="19">
        <v>2030</v>
      </c>
      <c r="Y3" s="19">
        <v>2031</v>
      </c>
      <c r="Z3" s="19">
        <v>2032</v>
      </c>
      <c r="AA3" s="19">
        <v>2033</v>
      </c>
      <c r="AB3" s="19">
        <v>2034</v>
      </c>
      <c r="AC3" s="19">
        <v>2035</v>
      </c>
      <c r="AD3" s="19">
        <v>2036</v>
      </c>
      <c r="AE3" s="19">
        <v>2037</v>
      </c>
      <c r="AF3" s="19">
        <v>2038</v>
      </c>
      <c r="AG3" s="19">
        <v>2039</v>
      </c>
      <c r="AH3" s="19">
        <v>2040</v>
      </c>
    </row>
    <row r="4" spans="1:37">
      <c r="F4" s="12"/>
      <c r="G4" s="12"/>
      <c r="J4" s="19" t="s">
        <v>66</v>
      </c>
    </row>
    <row r="5" spans="1:37">
      <c r="A5" t="s">
        <v>59</v>
      </c>
      <c r="F5" s="12"/>
      <c r="G5" s="12"/>
      <c r="J5" s="19" t="s">
        <v>66</v>
      </c>
    </row>
    <row r="6" spans="1:37" ht="15.75">
      <c r="B6" s="34" t="s">
        <v>133</v>
      </c>
      <c r="C6" s="26">
        <v>7740.5714285714284</v>
      </c>
      <c r="F6" s="12"/>
      <c r="G6" s="12"/>
      <c r="J6" s="22" t="s">
        <v>66</v>
      </c>
      <c r="K6" s="22" t="s">
        <v>66</v>
      </c>
      <c r="L6" s="22" t="s">
        <v>66</v>
      </c>
      <c r="M6" s="22" t="s">
        <v>66</v>
      </c>
      <c r="N6" s="22" t="s">
        <v>66</v>
      </c>
      <c r="O6" s="22" t="s">
        <v>66</v>
      </c>
      <c r="P6" s="22" t="s">
        <v>66</v>
      </c>
      <c r="Q6" s="22" t="s">
        <v>66</v>
      </c>
      <c r="R6" s="22" t="s">
        <v>66</v>
      </c>
      <c r="S6" s="22" t="s">
        <v>66</v>
      </c>
      <c r="T6" s="22" t="s">
        <v>66</v>
      </c>
      <c r="U6" s="22" t="s">
        <v>66</v>
      </c>
      <c r="V6" s="22" t="s">
        <v>66</v>
      </c>
      <c r="W6" s="22" t="s">
        <v>66</v>
      </c>
      <c r="X6" s="22" t="s">
        <v>66</v>
      </c>
      <c r="Y6" s="22" t="s">
        <v>66</v>
      </c>
      <c r="Z6" s="22" t="s">
        <v>66</v>
      </c>
      <c r="AA6" s="22" t="s">
        <v>66</v>
      </c>
      <c r="AB6" s="22" t="s">
        <v>66</v>
      </c>
      <c r="AC6" s="22" t="s">
        <v>66</v>
      </c>
      <c r="AD6" s="22" t="s">
        <v>66</v>
      </c>
      <c r="AE6" s="22" t="s">
        <v>66</v>
      </c>
      <c r="AF6" s="22" t="s">
        <v>66</v>
      </c>
      <c r="AG6" s="22" t="s">
        <v>66</v>
      </c>
      <c r="AH6" s="22" t="s">
        <v>66</v>
      </c>
    </row>
    <row r="7" spans="1:37" ht="15.75">
      <c r="B7" s="34" t="s">
        <v>134</v>
      </c>
      <c r="C7" s="28">
        <v>4.75</v>
      </c>
      <c r="D7" s="14"/>
      <c r="F7" s="12"/>
      <c r="G7" s="23"/>
      <c r="H7" s="20">
        <v>0.03</v>
      </c>
      <c r="I7" s="24">
        <v>7.0000000000000001E-3</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0</v>
      </c>
      <c r="AH7" s="22">
        <v>0</v>
      </c>
    </row>
    <row r="8" spans="1:37" ht="15.75">
      <c r="B8" s="34" t="s">
        <v>135</v>
      </c>
      <c r="C8" s="28">
        <v>0.66</v>
      </c>
      <c r="F8" s="12"/>
      <c r="G8" s="23" t="s">
        <v>66</v>
      </c>
      <c r="J8" s="22" t="s">
        <v>66</v>
      </c>
      <c r="K8" s="22" t="s">
        <v>66</v>
      </c>
      <c r="L8" s="22" t="s">
        <v>66</v>
      </c>
      <c r="M8" s="22" t="s">
        <v>66</v>
      </c>
      <c r="N8" s="22" t="s">
        <v>66</v>
      </c>
      <c r="O8" s="22" t="s">
        <v>66</v>
      </c>
      <c r="P8" s="22" t="s">
        <v>66</v>
      </c>
      <c r="Q8" s="22" t="s">
        <v>66</v>
      </c>
      <c r="R8" s="22" t="s">
        <v>66</v>
      </c>
      <c r="S8" s="22" t="s">
        <v>66</v>
      </c>
      <c r="T8" s="22" t="s">
        <v>66</v>
      </c>
      <c r="U8" s="22" t="s">
        <v>66</v>
      </c>
      <c r="V8" s="22" t="s">
        <v>66</v>
      </c>
      <c r="W8" s="22" t="s">
        <v>66</v>
      </c>
      <c r="X8" s="22" t="s">
        <v>66</v>
      </c>
      <c r="Y8" s="22" t="s">
        <v>66</v>
      </c>
      <c r="Z8" s="22" t="s">
        <v>66</v>
      </c>
      <c r="AA8" s="22" t="s">
        <v>66</v>
      </c>
      <c r="AB8" s="22" t="s">
        <v>66</v>
      </c>
      <c r="AC8" s="22" t="s">
        <v>66</v>
      </c>
      <c r="AD8" s="22" t="s">
        <v>66</v>
      </c>
      <c r="AE8" s="22" t="s">
        <v>66</v>
      </c>
      <c r="AF8" s="22" t="s">
        <v>66</v>
      </c>
      <c r="AG8" s="22" t="s">
        <v>66</v>
      </c>
      <c r="AH8" s="22" t="s">
        <v>66</v>
      </c>
    </row>
    <row r="9" spans="1:37" ht="15.75">
      <c r="B9" s="34" t="s">
        <v>136</v>
      </c>
      <c r="C9" s="505">
        <v>3.8000000000000003</v>
      </c>
      <c r="D9" s="13">
        <v>29414.17142857143</v>
      </c>
      <c r="F9" s="12" t="s">
        <v>137</v>
      </c>
      <c r="G9" s="23">
        <v>352241.80025487399</v>
      </c>
      <c r="H9" s="20">
        <v>0.03</v>
      </c>
      <c r="I9" s="24">
        <v>7.0000000000000001E-3</v>
      </c>
      <c r="J9" s="22">
        <v>0</v>
      </c>
      <c r="K9" s="22">
        <v>0</v>
      </c>
      <c r="L9" s="22">
        <v>0</v>
      </c>
      <c r="M9" s="22">
        <v>10204.527478532609</v>
      </c>
      <c r="N9" s="22">
        <v>26455.237488095787</v>
      </c>
      <c r="O9" s="22">
        <v>27434.081275155331</v>
      </c>
      <c r="P9" s="22">
        <v>28449.142282336084</v>
      </c>
      <c r="Q9" s="22">
        <v>39335.680729043343</v>
      </c>
      <c r="R9" s="22">
        <v>40791.100916017946</v>
      </c>
      <c r="S9" s="22">
        <v>42300.371649910609</v>
      </c>
      <c r="T9" s="22">
        <v>43865.485400957303</v>
      </c>
      <c r="U9" s="22">
        <v>45488.508360792715</v>
      </c>
      <c r="V9" s="22">
        <v>47171.583170142047</v>
      </c>
      <c r="W9" s="22">
        <v>48916.931747437287</v>
      </c>
      <c r="X9" s="22">
        <v>50726.858222092473</v>
      </c>
      <c r="Y9" s="22">
        <v>52603.751976309883</v>
      </c>
      <c r="Z9" s="22">
        <v>54550.090799433347</v>
      </c>
      <c r="AA9" s="22">
        <v>56568.444159012375</v>
      </c>
      <c r="AB9" s="22">
        <v>58661.476592895837</v>
      </c>
      <c r="AC9" s="22">
        <v>60831.951226832964</v>
      </c>
      <c r="AD9" s="22">
        <v>63082.733422225792</v>
      </c>
      <c r="AE9" s="22">
        <v>14090.148535775272</v>
      </c>
      <c r="AF9" s="22">
        <v>0</v>
      </c>
      <c r="AG9" s="22">
        <v>0</v>
      </c>
      <c r="AH9" s="22">
        <v>0</v>
      </c>
    </row>
    <row r="10" spans="1:37" ht="15.75">
      <c r="B10" s="34" t="s">
        <v>138</v>
      </c>
      <c r="C10" s="27">
        <v>29414.17142857143</v>
      </c>
      <c r="D10" s="36">
        <v>29414.17142857143</v>
      </c>
      <c r="F10" s="12" t="s">
        <v>128</v>
      </c>
      <c r="G10" s="23" t="s">
        <v>66</v>
      </c>
      <c r="J10" s="22" t="s">
        <v>66</v>
      </c>
      <c r="K10" s="22" t="s">
        <v>66</v>
      </c>
      <c r="L10" s="22" t="s">
        <v>66</v>
      </c>
      <c r="M10" s="22" t="s">
        <v>66</v>
      </c>
      <c r="N10" s="22" t="s">
        <v>66</v>
      </c>
      <c r="O10" s="22" t="s">
        <v>66</v>
      </c>
      <c r="P10" s="22" t="s">
        <v>66</v>
      </c>
      <c r="Q10" s="22" t="s">
        <v>66</v>
      </c>
      <c r="R10" s="22" t="s">
        <v>66</v>
      </c>
      <c r="S10" s="22" t="s">
        <v>66</v>
      </c>
      <c r="T10" s="22" t="s">
        <v>66</v>
      </c>
      <c r="U10" s="22" t="s">
        <v>66</v>
      </c>
      <c r="V10" s="22" t="s">
        <v>66</v>
      </c>
      <c r="W10" s="22" t="s">
        <v>66</v>
      </c>
      <c r="X10" s="22" t="s">
        <v>66</v>
      </c>
      <c r="Y10" s="22" t="s">
        <v>66</v>
      </c>
      <c r="Z10" s="22" t="s">
        <v>66</v>
      </c>
      <c r="AA10" s="22" t="s">
        <v>66</v>
      </c>
      <c r="AB10" s="22" t="s">
        <v>66</v>
      </c>
      <c r="AC10" s="22" t="s">
        <v>66</v>
      </c>
      <c r="AD10" s="22" t="s">
        <v>66</v>
      </c>
      <c r="AE10" s="22" t="s">
        <v>66</v>
      </c>
      <c r="AF10" s="22" t="s">
        <v>66</v>
      </c>
      <c r="AG10" s="22" t="s">
        <v>66</v>
      </c>
      <c r="AH10" s="22" t="s">
        <v>66</v>
      </c>
    </row>
    <row r="11" spans="1:37" ht="15.75">
      <c r="B11" s="34" t="s">
        <v>139</v>
      </c>
      <c r="C11" s="505">
        <v>2.4437499999999996</v>
      </c>
      <c r="D11" s="14">
        <v>18916.021428571425</v>
      </c>
      <c r="F11" s="12" t="s">
        <v>140</v>
      </c>
      <c r="G11" s="23">
        <v>226893.53610604347</v>
      </c>
      <c r="H11" s="20">
        <v>0.03</v>
      </c>
      <c r="I11" s="24">
        <v>7.0000000000000001E-3</v>
      </c>
      <c r="J11" s="22">
        <v>0</v>
      </c>
      <c r="K11" s="22">
        <v>0</v>
      </c>
      <c r="L11" s="22">
        <v>0</v>
      </c>
      <c r="M11" s="22">
        <v>6562.4510593852783</v>
      </c>
      <c r="N11" s="22">
        <v>17013.154371456334</v>
      </c>
      <c r="O11" s="22">
        <v>17642.641083200218</v>
      </c>
      <c r="P11" s="22">
        <v>18295.418803278626</v>
      </c>
      <c r="Q11" s="22">
        <v>25296.46573199991</v>
      </c>
      <c r="R11" s="22">
        <v>26232.434964083903</v>
      </c>
      <c r="S11" s="22">
        <v>27203.035057755005</v>
      </c>
      <c r="T11" s="22">
        <v>28209.54735489194</v>
      </c>
      <c r="U11" s="22">
        <v>29253.300607022938</v>
      </c>
      <c r="V11" s="22">
        <v>30335.672729482787</v>
      </c>
      <c r="W11" s="22">
        <v>31458.092620473642</v>
      </c>
      <c r="X11" s="22">
        <v>32622.042047431169</v>
      </c>
      <c r="Y11" s="22">
        <v>33829.05760318612</v>
      </c>
      <c r="Z11" s="22">
        <v>35080.732734504003</v>
      </c>
      <c r="AA11" s="22">
        <v>36378.719845680651</v>
      </c>
      <c r="AB11" s="22">
        <v>37724.732479970829</v>
      </c>
      <c r="AC11" s="22">
        <v>39120.547581729741</v>
      </c>
      <c r="AD11" s="22">
        <v>40568.007842253748</v>
      </c>
      <c r="AE11" s="22">
        <v>10517.256033104282</v>
      </c>
      <c r="AF11" s="22">
        <v>0</v>
      </c>
      <c r="AG11" s="22">
        <v>0</v>
      </c>
      <c r="AH11" s="22">
        <v>0</v>
      </c>
    </row>
    <row r="12" spans="1:37" ht="15.75">
      <c r="B12" s="34" t="s">
        <v>141</v>
      </c>
      <c r="C12" s="27">
        <v>15481.142857142857</v>
      </c>
      <c r="F12" s="12"/>
      <c r="G12" s="23" t="s">
        <v>66</v>
      </c>
      <c r="J12" s="22" t="s">
        <v>66</v>
      </c>
      <c r="K12" s="22" t="s">
        <v>66</v>
      </c>
      <c r="L12" s="22" t="s">
        <v>66</v>
      </c>
      <c r="M12" s="22" t="s">
        <v>66</v>
      </c>
      <c r="N12" s="22" t="s">
        <v>66</v>
      </c>
      <c r="O12" s="22" t="s">
        <v>66</v>
      </c>
      <c r="P12" s="22" t="s">
        <v>66</v>
      </c>
      <c r="Q12" s="22" t="s">
        <v>66</v>
      </c>
      <c r="R12" s="22" t="s">
        <v>66</v>
      </c>
      <c r="S12" s="22" t="s">
        <v>66</v>
      </c>
      <c r="T12" s="22" t="s">
        <v>66</v>
      </c>
      <c r="U12" s="22" t="s">
        <v>66</v>
      </c>
      <c r="V12" s="22" t="s">
        <v>66</v>
      </c>
      <c r="W12" s="22" t="s">
        <v>66</v>
      </c>
      <c r="X12" s="22" t="s">
        <v>66</v>
      </c>
      <c r="Y12" s="22" t="s">
        <v>66</v>
      </c>
      <c r="Z12" s="22" t="s">
        <v>66</v>
      </c>
      <c r="AA12" s="22" t="s">
        <v>66</v>
      </c>
      <c r="AB12" s="22" t="s">
        <v>66</v>
      </c>
      <c r="AC12" s="22" t="s">
        <v>66</v>
      </c>
      <c r="AD12" s="22" t="s">
        <v>66</v>
      </c>
      <c r="AE12" s="22" t="s">
        <v>66</v>
      </c>
      <c r="AF12" s="22" t="s">
        <v>66</v>
      </c>
      <c r="AG12" s="22" t="s">
        <v>66</v>
      </c>
      <c r="AH12" s="22" t="s">
        <v>66</v>
      </c>
    </row>
    <row r="13" spans="1:37">
      <c r="A13" t="s">
        <v>119</v>
      </c>
      <c r="D13" s="521">
        <v>48330.192857142858</v>
      </c>
      <c r="F13" s="12" t="s">
        <v>120</v>
      </c>
      <c r="G13" s="23">
        <v>372120.05610758282</v>
      </c>
      <c r="H13" s="19">
        <v>0</v>
      </c>
      <c r="I13" s="19">
        <v>0</v>
      </c>
      <c r="J13" s="22">
        <v>0</v>
      </c>
      <c r="K13" s="22">
        <v>0</v>
      </c>
      <c r="L13" s="22">
        <v>0</v>
      </c>
      <c r="M13" s="22">
        <v>14499.057857142858</v>
      </c>
      <c r="N13" s="22">
        <v>36247.644642857143</v>
      </c>
      <c r="O13" s="22">
        <v>36247.644642857143</v>
      </c>
      <c r="P13" s="22">
        <v>36247.644642857143</v>
      </c>
      <c r="Q13" s="22">
        <v>48330.192857142858</v>
      </c>
      <c r="R13" s="22">
        <v>48330.192857142858</v>
      </c>
      <c r="S13" s="22">
        <v>48330.192857142858</v>
      </c>
      <c r="T13" s="22">
        <v>48330.192857142858</v>
      </c>
      <c r="U13" s="22">
        <v>48330.192857142858</v>
      </c>
      <c r="V13" s="22">
        <v>48330.192857142858</v>
      </c>
      <c r="W13" s="22">
        <v>48330.192857142858</v>
      </c>
      <c r="X13" s="22">
        <v>48330.192857142858</v>
      </c>
      <c r="Y13" s="22">
        <v>48330.192857142858</v>
      </c>
      <c r="Z13" s="22">
        <v>48330.192857142858</v>
      </c>
      <c r="AA13" s="22">
        <v>48330.192857142858</v>
      </c>
      <c r="AB13" s="22">
        <v>48330.192857142858</v>
      </c>
      <c r="AC13" s="22">
        <v>48330.192857142858</v>
      </c>
      <c r="AD13" s="22">
        <v>48330.192857142858</v>
      </c>
      <c r="AE13" s="22">
        <v>12082.548214285714</v>
      </c>
      <c r="AF13" s="22">
        <v>0</v>
      </c>
      <c r="AG13" s="22">
        <v>0</v>
      </c>
      <c r="AH13" s="22">
        <v>0</v>
      </c>
    </row>
    <row r="14" spans="1:37">
      <c r="F14" s="12"/>
      <c r="G14" s="1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7">
      <c r="B15" s="552" t="s">
        <v>142</v>
      </c>
      <c r="C15" s="552"/>
      <c r="D15" s="552"/>
      <c r="E15" s="539"/>
      <c r="F15" s="554" t="s">
        <v>143</v>
      </c>
      <c r="G15" s="553">
        <v>13025</v>
      </c>
      <c r="H15" s="463"/>
      <c r="I15" s="463"/>
      <c r="J15" s="546">
        <v>0</v>
      </c>
      <c r="K15" s="546">
        <v>0</v>
      </c>
      <c r="L15" s="546">
        <v>0</v>
      </c>
      <c r="M15" s="546">
        <v>0</v>
      </c>
      <c r="N15" s="546">
        <v>0</v>
      </c>
      <c r="O15" s="546">
        <v>0</v>
      </c>
      <c r="P15" s="554">
        <v>1475</v>
      </c>
      <c r="Q15" s="554">
        <v>1475</v>
      </c>
      <c r="R15" s="554">
        <v>1967</v>
      </c>
      <c r="S15" s="554">
        <v>1967</v>
      </c>
      <c r="T15" s="554">
        <v>1967</v>
      </c>
      <c r="U15" s="554">
        <v>1967</v>
      </c>
      <c r="V15" s="554">
        <v>1967</v>
      </c>
      <c r="W15" s="554">
        <v>1967</v>
      </c>
      <c r="X15" s="554">
        <v>1967</v>
      </c>
      <c r="Y15" s="554">
        <v>1967</v>
      </c>
      <c r="Z15" s="554">
        <v>1967</v>
      </c>
      <c r="AA15" s="554">
        <v>1967</v>
      </c>
      <c r="AB15" s="554">
        <v>1967</v>
      </c>
      <c r="AC15" s="554">
        <v>1967</v>
      </c>
      <c r="AD15" s="554">
        <v>1967</v>
      </c>
      <c r="AE15" s="554">
        <v>1967</v>
      </c>
      <c r="AF15" s="554">
        <v>492</v>
      </c>
      <c r="AI15" s="19"/>
      <c r="AJ15" s="19"/>
      <c r="AK15" s="19"/>
    </row>
    <row r="16" spans="1:37">
      <c r="E16" s="539"/>
      <c r="F16" s="539"/>
      <c r="G16" s="12"/>
      <c r="H16"/>
      <c r="M16" s="539"/>
      <c r="N16" s="539"/>
      <c r="O16" s="539"/>
      <c r="P16" s="539"/>
      <c r="Q16" s="539"/>
      <c r="R16" s="539"/>
      <c r="S16" s="539"/>
      <c r="T16" s="539"/>
      <c r="U16" s="539"/>
      <c r="V16" s="539"/>
      <c r="W16" s="539"/>
      <c r="X16" s="539"/>
      <c r="Y16" s="539"/>
      <c r="Z16" s="539"/>
      <c r="AA16" s="539"/>
      <c r="AB16" s="539"/>
      <c r="AC16" s="539"/>
      <c r="AD16" s="539"/>
      <c r="AE16" s="539"/>
      <c r="AF16" s="539"/>
      <c r="AI16" s="19"/>
      <c r="AJ16" s="19"/>
      <c r="AK16" s="19"/>
    </row>
    <row r="17" spans="1:37">
      <c r="H17"/>
      <c r="M17" s="539"/>
      <c r="N17" s="539"/>
      <c r="O17" s="539"/>
      <c r="P17" s="539"/>
      <c r="Q17" s="539"/>
      <c r="R17" s="539"/>
      <c r="S17" s="539"/>
      <c r="T17" s="539"/>
      <c r="U17" s="539"/>
      <c r="V17" s="539"/>
      <c r="W17" s="539"/>
      <c r="X17" s="539"/>
      <c r="Y17" s="539"/>
      <c r="Z17" s="539"/>
      <c r="AA17" s="539"/>
      <c r="AB17" s="539"/>
      <c r="AC17" s="539"/>
      <c r="AD17" s="539"/>
      <c r="AE17" s="539"/>
      <c r="AF17" s="539"/>
      <c r="AI17" s="19"/>
      <c r="AJ17" s="19"/>
      <c r="AK17" s="19"/>
    </row>
    <row r="18" spans="1:37">
      <c r="E18" s="539"/>
      <c r="F18" s="539"/>
      <c r="G18" s="12"/>
      <c r="H18"/>
      <c r="M18" s="539"/>
      <c r="N18" s="539"/>
      <c r="O18" s="539"/>
      <c r="P18" s="539"/>
      <c r="Q18" s="539"/>
      <c r="R18" s="539"/>
      <c r="S18" s="539"/>
      <c r="T18" s="539"/>
      <c r="U18" s="539"/>
      <c r="V18" s="539"/>
      <c r="W18" s="539"/>
      <c r="X18" s="539"/>
      <c r="Y18" s="539"/>
      <c r="Z18" s="539"/>
      <c r="AA18" s="539"/>
      <c r="AB18" s="539"/>
      <c r="AC18" s="539"/>
      <c r="AD18" s="539"/>
      <c r="AE18" s="539"/>
      <c r="AF18" s="539"/>
      <c r="AI18" s="19"/>
      <c r="AJ18" s="19"/>
      <c r="AK18" s="19"/>
    </row>
    <row r="19" spans="1:37">
      <c r="E19" s="539"/>
      <c r="F19" s="539"/>
      <c r="G19" s="12"/>
      <c r="H19"/>
      <c r="M19" s="539"/>
      <c r="N19" s="539"/>
      <c r="O19" s="539"/>
      <c r="P19" s="539"/>
      <c r="Q19" s="539"/>
      <c r="R19" s="539"/>
      <c r="S19" s="539"/>
      <c r="T19" s="539"/>
      <c r="U19" s="539"/>
      <c r="V19" s="539"/>
      <c r="W19" s="539"/>
      <c r="X19" s="539"/>
      <c r="Y19" s="539"/>
      <c r="Z19" s="539"/>
      <c r="AA19" s="539"/>
      <c r="AB19" s="539"/>
      <c r="AC19" s="539"/>
      <c r="AD19" s="539"/>
      <c r="AE19" s="539"/>
      <c r="AF19" s="539"/>
      <c r="AI19" s="19"/>
      <c r="AJ19" s="19"/>
      <c r="AK19" s="19"/>
    </row>
    <row r="20" spans="1:37" ht="15.75">
      <c r="A20" s="34" t="s">
        <v>144</v>
      </c>
      <c r="C20" s="28" t="s">
        <v>145</v>
      </c>
      <c r="F20" s="12"/>
      <c r="G20" s="1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row>
    <row r="21" spans="1:37" ht="15.75">
      <c r="B21" s="30" t="s">
        <v>146</v>
      </c>
      <c r="F21" s="12"/>
      <c r="G21" s="23"/>
    </row>
    <row r="22" spans="1:37" ht="15.75">
      <c r="B22" s="31" t="s">
        <v>147</v>
      </c>
      <c r="C22" s="28">
        <v>0.5</v>
      </c>
      <c r="F22" s="12"/>
      <c r="G22" s="12"/>
    </row>
    <row r="23" spans="1:37" ht="15.75">
      <c r="B23" s="31" t="s">
        <v>148</v>
      </c>
      <c r="C23" s="28">
        <v>0.25</v>
      </c>
      <c r="F23" s="12"/>
      <c r="G23" s="12"/>
      <c r="I23" s="21"/>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row>
    <row r="24" spans="1:37" ht="15.75">
      <c r="B24" s="31" t="s">
        <v>149</v>
      </c>
      <c r="F24" s="12"/>
      <c r="G24" s="12"/>
    </row>
    <row r="25" spans="1:37" ht="15.75">
      <c r="B25" s="31" t="s">
        <v>150</v>
      </c>
      <c r="C25" s="28">
        <v>0.5</v>
      </c>
      <c r="F25" s="12"/>
      <c r="G25" s="12"/>
    </row>
    <row r="26" spans="1:37" ht="15.75">
      <c r="B26" s="31" t="s">
        <v>151</v>
      </c>
      <c r="C26" s="28">
        <v>0.25</v>
      </c>
      <c r="F26" s="12"/>
      <c r="G26" s="12"/>
    </row>
    <row r="27" spans="1:37" ht="31.5">
      <c r="B27" s="31" t="s">
        <v>152</v>
      </c>
      <c r="C27" s="28">
        <v>1</v>
      </c>
      <c r="F27" s="12"/>
      <c r="G27" s="12"/>
    </row>
    <row r="28" spans="1:37">
      <c r="B28" s="32" t="s">
        <v>153</v>
      </c>
    </row>
    <row r="29" spans="1:37" ht="15.75">
      <c r="B29" s="29" t="s">
        <v>154</v>
      </c>
      <c r="C29" s="28">
        <v>0.25</v>
      </c>
    </row>
    <row r="30" spans="1:37" ht="15.75">
      <c r="B30" s="29" t="s">
        <v>155</v>
      </c>
      <c r="C30" s="28">
        <v>0.25</v>
      </c>
    </row>
    <row r="31" spans="1:37" ht="31.5">
      <c r="B31" s="33" t="s">
        <v>156</v>
      </c>
    </row>
    <row r="32" spans="1:37" ht="31.5">
      <c r="B32" s="33" t="s">
        <v>157</v>
      </c>
      <c r="C32" s="28">
        <v>0.25</v>
      </c>
    </row>
    <row r="33" spans="1:10" ht="15.75">
      <c r="B33" s="29" t="s">
        <v>158</v>
      </c>
      <c r="C33" s="28">
        <v>0.25</v>
      </c>
    </row>
    <row r="34" spans="1:10" ht="15.75">
      <c r="B34" s="29" t="s">
        <v>159</v>
      </c>
      <c r="C34" s="28">
        <v>0.25</v>
      </c>
    </row>
    <row r="35" spans="1:10" ht="15.75">
      <c r="B35" s="29" t="s">
        <v>160</v>
      </c>
      <c r="C35" s="28">
        <v>1</v>
      </c>
    </row>
    <row r="36" spans="1:10" ht="15.75">
      <c r="B36" s="32"/>
      <c r="C36" s="28">
        <v>4.75</v>
      </c>
    </row>
    <row r="38" spans="1:10" ht="15.75">
      <c r="A38" s="35"/>
      <c r="F38" s="34"/>
      <c r="G38" s="34"/>
      <c r="H38" s="34"/>
      <c r="I38" s="34"/>
      <c r="J38" s="34"/>
    </row>
  </sheetData>
  <hyperlinks>
    <hyperlink ref="B28" r:id="rId1" display="javascript:void(0);" xr:uid="{00000000-0004-0000-0500-000000000000}"/>
    <hyperlink ref="A1" location="Summary_RealizationSchedule!A1" display="Back to Summary"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09FF78"/>
  </sheetPr>
  <dimension ref="A1:AC22"/>
  <sheetViews>
    <sheetView workbookViewId="0">
      <selection activeCell="M31" sqref="M31"/>
    </sheetView>
  </sheetViews>
  <sheetFormatPr defaultColWidth="9.140625" defaultRowHeight="15"/>
  <cols>
    <col min="1" max="1" width="3.85546875" customWidth="1"/>
    <col min="2" max="2" width="5.85546875" customWidth="1"/>
    <col min="3" max="3" width="35.7109375" bestFit="1" customWidth="1"/>
    <col min="4" max="4" width="14" customWidth="1"/>
    <col min="5" max="5" width="11.5703125" bestFit="1" customWidth="1"/>
    <col min="6" max="6" width="12" bestFit="1" customWidth="1"/>
    <col min="7" max="10" width="11.7109375" bestFit="1" customWidth="1"/>
    <col min="11" max="16" width="12.7109375" bestFit="1" customWidth="1"/>
    <col min="17" max="21" width="13.28515625" bestFit="1" customWidth="1"/>
    <col min="22" max="24" width="12.7109375" bestFit="1" customWidth="1"/>
    <col min="25" max="25" width="11.7109375" bestFit="1" customWidth="1"/>
  </cols>
  <sheetData>
    <row r="1" spans="1:5">
      <c r="A1" s="9" t="s">
        <v>55</v>
      </c>
    </row>
    <row r="3" spans="1:5">
      <c r="A3" s="37" t="s">
        <v>161</v>
      </c>
    </row>
    <row r="5" spans="1:5">
      <c r="B5" t="s">
        <v>162</v>
      </c>
    </row>
    <row r="6" spans="1:5">
      <c r="C6" t="s">
        <v>163</v>
      </c>
      <c r="D6" s="13">
        <v>165</v>
      </c>
      <c r="E6" t="s">
        <v>164</v>
      </c>
    </row>
    <row r="7" spans="1:5">
      <c r="C7" t="s">
        <v>165</v>
      </c>
      <c r="D7" s="13">
        <v>68</v>
      </c>
      <c r="E7" t="s">
        <v>164</v>
      </c>
    </row>
    <row r="8" spans="1:5">
      <c r="C8" t="s">
        <v>166</v>
      </c>
      <c r="D8" s="13">
        <v>30</v>
      </c>
      <c r="E8" t="s">
        <v>164</v>
      </c>
    </row>
    <row r="9" spans="1:5">
      <c r="C9" t="s">
        <v>167</v>
      </c>
      <c r="D9" s="13">
        <v>21</v>
      </c>
      <c r="E9" t="s">
        <v>168</v>
      </c>
    </row>
    <row r="10" spans="1:5">
      <c r="C10" t="s">
        <v>169</v>
      </c>
      <c r="D10" s="38">
        <v>0.8</v>
      </c>
      <c r="E10" t="s">
        <v>170</v>
      </c>
    </row>
    <row r="11" spans="1:5">
      <c r="C11" t="s">
        <v>171</v>
      </c>
      <c r="D11" s="13">
        <v>63.75</v>
      </c>
    </row>
    <row r="13" spans="1:5">
      <c r="C13" t="s">
        <v>172</v>
      </c>
      <c r="D13" s="14">
        <v>296.75</v>
      </c>
    </row>
    <row r="15" spans="1:5">
      <c r="C15" t="s">
        <v>173</v>
      </c>
      <c r="D15" s="38">
        <v>0.03</v>
      </c>
    </row>
    <row r="16" spans="1:5">
      <c r="C16" t="s">
        <v>174</v>
      </c>
      <c r="D16" s="38">
        <v>0.21482729570345407</v>
      </c>
    </row>
    <row r="17" spans="2:29" ht="15.75" thickBot="1">
      <c r="C17" t="s">
        <v>175</v>
      </c>
      <c r="D17" s="97">
        <v>6.4448188711036221E-3</v>
      </c>
    </row>
    <row r="18" spans="2:29" ht="15.75" thickBot="1">
      <c r="B18" s="15">
        <v>0.09</v>
      </c>
      <c r="E18" s="602" t="s">
        <v>176</v>
      </c>
      <c r="F18" s="603"/>
      <c r="G18" s="603"/>
      <c r="H18" s="603"/>
      <c r="I18" s="604"/>
    </row>
    <row r="19" spans="2:29">
      <c r="C19" t="s">
        <v>177</v>
      </c>
      <c r="E19" s="344">
        <v>2016</v>
      </c>
      <c r="F19" s="345">
        <v>2017</v>
      </c>
      <c r="G19" s="345">
        <v>2018</v>
      </c>
      <c r="H19" s="345">
        <v>2019</v>
      </c>
      <c r="I19" s="346">
        <v>2020</v>
      </c>
      <c r="J19" s="19">
        <v>2021</v>
      </c>
      <c r="K19" s="19">
        <v>2022</v>
      </c>
      <c r="L19" s="19">
        <v>2023</v>
      </c>
      <c r="M19" s="19">
        <v>2024</v>
      </c>
      <c r="N19" s="19">
        <v>2025</v>
      </c>
      <c r="O19" s="19">
        <v>2026</v>
      </c>
      <c r="P19" s="19">
        <v>2027</v>
      </c>
      <c r="Q19" s="19">
        <v>2028</v>
      </c>
      <c r="R19" s="19">
        <v>2029</v>
      </c>
      <c r="S19" s="19">
        <v>2030</v>
      </c>
      <c r="T19" s="19">
        <v>2031</v>
      </c>
      <c r="U19" s="19">
        <v>2032</v>
      </c>
      <c r="V19" s="19">
        <v>2033</v>
      </c>
      <c r="W19" s="19">
        <v>2034</v>
      </c>
      <c r="X19" s="19">
        <v>2035</v>
      </c>
      <c r="Y19" s="19">
        <v>2036</v>
      </c>
      <c r="Z19" s="19">
        <v>2037</v>
      </c>
      <c r="AA19" s="19">
        <v>2038</v>
      </c>
      <c r="AB19" s="19">
        <v>2039</v>
      </c>
      <c r="AC19" s="19">
        <v>2040</v>
      </c>
    </row>
    <row r="20" spans="2:29">
      <c r="C20" t="s">
        <v>178</v>
      </c>
      <c r="E20" s="347">
        <v>65.017708941213655</v>
      </c>
      <c r="F20" s="348">
        <v>0</v>
      </c>
      <c r="G20" s="348">
        <v>145.66888105080312</v>
      </c>
      <c r="H20" s="348">
        <v>217.49427877527415</v>
      </c>
      <c r="I20" s="349">
        <v>323.8237159159097</v>
      </c>
      <c r="J20" s="16">
        <v>480.11385153949868</v>
      </c>
      <c r="K20" s="16">
        <v>707.38336901761795</v>
      </c>
      <c r="L20" s="16">
        <v>1032.5446725436504</v>
      </c>
      <c r="M20" s="16">
        <v>1486.4483159820315</v>
      </c>
      <c r="N20" s="16">
        <v>2096.6943804325356</v>
      </c>
      <c r="O20" s="16">
        <v>2870.8086630464086</v>
      </c>
      <c r="P20" s="16">
        <v>3766.2290661452248</v>
      </c>
      <c r="Q20" s="16">
        <v>4652.592027370064</v>
      </c>
      <c r="R20" s="16">
        <v>5295.7252055608697</v>
      </c>
      <c r="S20" s="16">
        <v>5420.0378325592592</v>
      </c>
      <c r="T20" s="16">
        <v>4877.2991099625979</v>
      </c>
      <c r="U20" s="16">
        <v>3809.5673190442976</v>
      </c>
      <c r="V20" s="16">
        <v>2593.8413019408508</v>
      </c>
      <c r="W20" s="16">
        <v>1574.4881416946555</v>
      </c>
      <c r="X20" s="16">
        <v>955.73037042866099</v>
      </c>
      <c r="Y20" s="16">
        <v>580.13808854512638</v>
      </c>
      <c r="Z20" s="16">
        <v>0</v>
      </c>
      <c r="AA20" s="16">
        <v>0</v>
      </c>
      <c r="AB20" s="16">
        <v>0</v>
      </c>
      <c r="AC20" s="16">
        <v>0</v>
      </c>
    </row>
    <row r="21" spans="2:29" ht="15.75" thickBot="1">
      <c r="C21" t="s">
        <v>179</v>
      </c>
      <c r="D21" s="13">
        <v>4627144.3366114758</v>
      </c>
      <c r="E21" s="350">
        <v>0</v>
      </c>
      <c r="F21" s="351">
        <v>0</v>
      </c>
      <c r="G21" s="351">
        <v>44068.413648168214</v>
      </c>
      <c r="H21" s="351">
        <v>66221.412315309572</v>
      </c>
      <c r="I21" s="352">
        <v>99231.423639208995</v>
      </c>
      <c r="J21" s="13">
        <v>114141.91363136643</v>
      </c>
      <c r="K21" s="13">
        <v>169256.64465734427</v>
      </c>
      <c r="L21" s="13">
        <v>248650.70838323809</v>
      </c>
      <c r="M21" s="13">
        <v>360263.80563426786</v>
      </c>
      <c r="N21" s="13">
        <v>511441.44529828802</v>
      </c>
      <c r="O21" s="13">
        <v>704782.32513473509</v>
      </c>
      <c r="P21" s="13">
        <v>930566.58818764111</v>
      </c>
      <c r="Q21" s="13">
        <v>1156979.5030561332</v>
      </c>
      <c r="R21" s="13">
        <v>1325397.3653708019</v>
      </c>
      <c r="S21" s="13">
        <v>1365252.397559437</v>
      </c>
      <c r="T21" s="13">
        <v>1236459.7649443925</v>
      </c>
      <c r="U21" s="13">
        <v>971999.89782956219</v>
      </c>
      <c r="V21" s="13">
        <v>666076.23180844774</v>
      </c>
      <c r="W21" s="13">
        <v>406920.80773599411</v>
      </c>
      <c r="X21" s="13">
        <v>248596.98614217044</v>
      </c>
      <c r="Y21" s="13">
        <v>151873.43665912014</v>
      </c>
      <c r="Z21" s="13">
        <v>0</v>
      </c>
      <c r="AA21" s="13">
        <v>0</v>
      </c>
      <c r="AB21" s="13">
        <v>0</v>
      </c>
      <c r="AC21" s="13">
        <v>0</v>
      </c>
    </row>
    <row r="22" spans="2:29">
      <c r="I22" s="93"/>
      <c r="J22" s="93"/>
    </row>
  </sheetData>
  <mergeCells count="1">
    <mergeCell ref="E18:I18"/>
  </mergeCells>
  <hyperlinks>
    <hyperlink ref="A1" location="Summary_RealizationSchedule!A1" display="Back to Summary" xr:uid="{00000000-0004-0000-0600-000000000000}"/>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9FF78"/>
  </sheetPr>
  <dimension ref="A1:N20"/>
  <sheetViews>
    <sheetView workbookViewId="0"/>
  </sheetViews>
  <sheetFormatPr defaultColWidth="9.140625" defaultRowHeight="15"/>
  <cols>
    <col min="1" max="1" width="27.5703125" customWidth="1"/>
    <col min="2" max="6" width="14.5703125" customWidth="1"/>
    <col min="7" max="7" width="12.5703125" bestFit="1" customWidth="1"/>
    <col min="8" max="8" width="14.42578125" style="19" bestFit="1" customWidth="1"/>
    <col min="9" max="9" width="13.140625" style="19" bestFit="1" customWidth="1"/>
    <col min="10" max="10" width="17.85546875" style="19" customWidth="1"/>
    <col min="11" max="11" width="14.140625" style="19" bestFit="1" customWidth="1"/>
    <col min="12" max="13" width="15.140625" style="19" bestFit="1" customWidth="1"/>
    <col min="14" max="14" width="11.5703125" style="19" bestFit="1" customWidth="1"/>
  </cols>
  <sheetData>
    <row r="1" spans="1:14">
      <c r="A1" s="9" t="s">
        <v>55</v>
      </c>
    </row>
    <row r="3" spans="1:14">
      <c r="A3" s="551" t="s">
        <v>180</v>
      </c>
      <c r="B3">
        <v>1820000</v>
      </c>
      <c r="C3" s="19">
        <v>2016</v>
      </c>
      <c r="D3" s="19">
        <v>2017</v>
      </c>
      <c r="E3" s="19">
        <v>2018</v>
      </c>
      <c r="F3" s="19">
        <v>2019</v>
      </c>
      <c r="G3" s="19">
        <v>2020</v>
      </c>
      <c r="H3" s="19">
        <v>2021</v>
      </c>
    </row>
    <row r="4" spans="1:14">
      <c r="A4" s="475" t="s">
        <v>181</v>
      </c>
      <c r="B4" s="475"/>
      <c r="C4" s="476"/>
      <c r="D4" s="476"/>
      <c r="E4" s="476">
        <v>1200000</v>
      </c>
      <c r="F4" s="476">
        <v>1600000</v>
      </c>
      <c r="G4" s="476">
        <v>1682000</v>
      </c>
      <c r="H4" s="476">
        <v>1200000</v>
      </c>
    </row>
    <row r="5" spans="1:14">
      <c r="A5" s="475" t="s">
        <v>182</v>
      </c>
      <c r="B5" s="475"/>
      <c r="C5" s="476">
        <v>2950000</v>
      </c>
      <c r="D5" s="476">
        <v>2950000</v>
      </c>
      <c r="E5" s="476"/>
      <c r="F5" s="476"/>
      <c r="G5" s="476"/>
      <c r="H5" s="476"/>
    </row>
    <row r="6" spans="1:14">
      <c r="A6" s="475" t="s">
        <v>183</v>
      </c>
      <c r="B6" s="475"/>
      <c r="C6" s="476">
        <v>1107495</v>
      </c>
      <c r="D6" s="476">
        <v>1740272</v>
      </c>
      <c r="E6" s="476">
        <v>408707</v>
      </c>
      <c r="F6" s="476"/>
      <c r="G6" s="476"/>
      <c r="H6" s="476"/>
    </row>
    <row r="7" spans="1:14">
      <c r="A7" s="475" t="s">
        <v>184</v>
      </c>
      <c r="B7" s="475"/>
      <c r="C7" s="476"/>
      <c r="D7" s="476">
        <v>2800000</v>
      </c>
      <c r="E7" s="476">
        <v>2800000</v>
      </c>
      <c r="F7" s="476"/>
      <c r="G7" s="476"/>
      <c r="H7" s="476"/>
    </row>
    <row r="8" spans="1:14">
      <c r="A8" s="475" t="s">
        <v>185</v>
      </c>
      <c r="B8" s="475"/>
      <c r="C8" s="476"/>
      <c r="D8" s="476"/>
      <c r="E8" s="476">
        <v>250000</v>
      </c>
      <c r="F8" s="476">
        <v>6400000</v>
      </c>
      <c r="G8" s="476">
        <v>7100000</v>
      </c>
      <c r="H8" s="476"/>
    </row>
    <row r="9" spans="1:14">
      <c r="A9" s="339" t="s">
        <v>186</v>
      </c>
      <c r="B9" s="339"/>
      <c r="C9" s="354">
        <v>375000</v>
      </c>
      <c r="D9" s="354">
        <v>375000</v>
      </c>
      <c r="E9" s="354"/>
      <c r="F9" s="354">
        <v>3492500</v>
      </c>
      <c r="G9" s="354">
        <v>3492500</v>
      </c>
      <c r="H9" s="354"/>
      <c r="I9" s="195"/>
      <c r="K9"/>
      <c r="L9"/>
      <c r="M9"/>
      <c r="N9"/>
    </row>
    <row r="10" spans="1:14">
      <c r="A10" s="475" t="s">
        <v>187</v>
      </c>
      <c r="B10" s="432">
        <v>7735000</v>
      </c>
      <c r="C10" s="476">
        <v>4057495</v>
      </c>
      <c r="D10" s="476">
        <v>7865272</v>
      </c>
      <c r="E10" s="476">
        <v>4658707</v>
      </c>
      <c r="F10" s="476">
        <v>11492500</v>
      </c>
      <c r="G10" s="476">
        <v>12274500</v>
      </c>
      <c r="H10" s="476">
        <v>1200000</v>
      </c>
    </row>
    <row r="11" spans="1:14">
      <c r="A11" s="475" t="s">
        <v>188</v>
      </c>
      <c r="B11" s="432">
        <v>6302323.2255015494</v>
      </c>
      <c r="C11" s="475"/>
      <c r="D11" s="475"/>
      <c r="E11" s="478">
        <v>16581474</v>
      </c>
      <c r="F11" s="475"/>
      <c r="G11" s="475"/>
      <c r="H11" s="475"/>
    </row>
    <row r="14" spans="1:14">
      <c r="A14" s="551" t="s">
        <v>189</v>
      </c>
      <c r="B14" s="463"/>
      <c r="C14" s="463"/>
      <c r="D14" s="463"/>
      <c r="E14" s="463"/>
      <c r="F14" s="463"/>
      <c r="G14" s="463"/>
      <c r="H14" s="546"/>
      <c r="I14" s="555" t="s">
        <v>30</v>
      </c>
    </row>
    <row r="15" spans="1:14">
      <c r="A15" s="463" t="s">
        <v>186</v>
      </c>
      <c r="B15" s="463"/>
      <c r="C15" s="547">
        <v>299407</v>
      </c>
      <c r="D15" s="547">
        <v>459313</v>
      </c>
      <c r="E15" s="547">
        <v>10773</v>
      </c>
      <c r="F15" s="547">
        <v>2867434</v>
      </c>
      <c r="G15" s="547">
        <v>2284683</v>
      </c>
      <c r="H15" s="547"/>
      <c r="I15" s="547">
        <f>SUM(B15:H15)</f>
        <v>5921610</v>
      </c>
    </row>
    <row r="16" spans="1:14">
      <c r="A16" s="463" t="s">
        <v>187</v>
      </c>
      <c r="B16" s="548">
        <f>SUM(B15:H15)</f>
        <v>5921610</v>
      </c>
      <c r="C16" s="463"/>
      <c r="D16" s="463"/>
      <c r="E16" s="463"/>
      <c r="F16" s="463"/>
      <c r="G16" s="463"/>
      <c r="H16" s="546"/>
      <c r="I16" s="547"/>
    </row>
    <row r="17" spans="1:9">
      <c r="A17" s="463" t="s">
        <v>188</v>
      </c>
      <c r="B17" s="549">
        <f>NPV(0.0641,C15:G15)</f>
        <v>4607038.2513080044</v>
      </c>
      <c r="C17" s="463"/>
      <c r="D17" s="463"/>
      <c r="E17" s="463"/>
      <c r="F17" s="463"/>
      <c r="G17" s="463"/>
      <c r="H17" s="546"/>
      <c r="I17" s="547"/>
    </row>
    <row r="18" spans="1:9">
      <c r="A18" s="463"/>
      <c r="B18" s="463"/>
      <c r="C18" s="463"/>
      <c r="D18" s="463"/>
      <c r="E18" s="463"/>
      <c r="F18" s="463"/>
      <c r="G18" s="463"/>
      <c r="H18" s="546"/>
      <c r="I18" s="547"/>
    </row>
    <row r="19" spans="1:9">
      <c r="A19" s="463"/>
      <c r="B19" s="463"/>
      <c r="C19" s="463"/>
      <c r="D19" s="463"/>
      <c r="E19" s="463"/>
      <c r="F19" s="463"/>
      <c r="G19" s="463"/>
      <c r="H19" s="546"/>
      <c r="I19" s="547"/>
    </row>
    <row r="20" spans="1:9">
      <c r="A20" s="463" t="s">
        <v>190</v>
      </c>
      <c r="B20" s="548">
        <f>B10-B16</f>
        <v>1813390</v>
      </c>
      <c r="C20" s="548">
        <f>B11-B17</f>
        <v>1695284.9741935451</v>
      </c>
      <c r="D20" s="463"/>
      <c r="E20" s="463"/>
      <c r="F20" s="463"/>
      <c r="G20" s="463"/>
      <c r="H20" s="546"/>
      <c r="I20" s="547"/>
    </row>
  </sheetData>
  <hyperlinks>
    <hyperlink ref="A1" location="Summary_RealizationSchedule!A1" display="Back to Summary" xr:uid="{00000000-0004-0000-0700-000000000000}"/>
  </hyperlinks>
  <pageMargins left="0.7" right="0.7" top="0.75" bottom="0.75" header="0.3" footer="0.3"/>
  <pageSetup orientation="portrait" horizontalDpi="90" verticalDpi="9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3">
    <tabColor rgb="FF09FF78"/>
  </sheetPr>
  <dimension ref="A1:AD51"/>
  <sheetViews>
    <sheetView workbookViewId="0">
      <pane xSplit="1" ySplit="2" topLeftCell="B3" activePane="bottomRight" state="frozen"/>
      <selection pane="topRight" activeCell="B1" sqref="B1"/>
      <selection pane="bottomLeft" activeCell="A3" sqref="A3"/>
      <selection pane="bottomRight" activeCell="N19" sqref="N19"/>
    </sheetView>
  </sheetViews>
  <sheetFormatPr defaultColWidth="9.140625" defaultRowHeight="15"/>
  <cols>
    <col min="1" max="1" width="64.85546875" bestFit="1" customWidth="1"/>
    <col min="2" max="3" width="13.5703125" bestFit="1" customWidth="1"/>
    <col min="4" max="4" width="14.28515625" bestFit="1" customWidth="1"/>
    <col min="8" max="8" width="9" customWidth="1"/>
    <col min="9" max="14" width="10.42578125" customWidth="1"/>
    <col min="15" max="15" width="11.5703125" bestFit="1" customWidth="1"/>
    <col min="16" max="16" width="10.42578125" customWidth="1"/>
    <col min="17" max="17" width="11.5703125" bestFit="1" customWidth="1"/>
    <col min="18" max="18" width="10" bestFit="1" customWidth="1"/>
    <col min="19" max="19" width="11.5703125" bestFit="1" customWidth="1"/>
    <col min="20" max="24" width="10.42578125" customWidth="1"/>
    <col min="25" max="26" width="10" bestFit="1" customWidth="1"/>
  </cols>
  <sheetData>
    <row r="1" spans="1:30">
      <c r="A1" s="9" t="s">
        <v>55</v>
      </c>
      <c r="B1" t="s">
        <v>191</v>
      </c>
      <c r="C1" t="s">
        <v>4</v>
      </c>
      <c r="D1" t="s">
        <v>30</v>
      </c>
    </row>
    <row r="2" spans="1:30">
      <c r="F2" s="19">
        <v>2016</v>
      </c>
      <c r="G2" s="19">
        <v>2017</v>
      </c>
      <c r="H2" s="19">
        <v>2018</v>
      </c>
      <c r="I2" s="19">
        <v>2019</v>
      </c>
      <c r="J2" s="19">
        <v>2020</v>
      </c>
      <c r="K2" s="19">
        <v>2021</v>
      </c>
      <c r="L2" s="19">
        <v>2022</v>
      </c>
      <c r="M2" s="19">
        <v>2023</v>
      </c>
      <c r="N2" s="19">
        <v>2024</v>
      </c>
      <c r="O2" s="19">
        <v>2025</v>
      </c>
      <c r="P2" s="19">
        <v>2026</v>
      </c>
      <c r="Q2" s="19">
        <v>2027</v>
      </c>
      <c r="R2" s="19">
        <v>2028</v>
      </c>
      <c r="S2" s="19">
        <v>2029</v>
      </c>
      <c r="T2" s="19">
        <v>2030</v>
      </c>
      <c r="U2" s="19">
        <v>2031</v>
      </c>
      <c r="V2" s="19">
        <v>2032</v>
      </c>
      <c r="W2" s="19">
        <v>2033</v>
      </c>
      <c r="X2" s="19">
        <v>2034</v>
      </c>
      <c r="Y2" s="19">
        <v>2035</v>
      </c>
      <c r="Z2" s="19">
        <v>2036</v>
      </c>
      <c r="AA2" s="19">
        <v>2037</v>
      </c>
      <c r="AB2" s="19">
        <v>2038</v>
      </c>
      <c r="AC2" s="19">
        <v>2039</v>
      </c>
      <c r="AD2" s="19">
        <v>2040</v>
      </c>
    </row>
    <row r="3" spans="1:30">
      <c r="A3" t="s">
        <v>192</v>
      </c>
      <c r="I3" s="16">
        <v>3000</v>
      </c>
      <c r="J3" s="16">
        <v>3000</v>
      </c>
      <c r="K3" s="16">
        <v>3000</v>
      </c>
      <c r="L3" s="16">
        <v>3000</v>
      </c>
      <c r="M3" s="16">
        <v>3000</v>
      </c>
      <c r="N3" s="16">
        <v>5000</v>
      </c>
      <c r="O3" s="16">
        <v>5000</v>
      </c>
      <c r="P3" s="16">
        <v>5000</v>
      </c>
      <c r="Q3" s="16">
        <v>5000</v>
      </c>
      <c r="R3" s="16">
        <v>5000</v>
      </c>
      <c r="S3" s="16">
        <v>5000</v>
      </c>
      <c r="T3" s="16">
        <v>3000</v>
      </c>
      <c r="U3" s="16">
        <v>3000</v>
      </c>
      <c r="V3" s="16">
        <v>3000</v>
      </c>
      <c r="W3" s="16">
        <v>3000</v>
      </c>
      <c r="X3" s="16">
        <v>3000</v>
      </c>
      <c r="Y3">
        <v>3000</v>
      </c>
      <c r="Z3">
        <v>3000</v>
      </c>
    </row>
    <row r="4" spans="1:30">
      <c r="A4" t="s">
        <v>193</v>
      </c>
      <c r="F4">
        <v>0</v>
      </c>
      <c r="G4">
        <v>0</v>
      </c>
      <c r="H4">
        <v>0</v>
      </c>
      <c r="I4">
        <v>0.3</v>
      </c>
      <c r="J4">
        <v>0.75</v>
      </c>
      <c r="K4">
        <v>0.75</v>
      </c>
      <c r="L4">
        <v>0.75</v>
      </c>
      <c r="M4">
        <v>1</v>
      </c>
      <c r="N4">
        <v>1</v>
      </c>
      <c r="O4">
        <v>1</v>
      </c>
      <c r="P4">
        <v>1</v>
      </c>
      <c r="Q4">
        <v>1</v>
      </c>
      <c r="R4">
        <v>1</v>
      </c>
      <c r="S4">
        <v>1</v>
      </c>
      <c r="T4">
        <v>1</v>
      </c>
      <c r="U4">
        <v>1</v>
      </c>
      <c r="V4">
        <v>1</v>
      </c>
      <c r="W4">
        <v>1</v>
      </c>
      <c r="X4">
        <v>1</v>
      </c>
      <c r="Y4">
        <v>1</v>
      </c>
      <c r="Z4">
        <v>1</v>
      </c>
    </row>
    <row r="5" spans="1:30">
      <c r="A5" t="s">
        <v>194</v>
      </c>
      <c r="I5" s="17">
        <v>900</v>
      </c>
      <c r="J5" s="17">
        <v>2250</v>
      </c>
      <c r="K5" s="17">
        <v>2250</v>
      </c>
      <c r="L5" s="17">
        <v>2250</v>
      </c>
      <c r="M5" s="17">
        <v>3000</v>
      </c>
      <c r="N5" s="17">
        <v>5000</v>
      </c>
      <c r="O5" s="17">
        <v>5000</v>
      </c>
      <c r="P5" s="17">
        <v>5000</v>
      </c>
      <c r="Q5" s="17">
        <v>5000</v>
      </c>
      <c r="R5" s="17">
        <v>5000</v>
      </c>
      <c r="S5" s="17">
        <v>5000</v>
      </c>
      <c r="T5" s="17">
        <v>3000</v>
      </c>
      <c r="U5" s="17">
        <v>3000</v>
      </c>
      <c r="V5" s="17">
        <v>3000</v>
      </c>
      <c r="W5" s="17">
        <v>3000</v>
      </c>
      <c r="X5" s="17">
        <v>3000</v>
      </c>
      <c r="Y5" s="17">
        <v>3000</v>
      </c>
      <c r="Z5" s="17">
        <v>3000</v>
      </c>
    </row>
    <row r="6" spans="1:30">
      <c r="A6" t="s">
        <v>195</v>
      </c>
      <c r="B6" s="15">
        <v>0.01</v>
      </c>
      <c r="I6" s="567">
        <f>H26</f>
        <v>61.7</v>
      </c>
      <c r="J6" s="566">
        <f>I6</f>
        <v>61.7</v>
      </c>
      <c r="K6" s="566">
        <f>J6</f>
        <v>61.7</v>
      </c>
      <c r="L6" s="566">
        <f t="shared" ref="L6" si="0">K6*(1+$B$6)</f>
        <v>62.317</v>
      </c>
      <c r="M6" s="566">
        <f t="shared" ref="M6:Z6" si="1">L6*(1+$B$6)</f>
        <v>62.940170000000002</v>
      </c>
      <c r="N6" s="566">
        <f t="shared" si="1"/>
        <v>63.569571700000004</v>
      </c>
      <c r="O6" s="566">
        <f t="shared" si="1"/>
        <v>64.205267417000002</v>
      </c>
      <c r="P6" s="566">
        <f t="shared" si="1"/>
        <v>64.847320091170005</v>
      </c>
      <c r="Q6" s="566">
        <f t="shared" si="1"/>
        <v>65.4957932920817</v>
      </c>
      <c r="R6" s="566">
        <f t="shared" si="1"/>
        <v>66.150751225002523</v>
      </c>
      <c r="S6" s="566">
        <f t="shared" si="1"/>
        <v>66.812258737252549</v>
      </c>
      <c r="T6" s="566">
        <f t="shared" si="1"/>
        <v>67.480381324625071</v>
      </c>
      <c r="U6" s="566">
        <f t="shared" si="1"/>
        <v>68.155185137871328</v>
      </c>
      <c r="V6" s="566">
        <f t="shared" si="1"/>
        <v>68.836736989250042</v>
      </c>
      <c r="W6" s="566">
        <f t="shared" si="1"/>
        <v>69.525104359142546</v>
      </c>
      <c r="X6" s="566">
        <f t="shared" si="1"/>
        <v>70.220355402733972</v>
      </c>
      <c r="Y6" s="566">
        <f t="shared" si="1"/>
        <v>70.922558956761307</v>
      </c>
      <c r="Z6" s="566">
        <f t="shared" si="1"/>
        <v>71.631784546328916</v>
      </c>
    </row>
    <row r="7" spans="1:30">
      <c r="A7" t="s">
        <v>196</v>
      </c>
      <c r="B7" s="15">
        <v>0.03</v>
      </c>
      <c r="I7" s="567">
        <f>H25</f>
        <v>94.37</v>
      </c>
      <c r="J7" s="566">
        <f>I7</f>
        <v>94.37</v>
      </c>
      <c r="K7" s="566">
        <f>J7</f>
        <v>94.37</v>
      </c>
      <c r="L7" s="566">
        <f>K7*(1+$B$7)</f>
        <v>97.201100000000011</v>
      </c>
      <c r="M7" s="566">
        <f t="shared" ref="M7:Z7" si="2">L7*(1+$B$7)</f>
        <v>100.11713300000001</v>
      </c>
      <c r="N7" s="566">
        <f t="shared" si="2"/>
        <v>103.12064699000001</v>
      </c>
      <c r="O7" s="566">
        <f t="shared" si="2"/>
        <v>106.21426639970001</v>
      </c>
      <c r="P7" s="566">
        <f t="shared" si="2"/>
        <v>109.400694391691</v>
      </c>
      <c r="Q7" s="566">
        <f t="shared" si="2"/>
        <v>112.68271522344173</v>
      </c>
      <c r="R7" s="566">
        <f t="shared" si="2"/>
        <v>116.06319668014498</v>
      </c>
      <c r="S7" s="566">
        <f t="shared" si="2"/>
        <v>119.54509258054934</v>
      </c>
      <c r="T7" s="566">
        <f t="shared" si="2"/>
        <v>123.13144535796582</v>
      </c>
      <c r="U7" s="566">
        <f t="shared" si="2"/>
        <v>126.8253887187048</v>
      </c>
      <c r="V7" s="566">
        <f t="shared" si="2"/>
        <v>130.63015038026595</v>
      </c>
      <c r="W7" s="566">
        <f t="shared" si="2"/>
        <v>134.54905489167393</v>
      </c>
      <c r="X7" s="566">
        <f t="shared" si="2"/>
        <v>138.58552653842415</v>
      </c>
      <c r="Y7" s="566">
        <f t="shared" si="2"/>
        <v>142.74309233457689</v>
      </c>
      <c r="Z7" s="566">
        <f t="shared" si="2"/>
        <v>147.0253851046142</v>
      </c>
    </row>
    <row r="8" spans="1:30">
      <c r="A8" s="564" t="s">
        <v>197</v>
      </c>
      <c r="B8" s="15">
        <v>0.03</v>
      </c>
      <c r="I8" s="566">
        <v>0</v>
      </c>
      <c r="J8" s="566">
        <v>0</v>
      </c>
      <c r="K8" s="566">
        <v>0</v>
      </c>
      <c r="L8" s="566">
        <v>0</v>
      </c>
      <c r="M8" s="566">
        <v>0</v>
      </c>
      <c r="N8" s="566">
        <v>0</v>
      </c>
      <c r="O8" s="566">
        <v>0</v>
      </c>
      <c r="P8" s="566">
        <v>0</v>
      </c>
      <c r="Q8" s="566">
        <v>0</v>
      </c>
      <c r="R8" s="566">
        <v>0</v>
      </c>
      <c r="S8" s="566">
        <v>0</v>
      </c>
      <c r="T8" s="566">
        <v>0</v>
      </c>
      <c r="U8" s="566">
        <v>0</v>
      </c>
      <c r="V8" s="566">
        <v>0</v>
      </c>
      <c r="W8" s="566">
        <v>0</v>
      </c>
      <c r="X8" s="566">
        <v>0</v>
      </c>
      <c r="Y8" s="566">
        <v>0</v>
      </c>
      <c r="Z8" s="566">
        <v>0</v>
      </c>
    </row>
    <row r="9" spans="1:30">
      <c r="A9" t="s">
        <v>198</v>
      </c>
      <c r="I9" s="566">
        <f>SUM(I6:I8)</f>
        <v>156.07</v>
      </c>
      <c r="J9" s="566">
        <f t="shared" ref="J9:Z9" si="3">SUM(J6:J8)</f>
        <v>156.07</v>
      </c>
      <c r="K9" s="566">
        <f t="shared" si="3"/>
        <v>156.07</v>
      </c>
      <c r="L9" s="566">
        <f t="shared" si="3"/>
        <v>159.5181</v>
      </c>
      <c r="M9" s="566">
        <f t="shared" si="3"/>
        <v>163.05730300000002</v>
      </c>
      <c r="N9" s="566">
        <f t="shared" si="3"/>
        <v>166.69021869000002</v>
      </c>
      <c r="O9" s="566">
        <f t="shared" si="3"/>
        <v>170.41953381670001</v>
      </c>
      <c r="P9" s="566">
        <f t="shared" si="3"/>
        <v>174.24801448286101</v>
      </c>
      <c r="Q9" s="566">
        <f t="shared" si="3"/>
        <v>178.17850851552345</v>
      </c>
      <c r="R9" s="566">
        <f t="shared" si="3"/>
        <v>182.21394790514751</v>
      </c>
      <c r="S9" s="566">
        <f t="shared" si="3"/>
        <v>186.35735131780189</v>
      </c>
      <c r="T9" s="566">
        <f t="shared" si="3"/>
        <v>190.6118266825909</v>
      </c>
      <c r="U9" s="566">
        <f t="shared" si="3"/>
        <v>194.98057385657614</v>
      </c>
      <c r="V9" s="566">
        <f t="shared" si="3"/>
        <v>199.46688736951597</v>
      </c>
      <c r="W9" s="566">
        <f t="shared" si="3"/>
        <v>204.07415925081648</v>
      </c>
      <c r="X9" s="566">
        <f t="shared" si="3"/>
        <v>208.80588194115813</v>
      </c>
      <c r="Y9" s="566">
        <f t="shared" si="3"/>
        <v>213.66565129133818</v>
      </c>
      <c r="Z9" s="566">
        <f t="shared" si="3"/>
        <v>218.6571696509431</v>
      </c>
    </row>
    <row r="10" spans="1:30">
      <c r="A10" t="s">
        <v>199</v>
      </c>
      <c r="I10" s="13">
        <f>I9*I3*$D$51*I4</f>
        <v>36466.376037336609</v>
      </c>
      <c r="J10" s="13">
        <f t="shared" ref="J10:Z10" si="4">J9*J3*$D$51*J4</f>
        <v>91165.940093341531</v>
      </c>
      <c r="K10" s="13">
        <f t="shared" si="4"/>
        <v>91165.940093341531</v>
      </c>
      <c r="L10" s="13">
        <f t="shared" si="4"/>
        <v>93180.095780122152</v>
      </c>
      <c r="M10" s="13">
        <f t="shared" si="4"/>
        <v>126996.62388312799</v>
      </c>
      <c r="N10" s="13">
        <f t="shared" si="4"/>
        <v>216376.84644694394</v>
      </c>
      <c r="O10" s="13">
        <f t="shared" si="4"/>
        <v>221217.78704240211</v>
      </c>
      <c r="P10" s="13">
        <f t="shared" si="4"/>
        <v>226187.45220774459</v>
      </c>
      <c r="Q10" s="13">
        <f t="shared" si="4"/>
        <v>231289.53864358805</v>
      </c>
      <c r="R10" s="13">
        <f t="shared" si="4"/>
        <v>236527.85230120289</v>
      </c>
      <c r="S10" s="13">
        <f t="shared" si="4"/>
        <v>241906.31164352931</v>
      </c>
      <c r="T10" s="13">
        <f t="shared" si="4"/>
        <v>148457.37060231506</v>
      </c>
      <c r="U10" s="13">
        <f t="shared" si="4"/>
        <v>151859.95442706457</v>
      </c>
      <c r="V10" s="13">
        <f t="shared" si="4"/>
        <v>155354.10439362333</v>
      </c>
      <c r="W10" s="13">
        <f t="shared" si="4"/>
        <v>158942.4623725164</v>
      </c>
      <c r="X10" s="13">
        <f t="shared" si="4"/>
        <v>162627.74843924705</v>
      </c>
      <c r="Y10" s="13">
        <f t="shared" si="4"/>
        <v>166412.76320993519</v>
      </c>
      <c r="Z10" s="13">
        <f t="shared" si="4"/>
        <v>170300.39024691907</v>
      </c>
    </row>
    <row r="11" spans="1:30">
      <c r="A11" t="s">
        <v>200</v>
      </c>
      <c r="C11" s="98">
        <f>NPV(0.0658,F11:Z11)</f>
        <v>2423030.0241882531</v>
      </c>
      <c r="D11" s="13">
        <f>SUM(F11:Z11)</f>
        <v>5419318.8420403842</v>
      </c>
      <c r="F11">
        <v>0</v>
      </c>
      <c r="G11">
        <v>0</v>
      </c>
      <c r="H11">
        <v>0</v>
      </c>
      <c r="I11" s="13">
        <f>((I9*I3*(1-$D$51))*I4)-I10</f>
        <v>67530.247925326781</v>
      </c>
      <c r="J11" s="13">
        <f t="shared" ref="J11:Z11" si="5">((J9*J3*(1-$D$51))*J4)-J10</f>
        <v>168825.61981331697</v>
      </c>
      <c r="K11" s="13">
        <f t="shared" si="5"/>
        <v>168825.61981331697</v>
      </c>
      <c r="L11" s="13">
        <f t="shared" si="5"/>
        <v>172555.53343975573</v>
      </c>
      <c r="M11" s="13">
        <f t="shared" si="5"/>
        <v>235178.66123374406</v>
      </c>
      <c r="N11" s="13">
        <f t="shared" si="5"/>
        <v>400697.40055611229</v>
      </c>
      <c r="O11" s="13">
        <f t="shared" si="5"/>
        <v>409662.09499869589</v>
      </c>
      <c r="P11" s="13">
        <f t="shared" si="5"/>
        <v>418865.16799881589</v>
      </c>
      <c r="Q11" s="13">
        <f t="shared" si="5"/>
        <v>428313.46529044106</v>
      </c>
      <c r="R11" s="13">
        <f t="shared" si="5"/>
        <v>438014.03492333164</v>
      </c>
      <c r="S11" s="13">
        <f t="shared" si="5"/>
        <v>447974.13330195076</v>
      </c>
      <c r="T11" s="13">
        <f t="shared" si="5"/>
        <v>274920.73884314264</v>
      </c>
      <c r="U11" s="13">
        <f t="shared" si="5"/>
        <v>281221.81271559931</v>
      </c>
      <c r="V11" s="13">
        <f t="shared" si="5"/>
        <v>287692.45332130126</v>
      </c>
      <c r="W11" s="13">
        <f t="shared" si="5"/>
        <v>294337.55300741666</v>
      </c>
      <c r="X11" s="13">
        <f t="shared" si="5"/>
        <v>301162.14894498023</v>
      </c>
      <c r="Y11" s="13">
        <f t="shared" si="5"/>
        <v>308171.42745414423</v>
      </c>
      <c r="Z11" s="13">
        <f t="shared" si="5"/>
        <v>315370.72845899116</v>
      </c>
    </row>
    <row r="15" spans="1:30">
      <c r="D15" t="s">
        <v>201</v>
      </c>
    </row>
    <row r="16" spans="1:30">
      <c r="D16" s="362" t="s">
        <v>202</v>
      </c>
    </row>
    <row r="17" spans="1:10">
      <c r="A17" t="s">
        <v>203</v>
      </c>
      <c r="D17" s="363" t="s">
        <v>204</v>
      </c>
    </row>
    <row r="18" spans="1:10">
      <c r="A18" s="364" t="s">
        <v>205</v>
      </c>
      <c r="B18" s="364" t="s">
        <v>206</v>
      </c>
      <c r="D18" s="363" t="s">
        <v>207</v>
      </c>
    </row>
    <row r="19" spans="1:10">
      <c r="A19" s="359">
        <v>-18</v>
      </c>
      <c r="B19" s="357">
        <v>6</v>
      </c>
      <c r="D19" s="362" t="s">
        <v>208</v>
      </c>
      <c r="I19" s="358"/>
      <c r="J19" s="357"/>
    </row>
    <row r="20" spans="1:10">
      <c r="A20" s="359">
        <v>-10</v>
      </c>
      <c r="B20" s="357">
        <v>1</v>
      </c>
      <c r="D20" s="361" t="s">
        <v>209</v>
      </c>
      <c r="I20" s="358"/>
      <c r="J20" s="357"/>
    </row>
    <row r="21" spans="1:10">
      <c r="A21" s="359">
        <v>-9</v>
      </c>
      <c r="B21" s="357">
        <v>1</v>
      </c>
      <c r="D21" s="360" t="s">
        <v>210</v>
      </c>
      <c r="H21" s="38">
        <v>0.9</v>
      </c>
      <c r="I21" s="358"/>
      <c r="J21" s="357"/>
    </row>
    <row r="22" spans="1:10">
      <c r="A22" s="359">
        <v>-7</v>
      </c>
      <c r="B22" s="357">
        <v>3</v>
      </c>
      <c r="D22" s="360" t="s">
        <v>211</v>
      </c>
      <c r="H22" s="38">
        <v>0.1</v>
      </c>
      <c r="I22" s="358"/>
      <c r="J22" s="357"/>
    </row>
    <row r="23" spans="1:10">
      <c r="A23" s="359">
        <v>-6</v>
      </c>
      <c r="B23" s="357">
        <v>300</v>
      </c>
      <c r="D23" s="9" t="s">
        <v>212</v>
      </c>
      <c r="I23" s="358"/>
      <c r="J23" s="357"/>
    </row>
    <row r="24" spans="1:10">
      <c r="A24" s="359">
        <v>-5</v>
      </c>
      <c r="B24" s="357">
        <v>163</v>
      </c>
      <c r="D24" s="564" t="s">
        <v>213</v>
      </c>
      <c r="E24" s="564"/>
      <c r="F24" s="564"/>
      <c r="G24" s="564"/>
      <c r="H24" s="564"/>
      <c r="I24" s="565"/>
      <c r="J24" s="357"/>
    </row>
    <row r="25" spans="1:10">
      <c r="A25" s="359">
        <v>-4</v>
      </c>
      <c r="B25" s="357">
        <v>102</v>
      </c>
      <c r="D25" s="564"/>
      <c r="E25" s="564" t="s">
        <v>214</v>
      </c>
      <c r="F25" s="564"/>
      <c r="G25" s="564"/>
      <c r="H25" s="564">
        <v>94.37</v>
      </c>
      <c r="I25" s="565"/>
      <c r="J25" s="357"/>
    </row>
    <row r="26" spans="1:10">
      <c r="A26" s="359">
        <v>-3</v>
      </c>
      <c r="B26" s="357">
        <v>135</v>
      </c>
      <c r="D26" s="564"/>
      <c r="E26" s="564" t="s">
        <v>215</v>
      </c>
      <c r="F26" s="564"/>
      <c r="G26" s="564"/>
      <c r="H26" s="564">
        <v>61.7</v>
      </c>
      <c r="I26" s="565"/>
      <c r="J26" s="357"/>
    </row>
    <row r="27" spans="1:10">
      <c r="A27" s="359">
        <v>-2</v>
      </c>
      <c r="B27" s="357">
        <v>87</v>
      </c>
      <c r="D27" s="564"/>
      <c r="E27" s="564"/>
      <c r="F27" s="564" t="s">
        <v>30</v>
      </c>
      <c r="G27" s="564"/>
      <c r="H27" s="564">
        <f>SUM(H25:H26)</f>
        <v>156.07</v>
      </c>
      <c r="I27" s="565"/>
      <c r="J27" s="357"/>
    </row>
    <row r="28" spans="1:10">
      <c r="A28" s="359">
        <v>-1</v>
      </c>
      <c r="B28" s="357">
        <v>30</v>
      </c>
      <c r="I28" s="358"/>
      <c r="J28" s="357"/>
    </row>
    <row r="29" spans="1:10">
      <c r="A29" s="359">
        <v>0</v>
      </c>
      <c r="B29" s="357">
        <v>35</v>
      </c>
      <c r="D29" s="365" t="s">
        <v>216</v>
      </c>
      <c r="E29" s="365" t="s">
        <v>217</v>
      </c>
      <c r="F29" s="365" t="s">
        <v>218</v>
      </c>
      <c r="I29" s="358"/>
      <c r="J29" s="357"/>
    </row>
    <row r="30" spans="1:10">
      <c r="A30" s="359">
        <v>1</v>
      </c>
      <c r="B30" s="357">
        <v>168</v>
      </c>
      <c r="C30" s="17">
        <v>1031</v>
      </c>
      <c r="D30" s="560">
        <v>3000</v>
      </c>
      <c r="E30" s="17">
        <v>1031</v>
      </c>
      <c r="F30" s="17">
        <v>3000</v>
      </c>
      <c r="I30" s="358"/>
      <c r="J30" s="357"/>
    </row>
    <row r="31" spans="1:10">
      <c r="A31" s="359">
        <v>2</v>
      </c>
      <c r="B31" s="357">
        <v>341</v>
      </c>
      <c r="C31">
        <v>341</v>
      </c>
      <c r="D31" s="560">
        <v>3000</v>
      </c>
      <c r="E31" s="17">
        <v>1372</v>
      </c>
      <c r="F31" s="17">
        <v>6000</v>
      </c>
      <c r="I31" s="358"/>
      <c r="J31" s="357"/>
    </row>
    <row r="32" spans="1:10">
      <c r="A32" s="359">
        <v>3</v>
      </c>
      <c r="B32" s="357">
        <v>1629</v>
      </c>
      <c r="C32">
        <v>1629</v>
      </c>
      <c r="D32" s="560">
        <v>3000</v>
      </c>
      <c r="E32" s="17">
        <v>3001</v>
      </c>
      <c r="F32" s="17">
        <v>9000</v>
      </c>
      <c r="I32" s="358"/>
      <c r="J32" s="357"/>
    </row>
    <row r="33" spans="1:10">
      <c r="A33" s="359">
        <v>4</v>
      </c>
      <c r="B33" s="357">
        <v>67</v>
      </c>
      <c r="C33">
        <v>67</v>
      </c>
      <c r="D33" s="560">
        <v>3000</v>
      </c>
      <c r="E33" s="17">
        <v>3068</v>
      </c>
      <c r="F33" s="17">
        <v>12000</v>
      </c>
      <c r="I33" s="358"/>
      <c r="J33" s="357"/>
    </row>
    <row r="34" spans="1:10">
      <c r="A34" s="359">
        <v>5</v>
      </c>
      <c r="B34" s="357">
        <v>592</v>
      </c>
      <c r="C34">
        <v>592</v>
      </c>
      <c r="D34" s="560">
        <v>3000</v>
      </c>
      <c r="E34" s="17">
        <v>3660</v>
      </c>
      <c r="F34" s="17">
        <v>15000</v>
      </c>
      <c r="I34" s="358"/>
      <c r="J34" s="357"/>
    </row>
    <row r="35" spans="1:10">
      <c r="A35" s="359">
        <v>6</v>
      </c>
      <c r="B35" s="357">
        <v>1027</v>
      </c>
      <c r="C35">
        <v>1027</v>
      </c>
      <c r="D35" s="560">
        <v>5000</v>
      </c>
      <c r="E35" s="17">
        <v>4687</v>
      </c>
      <c r="F35" s="17">
        <v>20000</v>
      </c>
      <c r="I35" s="358"/>
      <c r="J35" s="357"/>
    </row>
    <row r="36" spans="1:10">
      <c r="A36" s="359">
        <v>7</v>
      </c>
      <c r="B36" s="357">
        <v>11132</v>
      </c>
      <c r="C36">
        <v>11132</v>
      </c>
      <c r="D36" s="560">
        <v>5000</v>
      </c>
      <c r="E36" s="17">
        <v>15819</v>
      </c>
      <c r="F36" s="17">
        <v>25000</v>
      </c>
      <c r="I36" s="358"/>
      <c r="J36" s="357"/>
    </row>
    <row r="37" spans="1:10">
      <c r="A37" s="359">
        <v>8</v>
      </c>
      <c r="B37" s="357">
        <v>6918</v>
      </c>
      <c r="C37">
        <v>6918</v>
      </c>
      <c r="D37" s="560">
        <v>5000</v>
      </c>
      <c r="E37" s="17">
        <v>22737</v>
      </c>
      <c r="F37" s="17">
        <v>30000</v>
      </c>
      <c r="I37" s="358"/>
      <c r="J37" s="357"/>
    </row>
    <row r="38" spans="1:10">
      <c r="A38" s="359">
        <v>9</v>
      </c>
      <c r="B38" s="357">
        <v>9634</v>
      </c>
      <c r="C38">
        <v>9634</v>
      </c>
      <c r="D38" s="560">
        <v>5000</v>
      </c>
      <c r="E38" s="17">
        <v>32371</v>
      </c>
      <c r="F38" s="17">
        <v>35000</v>
      </c>
      <c r="I38" s="358"/>
      <c r="J38" s="357"/>
    </row>
    <row r="39" spans="1:10">
      <c r="A39" s="359">
        <v>10</v>
      </c>
      <c r="B39" s="357">
        <v>2503</v>
      </c>
      <c r="C39">
        <v>2503</v>
      </c>
      <c r="D39" s="560">
        <v>5000</v>
      </c>
      <c r="E39" s="17">
        <v>34874</v>
      </c>
      <c r="F39" s="17">
        <v>40000</v>
      </c>
      <c r="I39" s="358"/>
      <c r="J39" s="357"/>
    </row>
    <row r="40" spans="1:10">
      <c r="A40" s="359">
        <v>11</v>
      </c>
      <c r="B40" s="357">
        <v>9521</v>
      </c>
      <c r="C40">
        <v>9521</v>
      </c>
      <c r="D40" s="560">
        <v>5000</v>
      </c>
      <c r="E40" s="17">
        <v>44395</v>
      </c>
      <c r="F40" s="17">
        <v>45000</v>
      </c>
      <c r="I40" s="358"/>
      <c r="J40" s="357"/>
    </row>
    <row r="41" spans="1:10">
      <c r="A41" s="359">
        <v>12</v>
      </c>
      <c r="B41" s="357">
        <v>1725</v>
      </c>
      <c r="C41">
        <v>1725</v>
      </c>
      <c r="D41" s="560">
        <v>3000</v>
      </c>
      <c r="E41" s="17">
        <v>46120</v>
      </c>
      <c r="F41" s="17">
        <v>48000</v>
      </c>
      <c r="I41" s="358"/>
      <c r="J41" s="357"/>
    </row>
    <row r="42" spans="1:10">
      <c r="A42" s="359">
        <v>13</v>
      </c>
      <c r="B42" s="357">
        <v>3398</v>
      </c>
      <c r="C42">
        <v>3398</v>
      </c>
      <c r="D42" s="560">
        <v>3000</v>
      </c>
      <c r="E42" s="17">
        <v>49518</v>
      </c>
      <c r="F42" s="17">
        <v>51000</v>
      </c>
      <c r="I42" s="358"/>
      <c r="J42" s="357"/>
    </row>
    <row r="43" spans="1:10">
      <c r="A43" s="359">
        <v>14</v>
      </c>
      <c r="B43" s="357">
        <v>2908</v>
      </c>
      <c r="C43">
        <v>2908</v>
      </c>
      <c r="D43" s="560">
        <v>3000</v>
      </c>
      <c r="E43" s="17">
        <v>52426</v>
      </c>
      <c r="F43" s="17">
        <v>54000</v>
      </c>
      <c r="I43" s="358"/>
      <c r="J43" s="357"/>
    </row>
    <row r="44" spans="1:10">
      <c r="A44" s="359">
        <v>15</v>
      </c>
      <c r="B44" s="357">
        <v>4181</v>
      </c>
      <c r="C44">
        <v>4181</v>
      </c>
      <c r="D44" s="560">
        <v>3000</v>
      </c>
      <c r="E44" s="17">
        <v>56607</v>
      </c>
      <c r="F44" s="17">
        <v>57000</v>
      </c>
      <c r="I44" s="358"/>
      <c r="J44" s="357"/>
    </row>
    <row r="45" spans="1:10">
      <c r="A45" s="359">
        <v>16</v>
      </c>
      <c r="B45" s="357">
        <v>2759</v>
      </c>
      <c r="C45">
        <v>2759</v>
      </c>
      <c r="D45" s="560">
        <v>3000</v>
      </c>
      <c r="E45" s="17">
        <v>59366</v>
      </c>
      <c r="F45" s="17">
        <v>60000</v>
      </c>
      <c r="I45" s="358"/>
      <c r="J45" s="357"/>
    </row>
    <row r="46" spans="1:10">
      <c r="A46" s="359">
        <v>17</v>
      </c>
      <c r="B46" s="357">
        <v>3750</v>
      </c>
      <c r="C46">
        <v>3750</v>
      </c>
      <c r="D46" s="560">
        <v>3000</v>
      </c>
      <c r="E46" s="17">
        <v>63116</v>
      </c>
      <c r="F46" s="17">
        <v>63000</v>
      </c>
      <c r="I46" s="358"/>
      <c r="J46" s="357"/>
    </row>
    <row r="47" spans="1:10">
      <c r="A47" s="359">
        <v>18</v>
      </c>
      <c r="B47" s="357">
        <v>3221</v>
      </c>
      <c r="C47">
        <v>3221</v>
      </c>
      <c r="D47" s="560">
        <v>3000</v>
      </c>
      <c r="E47" s="17">
        <v>66337</v>
      </c>
      <c r="F47" s="17">
        <v>66000</v>
      </c>
      <c r="I47" s="358"/>
      <c r="J47" s="357"/>
    </row>
    <row r="48" spans="1:10">
      <c r="A48" s="359">
        <v>19</v>
      </c>
      <c r="B48" s="357">
        <v>300</v>
      </c>
      <c r="C48">
        <v>300</v>
      </c>
      <c r="D48" s="560">
        <v>637</v>
      </c>
      <c r="E48" s="17">
        <v>66637</v>
      </c>
      <c r="F48" s="17">
        <v>66637</v>
      </c>
      <c r="I48" s="358"/>
      <c r="J48" s="357"/>
    </row>
    <row r="49" spans="2:4">
      <c r="B49" s="17">
        <v>66637</v>
      </c>
      <c r="D49" s="561">
        <f>SUM(D30:D48)</f>
        <v>66637</v>
      </c>
    </row>
    <row r="50" spans="2:4">
      <c r="C50" s="562" t="s">
        <v>219</v>
      </c>
      <c r="D50" s="563">
        <v>17300</v>
      </c>
    </row>
    <row r="51" spans="2:4">
      <c r="C51" s="562" t="s">
        <v>220</v>
      </c>
      <c r="D51" s="572">
        <f>D50/D49</f>
        <v>0.2596155289103651</v>
      </c>
    </row>
  </sheetData>
  <hyperlinks>
    <hyperlink ref="D23" r:id="rId1" xr:uid="{00000000-0004-0000-0800-000000000000}"/>
    <hyperlink ref="A1" location="Summary_RealizationSchedule!A1" display="Back to Summary" xr:uid="{00000000-0004-0000-0800-000001000000}"/>
  </hyperlinks>
  <pageMargins left="0.7" right="0.7" top="0.75" bottom="0.75" header="0.3" footer="0.3"/>
  <pageSetup orientation="portrait" r:id="rId2"/>
  <drawing r:id="rId3"/>
  <legacy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2025-01-31T08:00:00+00:00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240006</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8BDEC0653D6204DB4E9E8901B172BDA" ma:contentTypeVersion="16" ma:contentTypeDescription="" ma:contentTypeScope="" ma:versionID="483a396059fc5e661540c3c9e30e608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9BD0CF5F-C5C4-4959-8F82-2B4A048CC9E8}">
  <ds:schemaRefs>
    <ds:schemaRef ds:uri="http://schemas.microsoft.com/sharepoint/v3/contenttype/forms"/>
  </ds:schemaRefs>
</ds:datastoreItem>
</file>

<file path=customXml/itemProps2.xml><?xml version="1.0" encoding="utf-8"?>
<ds:datastoreItem xmlns:ds="http://schemas.openxmlformats.org/officeDocument/2006/customXml" ds:itemID="{DC07C986-B15B-4D0A-B6FB-98CD8436F61E}">
  <ds:schemaRefs>
    <ds:schemaRef ds:uri="http://purl.org/dc/elements/1.1/"/>
    <ds:schemaRef ds:uri="http://schemas.microsoft.com/office/2006/metadata/properties"/>
    <ds:schemaRef ds:uri="b932ae6a-2266-42bb-8ede-e2b2ad3e4e54"/>
    <ds:schemaRef ds:uri="a56ad5fc-9548-40db-892f-680a8a022c6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80ED3862-8CFD-4413-8C8C-3406EBB007E4}"/>
</file>

<file path=customXml/itemProps4.xml><?xml version="1.0" encoding="utf-8"?>
<ds:datastoreItem xmlns:ds="http://schemas.openxmlformats.org/officeDocument/2006/customXml" ds:itemID="{9D911D54-52FB-43C9-89A0-4B8505E9F6F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34</vt:i4>
      </vt:variant>
      <vt:variant>
        <vt:lpstr>Named Ranges</vt:lpstr>
      </vt:variant>
      <vt:variant>
        <vt:i4>2</vt:i4>
      </vt:variant>
    </vt:vector>
  </HeadingPairs>
  <TitlesOfParts>
    <vt:vector size="36" baseType="lpstr">
      <vt:lpstr>Adjustment</vt:lpstr>
      <vt:lpstr>Revenue Requirement Reductions</vt:lpstr>
      <vt:lpstr>Updates</vt:lpstr>
      <vt:lpstr>Summary_RealizationSchedule</vt:lpstr>
      <vt:lpstr>Eliminate Regular Meter Reading</vt:lpstr>
      <vt:lpstr>Reduce Special Meter Reading</vt:lpstr>
      <vt:lpstr>Net Metering</vt:lpstr>
      <vt:lpstr>Customer Meter Base Repairs</vt:lpstr>
      <vt:lpstr>Natural Gas Meter Module Refres</vt:lpstr>
      <vt:lpstr>Meter Salvage Value</vt:lpstr>
      <vt:lpstr>Local Economy Jobs</vt:lpstr>
      <vt:lpstr>Open Close Transfer</vt:lpstr>
      <vt:lpstr>Credit Collections Connections</vt:lpstr>
      <vt:lpstr>After-Hours Fees</vt:lpstr>
      <vt:lpstr>Earlier Outage Notification</vt:lpstr>
      <vt:lpstr>More Rapid Restoration</vt:lpstr>
      <vt:lpstr>Reduced Customer Calls</vt:lpstr>
      <vt:lpstr>Avoided Single Lights Out</vt:lpstr>
      <vt:lpstr>Reduced Major Storms Cost</vt:lpstr>
      <vt:lpstr>Conservation Voltage Reduction</vt:lpstr>
      <vt:lpstr>Customer Energy Efficiency</vt:lpstr>
      <vt:lpstr>Behavioral Energy Efficiency </vt:lpstr>
      <vt:lpstr>Grid-Interactive Efficient Bldg</vt:lpstr>
      <vt:lpstr>Theft and Diversion</vt:lpstr>
      <vt:lpstr>Unbilled Usage</vt:lpstr>
      <vt:lpstr>Slow Failed Meters</vt:lpstr>
      <vt:lpstr>Stopped Meters</vt:lpstr>
      <vt:lpstr>Loss of Phase</vt:lpstr>
      <vt:lpstr>Estimated Bills</vt:lpstr>
      <vt:lpstr>Bill Inquiries</vt:lpstr>
      <vt:lpstr>Billing Analysis</vt:lpstr>
      <vt:lpstr>Rebilling</vt:lpstr>
      <vt:lpstr>Retail Load Analysis</vt:lpstr>
      <vt:lpstr>Meter Sampling</vt:lpstr>
      <vt:lpstr>Adjustment!Print_Area</vt:lpstr>
      <vt:lpstr>'Revenue Requirement Reductions'!Print_Area</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tzmj9b</dc:creator>
  <cp:keywords/>
  <dc:description/>
  <cp:lastModifiedBy>Dunkin, Alexis (UTC)</cp:lastModifiedBy>
  <cp:revision/>
  <cp:lastPrinted>2025-01-31T17:22:11Z</cp:lastPrinted>
  <dcterms:created xsi:type="dcterms:W3CDTF">2015-11-24T01:23:41Z</dcterms:created>
  <dcterms:modified xsi:type="dcterms:W3CDTF">2025-01-31T21:30:41Z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0x0101006E56B4D1795A2E4DB2F0B01679ED314A0088BDEC0653D6204DB4E9E8901B172BDA</vt:lpwstr>
  </property>
  <property fmtid="{D5CDD505-2E9C-101B-9397-08002B2CF9AE}" pid="3" name="ESRI_WORKBOOK_ID">
    <vt:lpwstr>274cd102ef1149d087689991da2fe8eb</vt:lpwstr>
  </property>
  <property fmtid="{D5CDD505-2E9C-101B-9397-08002B2CF9AE}" pid="4" name="_docset_NoMedatataSyncRequired">
    <vt:lpwstr>False</vt:lpwstr>
  </property>
</Properties>
</file>