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60" windowWidth="11340" windowHeight="6030"/>
  </bookViews>
  <sheets>
    <sheet name="Sheet1" sheetId="2" r:id="rId1"/>
  </sheets>
  <definedNames>
    <definedName name="_xlnm.Print_Area" localSheetId="0">Sheet1!$A$1:$M$35</definedName>
  </definedNames>
  <calcPr calcId="145621" calcMode="manual" iterate="1"/>
</workbook>
</file>

<file path=xl/calcChain.xml><?xml version="1.0" encoding="utf-8"?>
<calcChain xmlns="http://schemas.openxmlformats.org/spreadsheetml/2006/main">
  <c r="H21" i="2"/>
  <c r="H20"/>
  <c r="F21"/>
  <c r="F20"/>
  <c r="A13"/>
  <c r="A14" s="1"/>
  <c r="F12"/>
  <c r="G12" s="1"/>
  <c r="I12" s="1"/>
  <c r="G15"/>
  <c r="I15" s="1"/>
  <c r="J15" s="1"/>
  <c r="K15" s="1"/>
  <c r="L15" s="1"/>
  <c r="F16"/>
  <c r="G16" s="1"/>
  <c r="F17"/>
  <c r="G17" s="1"/>
  <c r="F18"/>
  <c r="G18" s="1"/>
  <c r="F19"/>
  <c r="G19" s="1"/>
  <c r="G20"/>
  <c r="I20" s="1"/>
  <c r="J20" s="1"/>
  <c r="K20" s="1"/>
  <c r="L20" s="1"/>
  <c r="G21"/>
  <c r="I21"/>
  <c r="J21" s="1"/>
  <c r="K21" s="1"/>
  <c r="L21" s="1"/>
  <c r="L23"/>
  <c r="L24"/>
  <c r="M13"/>
  <c r="M12"/>
  <c r="C24"/>
  <c r="C23"/>
  <c r="C21"/>
  <c r="C20"/>
  <c r="C15"/>
  <c r="H26"/>
  <c r="F26" l="1"/>
  <c r="I19"/>
  <c r="J19" s="1"/>
  <c r="K19" s="1"/>
  <c r="L19" s="1"/>
  <c r="I17"/>
  <c r="J17" s="1"/>
  <c r="K17" s="1"/>
  <c r="L17" s="1"/>
  <c r="J12"/>
  <c r="K12" s="1"/>
  <c r="L12" s="1"/>
  <c r="M14"/>
  <c r="A15"/>
  <c r="I18"/>
  <c r="J18" s="1"/>
  <c r="K18" s="1"/>
  <c r="L18" s="1"/>
  <c r="I16"/>
  <c r="J16" s="1"/>
  <c r="K16" s="1"/>
  <c r="L16" s="1"/>
  <c r="G26"/>
  <c r="E26" s="1"/>
  <c r="L26" l="1"/>
  <c r="K26" s="1"/>
  <c r="A16"/>
  <c r="M15"/>
  <c r="I26"/>
  <c r="M16" l="1"/>
  <c r="A17"/>
  <c r="A18" l="1"/>
  <c r="M17"/>
  <c r="M18" l="1"/>
  <c r="A19"/>
  <c r="A20" l="1"/>
  <c r="M19"/>
  <c r="M20" l="1"/>
  <c r="A21"/>
  <c r="A22" l="1"/>
  <c r="M21"/>
  <c r="M22" l="1"/>
  <c r="A23"/>
  <c r="A24" l="1"/>
  <c r="M23"/>
  <c r="M24" l="1"/>
  <c r="A25"/>
  <c r="A26" l="1"/>
  <c r="M25"/>
  <c r="M26" l="1"/>
  <c r="A27"/>
  <c r="A28" l="1"/>
  <c r="M27"/>
  <c r="M28" l="1"/>
  <c r="A29"/>
  <c r="M29" l="1"/>
  <c r="A30"/>
  <c r="M30" l="1"/>
  <c r="A31"/>
  <c r="M31" l="1"/>
  <c r="A32"/>
  <c r="A33" l="1"/>
  <c r="M32"/>
  <c r="A34" l="1"/>
  <c r="M33"/>
  <c r="A35" l="1"/>
  <c r="M35" s="1"/>
  <c r="M34"/>
</calcChain>
</file>

<file path=xl/sharedStrings.xml><?xml version="1.0" encoding="utf-8"?>
<sst xmlns="http://schemas.openxmlformats.org/spreadsheetml/2006/main" count="75" uniqueCount="62">
  <si>
    <t>Shares</t>
  </si>
  <si>
    <t xml:space="preserve">Cost of </t>
  </si>
  <si>
    <t>Line</t>
  </si>
  <si>
    <t>Issuance</t>
  </si>
  <si>
    <t>Dividend</t>
  </si>
  <si>
    <t>No.</t>
  </si>
  <si>
    <t>Description of Issue</t>
  </si>
  <si>
    <t>Date</t>
  </si>
  <si>
    <t>Value</t>
  </si>
  <si>
    <t>to Company</t>
  </si>
  <si>
    <t>Cost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</si>
  <si>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</si>
  <si>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</si>
  <si>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</si>
  <si>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</si>
  <si>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</si>
  <si>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</si>
  <si>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</si>
  <si>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</si>
  <si>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</si>
  <si>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</si>
  <si>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</si>
  <si>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5% Preferred Stock, $100 Par Value</t>
  </si>
  <si>
    <t>(a)</t>
  </si>
  <si>
    <t>Serial Preferred, $100 Par Value</t>
  </si>
  <si>
    <t>(b)</t>
  </si>
  <si>
    <t>(c)</t>
  </si>
  <si>
    <t xml:space="preserve">  (a) Issue replaced 6% and 7% preferred stock of Pacific Power &amp; Light Company and Northwestern Electric Company</t>
  </si>
  <si>
    <t xml:space="preserve">       and 5% preferred stock of Mountain States Power Company, most of which sold in the 1920's and 1930's.</t>
  </si>
  <si>
    <t xml:space="preserve">  (b) These issues replaced an issue of The California Oregon Power Company as a result of the merger of that Company into Pacific Power &amp; Light Co.</t>
  </si>
  <si>
    <t>PACIFICORP</t>
  </si>
  <si>
    <t>Electric Operations</t>
  </si>
  <si>
    <t xml:space="preserve">  (c) Original issue expense/premium has been fully amortized or expensed.</t>
  </si>
  <si>
    <t>Total Par</t>
  </si>
  <si>
    <t>or Stated</t>
  </si>
  <si>
    <t>Call</t>
  </si>
  <si>
    <t>Price</t>
  </si>
  <si>
    <t>Annual</t>
  </si>
  <si>
    <t>Rate</t>
  </si>
  <si>
    <t>Net</t>
  </si>
  <si>
    <t>O/S</t>
  </si>
  <si>
    <t>None</t>
  </si>
  <si>
    <t>Premium &amp;</t>
  </si>
  <si>
    <t xml:space="preserve">(Expense) </t>
  </si>
  <si>
    <t>(e)</t>
  </si>
  <si>
    <t>Money</t>
  </si>
  <si>
    <t>% of</t>
  </si>
  <si>
    <t>Gross</t>
  </si>
  <si>
    <t>Proceeds</t>
  </si>
  <si>
    <t xml:space="preserve">  4.52% Series</t>
  </si>
  <si>
    <t xml:space="preserve">  7.00% Series</t>
  </si>
  <si>
    <t xml:space="preserve">  6.00% Series</t>
  </si>
  <si>
    <t xml:space="preserve">  5.00% Series</t>
  </si>
  <si>
    <t xml:space="preserve">  5.40% Series</t>
  </si>
  <si>
    <t xml:space="preserve">  4.72% Series</t>
  </si>
  <si>
    <t xml:space="preserve">  4.56% Series</t>
  </si>
  <si>
    <t>Total Cost of Preferred Stock</t>
  </si>
  <si>
    <t>(d)</t>
  </si>
  <si>
    <t xml:space="preserve">  (d) Column 11 is the after-tax annual amortization of expenses related to the 8.375% QUIDS due 6/30/35 which were redeemed 11/20/00.</t>
  </si>
  <si>
    <t xml:space="preserve">  (e) Column 11 is the annual amortization of expenses related to the 8.55% QUIDS due 12/31/25 which were redeemed 11/20/00.</t>
  </si>
  <si>
    <t>Pro Forma Cost of Preferred Stock</t>
  </si>
  <si>
    <t>June 30, 2013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</si>
</sst>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%;[Red]\-0.00%"/>
    <numFmt numFmtId="166" formatCode="0.000%"/>
    <numFmt numFmtId="167" formatCode="mmm\-yy_);[Red]mmm\-yy_)"/>
    <numFmt numFmtId="168" formatCode="0.000%;[Red]\-0.000%"/>
    <numFmt numFmtId="169" formatCode="_(* #,##0_);_(* \(#,##0\);_(* &quot;-&quot;??_);_(@_)"/>
    <numFmt numFmtId="170" formatCode="[$-409]mmm\-yy;@"/>
    <numFmt numFmtId="171" formatCode="0_)"/>
  </numFmts>
  <fonts count="13">
    <font>
      <sz val="10"/>
      <name val="Arial"/>
    </font>
    <font>
      <sz val="10"/>
      <name val="Arial"/>
      <family val="2"/>
    </font>
    <font>
      <sz val="10"/>
      <name val="CG Times (WN)"/>
      <family val="1"/>
    </font>
    <font>
      <sz val="10"/>
      <color indexed="12"/>
      <name val="CG Times (WN)"/>
      <family val="1"/>
    </font>
    <font>
      <sz val="10"/>
      <color indexed="12"/>
      <name val="Courier"/>
      <family val="3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indexed="39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8"/>
      </patternFill>
    </fill>
  </fills>
  <borders count="12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164" fontId="4" fillId="0" borderId="1" xfId="0" applyNumberFormat="1" applyFont="1" applyBorder="1" applyProtection="1">
      <protection locked="0"/>
    </xf>
    <xf numFmtId="167" fontId="2" fillId="0" borderId="0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Protection="1">
      <protection locked="0"/>
    </xf>
    <xf numFmtId="169" fontId="1" fillId="0" borderId="0" xfId="1" applyNumberFormat="1"/>
    <xf numFmtId="10" fontId="6" fillId="0" borderId="0" xfId="2" applyNumberFormat="1" applyFont="1" applyFill="1" applyAlignment="1" applyProtection="1">
      <alignment horizontal="center"/>
      <protection locked="0"/>
    </xf>
    <xf numFmtId="171" fontId="6" fillId="0" borderId="0" xfId="0" applyNumberFormat="1" applyFont="1" applyBorder="1" applyAlignment="1" applyProtection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Border="1"/>
    <xf numFmtId="0" fontId="7" fillId="0" borderId="0" xfId="0" applyFont="1" applyBorder="1" applyAlignment="1" applyProtection="1">
      <alignment horizontal="center"/>
    </xf>
    <xf numFmtId="0" fontId="7" fillId="0" borderId="1" xfId="0" applyFont="1" applyBorder="1" applyProtection="1"/>
    <xf numFmtId="0" fontId="7" fillId="0" borderId="0" xfId="0" applyFont="1" applyBorder="1" applyProtection="1"/>
    <xf numFmtId="0" fontId="7" fillId="0" borderId="0" xfId="0" applyFont="1" applyAlignment="1" applyProtection="1">
      <alignment horizontal="center"/>
    </xf>
    <xf numFmtId="0" fontId="7" fillId="0" borderId="2" xfId="0" applyFont="1" applyBorder="1" applyProtection="1"/>
    <xf numFmtId="0" fontId="7" fillId="0" borderId="1" xfId="0" applyFont="1" applyBorder="1" applyAlignment="1" applyProtection="1">
      <alignment horizontal="center"/>
    </xf>
    <xf numFmtId="0" fontId="7" fillId="0" borderId="0" xfId="0" applyFont="1" applyProtection="1"/>
    <xf numFmtId="0" fontId="7" fillId="0" borderId="2" xfId="0" applyFont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4" xfId="0" quotePrefix="1" applyFont="1" applyFill="1" applyBorder="1" applyAlignment="1" applyProtection="1">
      <alignment horizontal="center"/>
    </xf>
    <xf numFmtId="0" fontId="6" fillId="0" borderId="1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37" fontId="8" fillId="0" borderId="0" xfId="0" applyNumberFormat="1" applyFont="1" applyFill="1" applyBorder="1" applyProtection="1">
      <protection locked="0"/>
    </xf>
    <xf numFmtId="6" fontId="6" fillId="0" borderId="0" xfId="0" applyNumberFormat="1" applyFont="1" applyFill="1" applyBorder="1" applyProtection="1"/>
    <xf numFmtId="166" fontId="6" fillId="0" borderId="0" xfId="2" applyNumberFormat="1" applyFont="1" applyFill="1" applyBorder="1" applyAlignment="1" applyProtection="1">
      <alignment horizontal="right"/>
    </xf>
    <xf numFmtId="168" fontId="6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167" fontId="6" fillId="0" borderId="0" xfId="0" applyNumberFormat="1" applyFont="1" applyFill="1" applyBorder="1" applyAlignment="1" applyProtection="1">
      <alignment horizontal="center"/>
    </xf>
    <xf numFmtId="6" fontId="6" fillId="0" borderId="0" xfId="0" quotePrefix="1" applyNumberFormat="1" applyFont="1" applyFill="1" applyBorder="1" applyAlignment="1" applyProtection="1">
      <alignment horizontal="right"/>
    </xf>
    <xf numFmtId="167" fontId="6" fillId="0" borderId="0" xfId="0" quotePrefix="1" applyNumberFormat="1" applyFont="1" applyFill="1" applyBorder="1" applyAlignment="1" applyProtection="1">
      <alignment horizontal="center"/>
    </xf>
    <xf numFmtId="169" fontId="6" fillId="0" borderId="0" xfId="1" applyNumberFormat="1" applyFont="1" applyFill="1" applyBorder="1" applyProtection="1"/>
    <xf numFmtId="167" fontId="6" fillId="0" borderId="0" xfId="0" applyNumberFormat="1" applyFont="1" applyFill="1" applyBorder="1" applyProtection="1"/>
    <xf numFmtId="165" fontId="6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left"/>
    </xf>
    <xf numFmtId="37" fontId="10" fillId="0" borderId="0" xfId="0" applyNumberFormat="1" applyFont="1" applyFill="1" applyBorder="1" applyProtection="1">
      <protection locked="0"/>
    </xf>
    <xf numFmtId="6" fontId="9" fillId="0" borderId="0" xfId="0" applyNumberFormat="1" applyFont="1" applyFill="1" applyBorder="1" applyProtection="1"/>
    <xf numFmtId="170" fontId="6" fillId="0" borderId="0" xfId="0" quotePrefix="1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37" fontId="7" fillId="0" borderId="5" xfId="0" applyNumberFormat="1" applyFont="1" applyFill="1" applyBorder="1" applyProtection="1"/>
    <xf numFmtId="6" fontId="7" fillId="0" borderId="5" xfId="0" applyNumberFormat="1" applyFont="1" applyFill="1" applyBorder="1" applyProtection="1"/>
    <xf numFmtId="6" fontId="7" fillId="0" borderId="0" xfId="0" applyNumberFormat="1" applyFont="1" applyFill="1" applyBorder="1" applyProtection="1"/>
    <xf numFmtId="166" fontId="7" fillId="0" borderId="5" xfId="2" applyNumberFormat="1" applyFont="1" applyFill="1" applyBorder="1" applyAlignment="1" applyProtection="1">
      <alignment horizontal="center"/>
    </xf>
    <xf numFmtId="0" fontId="6" fillId="0" borderId="6" xfId="0" applyFont="1" applyFill="1" applyBorder="1" applyProtection="1"/>
    <xf numFmtId="165" fontId="6" fillId="0" borderId="0" xfId="0" applyNumberFormat="1" applyFont="1" applyFill="1" applyBorder="1" applyProtection="1"/>
    <xf numFmtId="10" fontId="6" fillId="0" borderId="0" xfId="2" applyNumberFormat="1" applyFont="1" applyFill="1" applyBorder="1" applyProtection="1"/>
    <xf numFmtId="0" fontId="8" fillId="0" borderId="8" xfId="0" applyFont="1" applyFill="1" applyBorder="1" applyProtection="1">
      <protection locked="0"/>
    </xf>
    <xf numFmtId="0" fontId="6" fillId="0" borderId="8" xfId="0" applyFont="1" applyFill="1" applyBorder="1" applyAlignment="1" applyProtection="1">
      <alignment horizontal="center"/>
    </xf>
    <xf numFmtId="0" fontId="6" fillId="0" borderId="8" xfId="0" applyFont="1" applyFill="1" applyBorder="1" applyProtection="1"/>
    <xf numFmtId="169" fontId="6" fillId="0" borderId="8" xfId="1" applyNumberFormat="1" applyFont="1" applyFill="1" applyBorder="1" applyProtection="1"/>
    <xf numFmtId="166" fontId="6" fillId="0" borderId="0" xfId="0" applyNumberFormat="1" applyFont="1" applyFill="1" applyBorder="1" applyAlignment="1" applyProtection="1">
      <alignment horizontal="center"/>
    </xf>
    <xf numFmtId="0" fontId="6" fillId="0" borderId="10" xfId="0" quotePrefix="1" applyFont="1" applyFill="1" applyBorder="1" applyAlignment="1" applyProtection="1">
      <alignment horizontal="center"/>
    </xf>
    <xf numFmtId="10" fontId="6" fillId="0" borderId="0" xfId="2" applyNumberFormat="1" applyFont="1" applyFill="1" applyBorder="1" applyAlignment="1" applyProtection="1">
      <alignment horizontal="center"/>
    </xf>
    <xf numFmtId="10" fontId="6" fillId="0" borderId="0" xfId="0" applyNumberFormat="1" applyFont="1" applyFill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15" fontId="11" fillId="2" borderId="11" xfId="0" quotePrefix="1" applyNumberFormat="1" applyFont="1" applyFill="1" applyBorder="1" applyAlignment="1" applyProtection="1">
      <alignment horizontal="center"/>
      <protection locked="0"/>
    </xf>
    <xf numFmtId="15" fontId="11" fillId="2" borderId="0" xfId="0" quotePrefix="1" applyNumberFormat="1" applyFont="1" applyFill="1" applyBorder="1" applyAlignment="1" applyProtection="1">
      <alignment horizontal="center"/>
      <protection locked="0"/>
    </xf>
    <xf numFmtId="37" fontId="12" fillId="0" borderId="0" xfId="0" applyNumberFormat="1" applyFont="1" applyFill="1" applyBorder="1" applyProtection="1">
      <protection locked="0"/>
    </xf>
    <xf numFmtId="164" fontId="12" fillId="0" borderId="2" xfId="0" applyNumberFormat="1" applyFont="1" applyFill="1" applyBorder="1" applyAlignment="1" applyProtection="1">
      <alignment horizontal="center"/>
      <protection locked="0"/>
    </xf>
    <xf numFmtId="164" fontId="12" fillId="0" borderId="9" xfId="0" applyNumberFormat="1" applyFont="1" applyFill="1" applyBorder="1" applyAlignment="1" applyProtection="1">
      <alignment horizontal="center"/>
      <protection locked="0"/>
    </xf>
    <xf numFmtId="164" fontId="12" fillId="0" borderId="1" xfId="0" applyNumberFormat="1" applyFont="1" applyFill="1" applyBorder="1" applyAlignment="1" applyProtection="1">
      <alignment horizontal="center"/>
      <protection locked="0"/>
    </xf>
    <xf numFmtId="164" fontId="12" fillId="0" borderId="7" xfId="0" applyNumberFormat="1" applyFont="1" applyFill="1" applyBorder="1" applyAlignment="1" applyProtection="1">
      <alignment horizontal="center"/>
      <protection locked="0"/>
    </xf>
    <xf numFmtId="37" fontId="6" fillId="0" borderId="0" xfId="0" applyNumberFormat="1" applyFont="1" applyFill="1" applyBorder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76200</xdr:rowOff>
    </xdr:from>
    <xdr:to>
      <xdr:col>13</xdr:col>
      <xdr:colOff>0</xdr:colOff>
      <xdr:row>8</xdr:row>
      <xdr:rowOff>76200</xdr:rowOff>
    </xdr:to>
    <xdr:sp macro="" textlink="" fLocksText="0">
      <xdr:nvSpPr>
        <xdr:cNvPr id="2049" name="Line 1"/>
        <xdr:cNvSpPr>
          <a:spLocks noChangeShapeType="1"/>
        </xdr:cNvSpPr>
      </xdr:nvSpPr>
      <xdr:spPr bwMode="auto">
        <a:xfrm>
          <a:off x="11049000" y="1543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zoomScale="75" workbookViewId="0">
      <selection activeCell="J32" sqref="J32"/>
    </sheetView>
  </sheetViews>
  <sheetFormatPr defaultRowHeight="12.75"/>
  <cols>
    <col min="1" max="1" width="5.7109375" bestFit="1" customWidth="1"/>
    <col min="2" max="2" width="42.42578125" customWidth="1"/>
    <col min="3" max="3" width="9.140625" style="1"/>
    <col min="5" max="5" width="10" bestFit="1" customWidth="1"/>
    <col min="6" max="6" width="9.85546875" bestFit="1" customWidth="1"/>
    <col min="7" max="7" width="14.28515625" bestFit="1" customWidth="1"/>
    <col min="8" max="8" width="12.140625" bestFit="1" customWidth="1"/>
    <col min="9" max="9" width="13.42578125" bestFit="1" customWidth="1"/>
    <col min="10" max="10" width="11" bestFit="1" customWidth="1"/>
    <col min="11" max="11" width="9.7109375" bestFit="1" customWidth="1"/>
    <col min="12" max="12" width="13.140625" bestFit="1" customWidth="1"/>
    <col min="13" max="13" width="5.7109375" bestFit="1" customWidth="1"/>
    <col min="15" max="15" width="3.42578125" bestFit="1" customWidth="1"/>
  </cols>
  <sheetData>
    <row r="1" spans="1:13" s="8" customFormat="1" ht="15.75" customHeight="1">
      <c r="A1" s="61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s="8" customFormat="1" ht="15.75" customHeight="1">
      <c r="A2" s="61" t="s">
        <v>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s="8" customFormat="1" ht="15.75" customHeight="1">
      <c r="A3" s="61" t="s">
        <v>60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s="8" customFormat="1" ht="15.75" customHeight="1">
      <c r="A4" s="63" t="s">
        <v>61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s="8" customFormat="1" ht="13.5" customHeight="1">
      <c r="A5" s="9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2"/>
    </row>
    <row r="6" spans="1:13" s="8" customFormat="1" ht="13.5" customHeight="1">
      <c r="A6" s="9"/>
      <c r="B6" s="10"/>
      <c r="C6" s="11"/>
      <c r="D6" s="10"/>
      <c r="E6" s="10"/>
      <c r="F6" s="10"/>
      <c r="G6" s="13" t="s">
        <v>33</v>
      </c>
      <c r="H6" s="10"/>
      <c r="I6" s="10"/>
      <c r="J6" s="10"/>
      <c r="K6" s="10"/>
      <c r="L6" s="10"/>
      <c r="M6" s="12"/>
    </row>
    <row r="7" spans="1:13" s="8" customFormat="1" ht="12.75" customHeight="1">
      <c r="A7" s="14"/>
      <c r="B7" s="15"/>
      <c r="C7" s="13"/>
      <c r="D7" s="15"/>
      <c r="E7" s="13" t="s">
        <v>37</v>
      </c>
      <c r="F7" s="13"/>
      <c r="G7" s="16" t="s">
        <v>34</v>
      </c>
      <c r="H7" s="13" t="s">
        <v>39</v>
      </c>
      <c r="I7" s="13" t="s">
        <v>39</v>
      </c>
      <c r="J7" s="13" t="s">
        <v>46</v>
      </c>
      <c r="K7" s="13"/>
      <c r="L7" s="15"/>
      <c r="M7" s="17"/>
    </row>
    <row r="8" spans="1:13" s="8" customFormat="1">
      <c r="A8" s="18" t="s">
        <v>2</v>
      </c>
      <c r="B8" s="19"/>
      <c r="C8" s="16" t="s">
        <v>3</v>
      </c>
      <c r="D8" s="16" t="s">
        <v>35</v>
      </c>
      <c r="E8" s="16" t="s">
        <v>4</v>
      </c>
      <c r="F8" s="16" t="s">
        <v>0</v>
      </c>
      <c r="G8" s="13" t="s">
        <v>8</v>
      </c>
      <c r="H8" s="16" t="s">
        <v>42</v>
      </c>
      <c r="I8" s="16" t="s">
        <v>48</v>
      </c>
      <c r="J8" s="16" t="s">
        <v>47</v>
      </c>
      <c r="K8" s="13" t="s">
        <v>1</v>
      </c>
      <c r="L8" s="16" t="s">
        <v>37</v>
      </c>
      <c r="M8" s="20" t="s">
        <v>2</v>
      </c>
    </row>
    <row r="9" spans="1:13" s="8" customFormat="1">
      <c r="A9" s="18" t="s">
        <v>5</v>
      </c>
      <c r="B9" s="13" t="s">
        <v>6</v>
      </c>
      <c r="C9" s="13" t="s">
        <v>7</v>
      </c>
      <c r="D9" s="13" t="s">
        <v>36</v>
      </c>
      <c r="E9" s="13" t="s">
        <v>38</v>
      </c>
      <c r="F9" s="13" t="s">
        <v>40</v>
      </c>
      <c r="G9" s="13" t="s">
        <v>40</v>
      </c>
      <c r="H9" s="13" t="s">
        <v>43</v>
      </c>
      <c r="I9" s="13" t="s">
        <v>9</v>
      </c>
      <c r="J9" s="13" t="s">
        <v>48</v>
      </c>
      <c r="K9" s="13" t="s">
        <v>45</v>
      </c>
      <c r="L9" s="13" t="s">
        <v>10</v>
      </c>
      <c r="M9" s="20" t="s">
        <v>5</v>
      </c>
    </row>
    <row r="10" spans="1:13" s="8" customFormat="1">
      <c r="A10" s="21"/>
      <c r="B10" s="22" t="s">
        <v>11</v>
      </c>
      <c r="C10" s="22" t="s">
        <v>12</v>
      </c>
      <c r="D10" s="22" t="s">
        <v>13</v>
      </c>
      <c r="E10" s="22" t="s">
        <v>14</v>
      </c>
      <c r="F10" s="22" t="s">
        <v>15</v>
      </c>
      <c r="G10" s="22" t="s">
        <v>16</v>
      </c>
      <c r="H10" s="22" t="s">
        <v>17</v>
      </c>
      <c r="I10" s="22" t="s">
        <v>18</v>
      </c>
      <c r="J10" s="22" t="s">
        <v>19</v>
      </c>
      <c r="K10" s="22" t="s">
        <v>20</v>
      </c>
      <c r="L10" s="22" t="s">
        <v>21</v>
      </c>
      <c r="M10" s="58"/>
    </row>
    <row r="11" spans="1:13" s="8" customFormat="1">
      <c r="A11" s="23"/>
      <c r="B11" s="24"/>
      <c r="C11" s="25"/>
      <c r="D11" s="24"/>
      <c r="E11" s="24"/>
      <c r="F11" s="24"/>
      <c r="G11" s="24"/>
      <c r="H11" s="24"/>
      <c r="I11" s="24"/>
      <c r="J11" s="24"/>
      <c r="K11" s="25"/>
      <c r="L11" s="24"/>
      <c r="M11" s="26"/>
    </row>
    <row r="12" spans="1:13" s="8" customFormat="1">
      <c r="A12" s="68">
        <v>1</v>
      </c>
      <c r="B12" s="27" t="s">
        <v>22</v>
      </c>
      <c r="C12" s="25" t="s">
        <v>23</v>
      </c>
      <c r="D12" s="6">
        <v>1.1000000000000001</v>
      </c>
      <c r="E12" s="59">
        <v>0.05</v>
      </c>
      <c r="F12" s="65">
        <f>126533-70-220</f>
        <v>126243</v>
      </c>
      <c r="G12" s="29">
        <f>F12*100</f>
        <v>12624300</v>
      </c>
      <c r="H12" s="70">
        <v>-98049.35</v>
      </c>
      <c r="I12" s="29">
        <f>G12+H12</f>
        <v>12526250.65</v>
      </c>
      <c r="J12" s="30">
        <f>I12/G12</f>
        <v>0.99223328422169943</v>
      </c>
      <c r="K12" s="31">
        <f>E12/J12</f>
        <v>5.0391375491117128E-2</v>
      </c>
      <c r="L12" s="29">
        <f>G12*K12</f>
        <v>636155.84161250992</v>
      </c>
      <c r="M12" s="66">
        <f>A12</f>
        <v>1</v>
      </c>
    </row>
    <row r="13" spans="1:13" s="8" customFormat="1">
      <c r="A13" s="68">
        <f>A12+1</f>
        <v>2</v>
      </c>
      <c r="B13" s="24"/>
      <c r="C13" s="25"/>
      <c r="D13" s="24"/>
      <c r="E13" s="60"/>
      <c r="F13" s="65"/>
      <c r="G13" s="24"/>
      <c r="H13" s="24"/>
      <c r="I13" s="24"/>
      <c r="J13" s="32"/>
      <c r="K13" s="31"/>
      <c r="L13" s="24"/>
      <c r="M13" s="66">
        <f t="shared" ref="M13:M35" si="0">A13</f>
        <v>2</v>
      </c>
    </row>
    <row r="14" spans="1:13" s="8" customFormat="1">
      <c r="A14" s="68">
        <f t="shared" ref="A14:A35" si="1">A13+1</f>
        <v>3</v>
      </c>
      <c r="B14" s="27" t="s">
        <v>24</v>
      </c>
      <c r="C14" s="25"/>
      <c r="D14" s="24"/>
      <c r="E14" s="60"/>
      <c r="F14" s="65"/>
      <c r="G14" s="24"/>
      <c r="H14" s="24"/>
      <c r="I14" s="24"/>
      <c r="J14" s="32"/>
      <c r="K14" s="31"/>
      <c r="L14" s="24"/>
      <c r="M14" s="66">
        <f t="shared" si="0"/>
        <v>3</v>
      </c>
    </row>
    <row r="15" spans="1:13" s="8" customFormat="1">
      <c r="A15" s="68">
        <f t="shared" si="1"/>
        <v>4</v>
      </c>
      <c r="B15" s="33" t="s">
        <v>49</v>
      </c>
      <c r="C15" s="34">
        <f>DATE(1955,10,10)</f>
        <v>20372</v>
      </c>
      <c r="D15" s="6">
        <v>1.0349999999999999</v>
      </c>
      <c r="E15" s="59">
        <v>4.5199999999999997E-2</v>
      </c>
      <c r="F15" s="65">
        <v>2065</v>
      </c>
      <c r="G15" s="29">
        <f t="shared" ref="G15:G21" si="2">F15*100</f>
        <v>206500</v>
      </c>
      <c r="H15" s="70">
        <v>-9676.33</v>
      </c>
      <c r="I15" s="29">
        <f>G15+H15</f>
        <v>196823.67</v>
      </c>
      <c r="J15" s="30">
        <f t="shared" ref="J15:J21" si="3">I15/G15</f>
        <v>0.95314125907990321</v>
      </c>
      <c r="K15" s="31">
        <f t="shared" ref="K15:K21" si="4">E15/J15</f>
        <v>4.7422141859259095E-2</v>
      </c>
      <c r="L15" s="29">
        <f t="shared" ref="L15:L21" si="5">G15*K15</f>
        <v>9792.6722939370029</v>
      </c>
      <c r="M15" s="66">
        <f t="shared" si="0"/>
        <v>4</v>
      </c>
    </row>
    <row r="16" spans="1:13" s="8" customFormat="1">
      <c r="A16" s="68">
        <f t="shared" si="1"/>
        <v>5</v>
      </c>
      <c r="B16" s="33" t="s">
        <v>50</v>
      </c>
      <c r="C16" s="34" t="s">
        <v>25</v>
      </c>
      <c r="D16" s="34" t="s">
        <v>41</v>
      </c>
      <c r="E16" s="59">
        <v>7.0000000000000007E-2</v>
      </c>
      <c r="F16" s="65">
        <f>18060-14</f>
        <v>18046</v>
      </c>
      <c r="G16" s="29">
        <f t="shared" si="2"/>
        <v>1804600</v>
      </c>
      <c r="H16" s="35" t="s">
        <v>26</v>
      </c>
      <c r="I16" s="29">
        <f>G16</f>
        <v>1804600</v>
      </c>
      <c r="J16" s="30">
        <f t="shared" si="3"/>
        <v>1</v>
      </c>
      <c r="K16" s="31">
        <f t="shared" si="4"/>
        <v>7.0000000000000007E-2</v>
      </c>
      <c r="L16" s="29">
        <f t="shared" si="5"/>
        <v>126322.00000000001</v>
      </c>
      <c r="M16" s="66">
        <f t="shared" si="0"/>
        <v>5</v>
      </c>
    </row>
    <row r="17" spans="1:13" s="8" customFormat="1">
      <c r="A17" s="68">
        <f t="shared" si="1"/>
        <v>6</v>
      </c>
      <c r="B17" s="33" t="s">
        <v>51</v>
      </c>
      <c r="C17" s="34" t="s">
        <v>25</v>
      </c>
      <c r="D17" s="34" t="s">
        <v>41</v>
      </c>
      <c r="E17" s="59">
        <v>0.06</v>
      </c>
      <c r="F17" s="65">
        <f>5932-2</f>
        <v>5930</v>
      </c>
      <c r="G17" s="29">
        <f t="shared" si="2"/>
        <v>593000</v>
      </c>
      <c r="H17" s="35" t="s">
        <v>26</v>
      </c>
      <c r="I17" s="29">
        <f>G17</f>
        <v>593000</v>
      </c>
      <c r="J17" s="30">
        <f t="shared" si="3"/>
        <v>1</v>
      </c>
      <c r="K17" s="31">
        <f t="shared" si="4"/>
        <v>0.06</v>
      </c>
      <c r="L17" s="29">
        <f t="shared" si="5"/>
        <v>35580</v>
      </c>
      <c r="M17" s="66">
        <f t="shared" si="0"/>
        <v>6</v>
      </c>
    </row>
    <row r="18" spans="1:13" s="8" customFormat="1">
      <c r="A18" s="68">
        <f t="shared" si="1"/>
        <v>7</v>
      </c>
      <c r="B18" s="33" t="s">
        <v>52</v>
      </c>
      <c r="C18" s="34" t="s">
        <v>25</v>
      </c>
      <c r="D18" s="6">
        <v>1</v>
      </c>
      <c r="E18" s="59">
        <v>0.05</v>
      </c>
      <c r="F18" s="65">
        <f>42000-30-62</f>
        <v>41908</v>
      </c>
      <c r="G18" s="29">
        <f t="shared" si="2"/>
        <v>4190800</v>
      </c>
      <c r="H18" s="35" t="s">
        <v>26</v>
      </c>
      <c r="I18" s="29">
        <f>G18</f>
        <v>4190800</v>
      </c>
      <c r="J18" s="30">
        <f t="shared" si="3"/>
        <v>1</v>
      </c>
      <c r="K18" s="31">
        <f t="shared" si="4"/>
        <v>0.05</v>
      </c>
      <c r="L18" s="29">
        <f t="shared" si="5"/>
        <v>209540</v>
      </c>
      <c r="M18" s="66">
        <f t="shared" si="0"/>
        <v>7</v>
      </c>
    </row>
    <row r="19" spans="1:13" s="8" customFormat="1">
      <c r="A19" s="68">
        <f t="shared" si="1"/>
        <v>8</v>
      </c>
      <c r="B19" s="33" t="s">
        <v>53</v>
      </c>
      <c r="C19" s="34" t="s">
        <v>25</v>
      </c>
      <c r="D19" s="6">
        <v>1.01</v>
      </c>
      <c r="E19" s="59">
        <v>5.3999999999999999E-2</v>
      </c>
      <c r="F19" s="65">
        <f>65960-1</f>
        <v>65959</v>
      </c>
      <c r="G19" s="29">
        <f t="shared" si="2"/>
        <v>6595900</v>
      </c>
      <c r="H19" s="35" t="s">
        <v>26</v>
      </c>
      <c r="I19" s="29">
        <f>G19</f>
        <v>6595900</v>
      </c>
      <c r="J19" s="30">
        <f t="shared" si="3"/>
        <v>1</v>
      </c>
      <c r="K19" s="31">
        <f t="shared" si="4"/>
        <v>5.3999999999999999E-2</v>
      </c>
      <c r="L19" s="29">
        <f t="shared" si="5"/>
        <v>356178.6</v>
      </c>
      <c r="M19" s="66">
        <f t="shared" si="0"/>
        <v>8</v>
      </c>
    </row>
    <row r="20" spans="1:13" s="8" customFormat="1">
      <c r="A20" s="68">
        <f t="shared" si="1"/>
        <v>9</v>
      </c>
      <c r="B20" s="33" t="s">
        <v>54</v>
      </c>
      <c r="C20" s="34">
        <f>DATE(1963,8,7)</f>
        <v>23230</v>
      </c>
      <c r="D20" s="6">
        <v>1.0349999999999999</v>
      </c>
      <c r="E20" s="59">
        <v>4.7199999999999999E-2</v>
      </c>
      <c r="F20" s="65">
        <f>69890-4036</f>
        <v>65854</v>
      </c>
      <c r="G20" s="29">
        <f t="shared" si="2"/>
        <v>6585400</v>
      </c>
      <c r="H20" s="70">
        <f>-30348.61+1752.57</f>
        <v>-28596.04</v>
      </c>
      <c r="I20" s="29">
        <f>G20+H20</f>
        <v>6556803.96</v>
      </c>
      <c r="J20" s="30">
        <f t="shared" si="3"/>
        <v>0.99565766088620278</v>
      </c>
      <c r="K20" s="31">
        <f t="shared" si="4"/>
        <v>4.7405852286607028E-2</v>
      </c>
      <c r="L20" s="29">
        <f t="shared" si="5"/>
        <v>312186.49964822194</v>
      </c>
      <c r="M20" s="66">
        <f t="shared" si="0"/>
        <v>9</v>
      </c>
    </row>
    <row r="21" spans="1:13" s="8" customFormat="1">
      <c r="A21" s="68">
        <f t="shared" si="1"/>
        <v>10</v>
      </c>
      <c r="B21" s="33" t="s">
        <v>55</v>
      </c>
      <c r="C21" s="34">
        <f>DATE(1965,2,3)</f>
        <v>23776</v>
      </c>
      <c r="D21" s="6">
        <v>1.0234000000000001</v>
      </c>
      <c r="E21" s="59">
        <v>4.5600000000000002E-2</v>
      </c>
      <c r="F21" s="65">
        <f>84592-3266</f>
        <v>81326</v>
      </c>
      <c r="G21" s="29">
        <f t="shared" si="2"/>
        <v>8132600</v>
      </c>
      <c r="H21" s="70">
        <f>-49071.21+1894.58</f>
        <v>-47176.63</v>
      </c>
      <c r="I21" s="29">
        <f>G21+H21</f>
        <v>8085423.3700000001</v>
      </c>
      <c r="J21" s="30">
        <f t="shared" si="3"/>
        <v>0.99419907163760668</v>
      </c>
      <c r="K21" s="31">
        <f t="shared" si="4"/>
        <v>4.5866065761748724E-2</v>
      </c>
      <c r="L21" s="29">
        <f t="shared" si="5"/>
        <v>373010.36641399766</v>
      </c>
      <c r="M21" s="66">
        <f t="shared" si="0"/>
        <v>10</v>
      </c>
    </row>
    <row r="22" spans="1:13" s="8" customFormat="1">
      <c r="A22" s="68">
        <f t="shared" si="1"/>
        <v>11</v>
      </c>
      <c r="B22" s="24"/>
      <c r="C22" s="25"/>
      <c r="D22" s="24"/>
      <c r="E22" s="57"/>
      <c r="F22" s="28"/>
      <c r="G22" s="24"/>
      <c r="H22" s="24"/>
      <c r="I22" s="29"/>
      <c r="J22" s="32"/>
      <c r="K22" s="31"/>
      <c r="L22" s="24"/>
      <c r="M22" s="66">
        <f t="shared" si="0"/>
        <v>11</v>
      </c>
    </row>
    <row r="23" spans="1:13" s="8" customFormat="1">
      <c r="A23" s="68">
        <f t="shared" si="1"/>
        <v>12</v>
      </c>
      <c r="B23" s="40"/>
      <c r="C23" s="34">
        <f>DATE(1995,5,31)</f>
        <v>34850</v>
      </c>
      <c r="D23" s="36" t="s">
        <v>57</v>
      </c>
      <c r="E23" s="38"/>
      <c r="F23" s="41"/>
      <c r="G23" s="42"/>
      <c r="H23" s="24"/>
      <c r="I23" s="29"/>
      <c r="J23" s="29"/>
      <c r="K23" s="39"/>
      <c r="L23" s="42">
        <f>((3780000+413399.58+23916.45+57037+49251.09)*0.63)/481*12</f>
        <v>67955.191574220386</v>
      </c>
      <c r="M23" s="66">
        <f t="shared" si="0"/>
        <v>12</v>
      </c>
    </row>
    <row r="24" spans="1:13" s="8" customFormat="1">
      <c r="A24" s="68">
        <f t="shared" si="1"/>
        <v>13</v>
      </c>
      <c r="B24" s="40"/>
      <c r="C24" s="34">
        <f>DATE(1995,10,5)</f>
        <v>34977</v>
      </c>
      <c r="D24" s="43" t="s">
        <v>44</v>
      </c>
      <c r="E24" s="43"/>
      <c r="F24" s="41"/>
      <c r="G24" s="42"/>
      <c r="H24" s="24"/>
      <c r="I24" s="29"/>
      <c r="J24" s="29"/>
      <c r="K24" s="39"/>
      <c r="L24" s="42">
        <f>(195859.99+1618002.11+33959.89+46700.92+168202.74+36615.33+90278.17+2587.95-11051+271464.54+67935.61)/360*12</f>
        <v>84018.541666666657</v>
      </c>
      <c r="M24" s="66">
        <f t="shared" si="0"/>
        <v>13</v>
      </c>
    </row>
    <row r="25" spans="1:13" s="8" customFormat="1">
      <c r="A25" s="68">
        <f t="shared" si="1"/>
        <v>14</v>
      </c>
      <c r="B25" s="24"/>
      <c r="C25" s="25"/>
      <c r="D25" s="24"/>
      <c r="E25" s="24"/>
      <c r="F25" s="28"/>
      <c r="G25" s="24"/>
      <c r="H25" s="24"/>
      <c r="I25" s="24"/>
      <c r="J25" s="24"/>
      <c r="K25" s="25"/>
      <c r="L25" s="24"/>
      <c r="M25" s="66">
        <f t="shared" si="0"/>
        <v>14</v>
      </c>
    </row>
    <row r="26" spans="1:13" s="8" customFormat="1" ht="15.95" customHeight="1" thickBot="1">
      <c r="A26" s="68">
        <f t="shared" si="1"/>
        <v>15</v>
      </c>
      <c r="B26" s="27" t="s">
        <v>56</v>
      </c>
      <c r="C26" s="44"/>
      <c r="D26" s="45"/>
      <c r="E26" s="49">
        <f>SUMPRODUCT(E12:E25,G12:G25)/G26</f>
        <v>5.0323860447645766E-2</v>
      </c>
      <c r="F26" s="46">
        <f>SUM(F12:F25)</f>
        <v>407331</v>
      </c>
      <c r="G26" s="47">
        <f>SUM(G12:G25)</f>
        <v>40733100</v>
      </c>
      <c r="H26" s="46">
        <f>SUM(H12:H25)</f>
        <v>-183498.35</v>
      </c>
      <c r="I26" s="47">
        <f>SUM(I12:I25)</f>
        <v>40549601.649999999</v>
      </c>
      <c r="J26" s="48"/>
      <c r="K26" s="49">
        <f>L26/G26</f>
        <v>5.427378994502146E-2</v>
      </c>
      <c r="L26" s="47">
        <f>SUM(L12:L25)</f>
        <v>2210739.7132095536</v>
      </c>
      <c r="M26" s="66">
        <f t="shared" si="0"/>
        <v>15</v>
      </c>
    </row>
    <row r="27" spans="1:13" s="8" customFormat="1" ht="13.5" thickTop="1">
      <c r="A27" s="68">
        <f t="shared" si="1"/>
        <v>16</v>
      </c>
      <c r="B27" s="24"/>
      <c r="C27" s="25"/>
      <c r="D27" s="24"/>
      <c r="E27" s="37"/>
      <c r="F27" s="24"/>
      <c r="G27" s="24"/>
      <c r="H27" s="24"/>
      <c r="I27" s="24"/>
      <c r="J27" s="24"/>
      <c r="K27" s="24"/>
      <c r="L27" s="37"/>
      <c r="M27" s="66">
        <f t="shared" si="0"/>
        <v>16</v>
      </c>
    </row>
    <row r="28" spans="1:13" s="8" customFormat="1" ht="13.5" customHeight="1" thickBot="1">
      <c r="A28" s="68">
        <f t="shared" si="1"/>
        <v>17</v>
      </c>
      <c r="B28" s="50"/>
      <c r="C28" s="25"/>
      <c r="D28" s="24"/>
      <c r="E28" s="51"/>
      <c r="F28" s="24"/>
      <c r="G28" s="24"/>
      <c r="H28" s="24"/>
      <c r="I28" s="24"/>
      <c r="J28" s="24"/>
      <c r="K28" s="24"/>
      <c r="L28" s="51"/>
      <c r="M28" s="66">
        <f t="shared" si="0"/>
        <v>17</v>
      </c>
    </row>
    <row r="29" spans="1:13" s="8" customFormat="1">
      <c r="A29" s="68">
        <f t="shared" si="1"/>
        <v>18</v>
      </c>
      <c r="B29" s="24" t="s">
        <v>27</v>
      </c>
      <c r="C29" s="25"/>
      <c r="D29" s="24"/>
      <c r="E29" s="51"/>
      <c r="F29" s="24"/>
      <c r="G29" s="24"/>
      <c r="H29" s="24"/>
      <c r="I29" s="24"/>
      <c r="J29" s="24"/>
      <c r="K29" s="24"/>
      <c r="L29" s="51"/>
      <c r="M29" s="66">
        <f t="shared" si="0"/>
        <v>18</v>
      </c>
    </row>
    <row r="30" spans="1:13" s="8" customFormat="1">
      <c r="A30" s="68">
        <f t="shared" si="1"/>
        <v>19</v>
      </c>
      <c r="B30" s="24" t="s">
        <v>28</v>
      </c>
      <c r="C30" s="25"/>
      <c r="D30" s="24"/>
      <c r="E30" s="51"/>
      <c r="F30" s="24"/>
      <c r="G30" s="24"/>
      <c r="H30" s="37"/>
      <c r="I30" s="24"/>
      <c r="J30" s="24"/>
      <c r="K30" s="24"/>
      <c r="L30" s="51"/>
      <c r="M30" s="66">
        <f t="shared" si="0"/>
        <v>19</v>
      </c>
    </row>
    <row r="31" spans="1:13" s="8" customFormat="1">
      <c r="A31" s="68">
        <f t="shared" si="1"/>
        <v>20</v>
      </c>
      <c r="B31" s="24" t="s">
        <v>29</v>
      </c>
      <c r="C31" s="25"/>
      <c r="D31" s="24"/>
      <c r="E31" s="37"/>
      <c r="F31" s="24"/>
      <c r="G31" s="24"/>
      <c r="H31" s="37"/>
      <c r="I31" s="24"/>
      <c r="J31" s="24"/>
      <c r="K31" s="24"/>
      <c r="L31" s="37"/>
      <c r="M31" s="66">
        <f t="shared" si="0"/>
        <v>20</v>
      </c>
    </row>
    <row r="32" spans="1:13" s="8" customFormat="1">
      <c r="A32" s="68">
        <f t="shared" si="1"/>
        <v>21</v>
      </c>
      <c r="B32" s="24" t="s">
        <v>32</v>
      </c>
      <c r="C32" s="25"/>
      <c r="D32" s="24"/>
      <c r="E32" s="52"/>
      <c r="F32" s="24"/>
      <c r="G32" s="24"/>
      <c r="H32" s="24"/>
      <c r="I32" s="24"/>
      <c r="J32" s="24"/>
      <c r="K32" s="24"/>
      <c r="L32" s="52"/>
      <c r="M32" s="66">
        <f t="shared" si="0"/>
        <v>21</v>
      </c>
    </row>
    <row r="33" spans="1:13" s="8" customFormat="1">
      <c r="A33" s="68">
        <f t="shared" si="1"/>
        <v>22</v>
      </c>
      <c r="B33" s="24" t="s">
        <v>58</v>
      </c>
      <c r="C33" s="25"/>
      <c r="D33" s="24"/>
      <c r="E33" s="24"/>
      <c r="F33" s="24"/>
      <c r="G33" s="24"/>
      <c r="H33" s="24"/>
      <c r="I33" s="24"/>
      <c r="J33" s="24"/>
      <c r="K33" s="24"/>
      <c r="L33" s="37"/>
      <c r="M33" s="66">
        <f t="shared" si="0"/>
        <v>22</v>
      </c>
    </row>
    <row r="34" spans="1:13" s="8" customFormat="1">
      <c r="A34" s="68">
        <f t="shared" si="1"/>
        <v>23</v>
      </c>
      <c r="B34" s="24" t="s">
        <v>59</v>
      </c>
      <c r="C34" s="25"/>
      <c r="D34" s="24"/>
      <c r="E34" s="24"/>
      <c r="F34" s="24"/>
      <c r="G34" s="24"/>
      <c r="H34" s="24"/>
      <c r="I34" s="24"/>
      <c r="J34" s="24"/>
      <c r="K34" s="24"/>
      <c r="L34" s="37"/>
      <c r="M34" s="66">
        <f t="shared" si="0"/>
        <v>23</v>
      </c>
    </row>
    <row r="35" spans="1:13" s="8" customFormat="1">
      <c r="A35" s="69">
        <f t="shared" si="1"/>
        <v>24</v>
      </c>
      <c r="B35" s="53"/>
      <c r="C35" s="54"/>
      <c r="D35" s="55"/>
      <c r="E35" s="55"/>
      <c r="F35" s="55"/>
      <c r="G35" s="55"/>
      <c r="H35" s="55"/>
      <c r="I35" s="55"/>
      <c r="J35" s="55"/>
      <c r="K35" s="55"/>
      <c r="L35" s="56"/>
      <c r="M35" s="67">
        <f t="shared" si="0"/>
        <v>24</v>
      </c>
    </row>
    <row r="36" spans="1:13">
      <c r="A36" s="4"/>
      <c r="L36" s="5"/>
    </row>
    <row r="37" spans="1:13">
      <c r="A37" s="2"/>
      <c r="L37" s="5"/>
    </row>
    <row r="38" spans="1:13">
      <c r="D38" s="7"/>
      <c r="E38" s="7"/>
    </row>
    <row r="40" spans="1:13">
      <c r="C40" s="3"/>
    </row>
  </sheetData>
  <mergeCells count="4">
    <mergeCell ref="A1:M1"/>
    <mergeCell ref="A2:M2"/>
    <mergeCell ref="A3:M3"/>
    <mergeCell ref="A4:M4"/>
  </mergeCells>
  <phoneticPr fontId="5" type="noConversion"/>
  <pageMargins left="0.75" right="0.75" top="1" bottom="1" header="0.5" footer="0.5"/>
  <pageSetup scale="74" orientation="landscape" r:id="rId1"/>
  <headerFooter alignWithMargins="0"/>
  <ignoredErrors>
    <ignoredError sqref="B10:L10" numberStoredAsText="1"/>
    <ignoredError sqref="F12 M12:M18 A13:A19 F16:F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2013-01-11T08:00:00+00:00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E4EC792-BC00-41CA-90F7-09A42565D7C1}"/>
</file>

<file path=customXml/itemProps2.xml><?xml version="1.0" encoding="utf-8"?>
<ds:datastoreItem xmlns:ds="http://schemas.openxmlformats.org/officeDocument/2006/customXml" ds:itemID="{FCEE9300-657C-4A2D-A9F6-4818ED947F41}"/>
</file>

<file path=customXml/itemProps3.xml><?xml version="1.0" encoding="utf-8"?>
<ds:datastoreItem xmlns:ds="http://schemas.openxmlformats.org/officeDocument/2006/customXml" ds:itemID="{344C5794-404D-424C-8594-02C2C858DC87}"/>
</file>

<file path=customXml/itemProps4.xml><?xml version="1.0" encoding="utf-8"?>
<ds:datastoreItem xmlns:ds="http://schemas.openxmlformats.org/officeDocument/2006/customXml" ds:itemID="{C8958844-A475-4841-A0AC-5BAECCB871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Fechner</dc:creator>
  <cp:lastModifiedBy>p29576</cp:lastModifiedBy>
  <cp:lastPrinted>2012-11-16T18:42:41Z</cp:lastPrinted>
  <dcterms:created xsi:type="dcterms:W3CDTF">2001-03-29T22:44:10Z</dcterms:created>
  <dcterms:modified xsi:type="dcterms:W3CDTF">2013-01-09T02:06:25Z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