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80" yWindow="108" windowWidth="7716" windowHeight="8124" tabRatio="623" activeTab="6"/>
  </bookViews>
  <sheets>
    <sheet name="Rate Projection" sheetId="17" r:id="rId1"/>
    <sheet name="Monthly Revenue-Usage" sheetId="18" state="hidden" r:id="rId2"/>
    <sheet name="RV ERU Connections" sheetId="9" state="hidden" r:id="rId3"/>
    <sheet name="Pop_Totals (Small)" sheetId="5" state="hidden" r:id="rId4"/>
    <sheet name="Pop_Totals (Med)" sheetId="6" state="hidden" r:id="rId5"/>
    <sheet name="Pop_Totals (Large)" sheetId="7" state="hidden" r:id="rId6"/>
    <sheet name="Purchased COT" sheetId="22" r:id="rId7"/>
  </sheets>
  <definedNames>
    <definedName name="Beginning_Balance">-FV(Interest_Rate/12,Payment_Number-1,-Monthly_Payment,Loan_Amount)</definedName>
    <definedName name="Ending_Balance">-FV(Interest_Rate/12,Payment_Number,-Monthly_Payment,Loan_Amount)</definedName>
    <definedName name="Full_Print">#REF!</definedName>
    <definedName name="Header_Row">ROW(#REF!)</definedName>
    <definedName name="Header_Row_Back">ROW(#REF!)</definedName>
    <definedName name="Interest">-IPMT(Interest_Rate/12,Payment_Number,Number_of_Payments,Loan_Amount)</definedName>
    <definedName name="Interest_Rate">#REF!</definedName>
    <definedName name="Last_Row">IF(Values_Entered,Header_Row+Number_of_Payments,Header_Row)</definedName>
    <definedName name="Loan_Amount">#REF!</definedName>
    <definedName name="Loan_Not_Paid">IF(Payment_Number&lt;=Number_of_Payments,1,0)</definedName>
    <definedName name="Loan_Start">#REF!</definedName>
    <definedName name="Loan_Years">#REF!</definedName>
    <definedName name="Monthly_Payment">-PMT(Interest_Rate/12,Number_of_Payments,Loan_Amount)</definedName>
    <definedName name="Number_of_Payments">#REF!</definedName>
    <definedName name="Payment_Date">DATE(YEAR(Loan_Start),MONTH(Loan_Start)+Payment_Number,DAY(Loan_Start))</definedName>
    <definedName name="Payment_Number">ROW()-Header_Row</definedName>
    <definedName name="Principal">-PPMT(Interest_Rate/12,Payment_Number,Number_of_Payments,Loan_Amount)</definedName>
    <definedName name="_xlnm.Print_Area" localSheetId="5">'Pop_Totals (Large)'!$A$1:$S$47</definedName>
    <definedName name="_xlnm.Print_Area" localSheetId="3">'Pop_Totals (Small)'!$A$1:$S$47</definedName>
    <definedName name="_xlnm.Print_Area" localSheetId="6">'Purchased COT'!$A$5:$O$56</definedName>
    <definedName name="_xlnm.Print_Area" localSheetId="0">'Rate Projection'!$A$11:$T$101</definedName>
    <definedName name="_xlnm.Print_Area" localSheetId="2">'RV ERU Connections'!$B$3:$H$42</definedName>
    <definedName name="_xlnm.Print_Titles" localSheetId="3">'Pop_Totals (Small)'!$A$1:$A$65537,'Pop_Totals (Small)'!$A$1:$IV$3</definedName>
    <definedName name="_xlnm.Print_Titles" localSheetId="6">'Purchased COT'!$1:$4</definedName>
    <definedName name="_xlnm.Print_Titles" localSheetId="0">'Rate Projection'!$1:$10</definedName>
    <definedName name="Total_Cost">#REF!</definedName>
    <definedName name="Total_Interest">#REF!</definedName>
    <definedName name="Values_Entered">IF(Loan_Amount*Interest_Rate*Loan_Years*Loan_Start&gt;0,1,0)</definedName>
  </definedNames>
  <calcPr calcId="145621"/>
</workbook>
</file>

<file path=xl/calcChain.xml><?xml version="1.0" encoding="utf-8"?>
<calcChain xmlns="http://schemas.openxmlformats.org/spreadsheetml/2006/main">
  <c r="K6" i="17" l="1"/>
  <c r="A2" i="22"/>
  <c r="A1" i="22"/>
  <c r="J8" i="17"/>
  <c r="H34" i="22" l="1"/>
  <c r="H36" i="22" s="1"/>
  <c r="H46" i="22"/>
  <c r="G45" i="22" s="1"/>
  <c r="I45" i="22" s="1"/>
  <c r="I12" i="17"/>
  <c r="I13" i="17" s="1"/>
  <c r="I14" i="17" s="1"/>
  <c r="I15" i="17" s="1"/>
  <c r="I16" i="17" s="1"/>
  <c r="I17" i="17" s="1"/>
  <c r="I18" i="17" s="1"/>
  <c r="I19" i="17" s="1"/>
  <c r="I20" i="17" s="1"/>
  <c r="I21" i="17" s="1"/>
  <c r="I22" i="17" s="1"/>
  <c r="I23" i="17" s="1"/>
  <c r="I24" i="17" s="1"/>
  <c r="I25" i="17" s="1"/>
  <c r="I26" i="17" s="1"/>
  <c r="I27" i="17" s="1"/>
  <c r="I28" i="17" s="1"/>
  <c r="I29" i="17" s="1"/>
  <c r="I30" i="17" s="1"/>
  <c r="I31" i="17" s="1"/>
  <c r="I32" i="17" s="1"/>
  <c r="I33" i="17" s="1"/>
  <c r="I34" i="17" s="1"/>
  <c r="I35" i="17" s="1"/>
  <c r="I36" i="17" s="1"/>
  <c r="I37" i="17" s="1"/>
  <c r="I38" i="17" s="1"/>
  <c r="I39" i="17" s="1"/>
  <c r="I40" i="17" s="1"/>
  <c r="I41" i="17" s="1"/>
  <c r="I42" i="17" s="1"/>
  <c r="I43" i="17" s="1"/>
  <c r="I44" i="17" s="1"/>
  <c r="I45" i="17" s="1"/>
  <c r="I46" i="17" s="1"/>
  <c r="I47" i="17" s="1"/>
  <c r="I48" i="17" s="1"/>
  <c r="I49" i="17" s="1"/>
  <c r="I50" i="17" s="1"/>
  <c r="I51" i="17" s="1"/>
  <c r="I52" i="17" s="1"/>
  <c r="I53" i="17" s="1"/>
  <c r="I54" i="17" s="1"/>
  <c r="I55" i="17" s="1"/>
  <c r="I56" i="17" s="1"/>
  <c r="I57" i="17" s="1"/>
  <c r="I58" i="17" s="1"/>
  <c r="I59" i="17" s="1"/>
  <c r="I60" i="17" s="1"/>
  <c r="I61" i="17" s="1"/>
  <c r="I62" i="17" s="1"/>
  <c r="I63" i="17" s="1"/>
  <c r="I64" i="17" s="1"/>
  <c r="I65" i="17" s="1"/>
  <c r="I66" i="17" s="1"/>
  <c r="I67" i="17" s="1"/>
  <c r="I68" i="17" s="1"/>
  <c r="I69" i="17" s="1"/>
  <c r="I70" i="17" s="1"/>
  <c r="I71" i="17" s="1"/>
  <c r="I72" i="17" s="1"/>
  <c r="I73" i="17" s="1"/>
  <c r="I74" i="17" s="1"/>
  <c r="I75" i="17" s="1"/>
  <c r="I76" i="17" s="1"/>
  <c r="I77" i="17" s="1"/>
  <c r="I78" i="17" s="1"/>
  <c r="I79" i="17" s="1"/>
  <c r="I80" i="17" s="1"/>
  <c r="I81" i="17" s="1"/>
  <c r="I82" i="17" s="1"/>
  <c r="I83" i="17" s="1"/>
  <c r="I84" i="17" s="1"/>
  <c r="I85" i="17" s="1"/>
  <c r="I86" i="17" s="1"/>
  <c r="I87" i="17" s="1"/>
  <c r="I88" i="17" s="1"/>
  <c r="I89" i="17" s="1"/>
  <c r="I90" i="17" s="1"/>
  <c r="I91" i="17" s="1"/>
  <c r="I92" i="17" s="1"/>
  <c r="I93" i="17" s="1"/>
  <c r="I94" i="17" s="1"/>
  <c r="I95" i="17" s="1"/>
  <c r="I96" i="17" s="1"/>
  <c r="I97" i="17" s="1"/>
  <c r="I98" i="17" s="1"/>
  <c r="I99" i="17" s="1"/>
  <c r="I100" i="17" s="1"/>
  <c r="I101" i="17" s="1"/>
  <c r="E47" i="22"/>
  <c r="E48" i="22" s="1"/>
  <c r="E45" i="22"/>
  <c r="E46" i="22" s="1"/>
  <c r="G36" i="22"/>
  <c r="F36" i="22"/>
  <c r="E36" i="22"/>
  <c r="G34" i="22"/>
  <c r="F34" i="22"/>
  <c r="E34" i="22"/>
  <c r="H23" i="22"/>
  <c r="G23" i="22"/>
  <c r="F23" i="22"/>
  <c r="E23" i="22"/>
  <c r="D23" i="22"/>
  <c r="K22" i="22"/>
  <c r="J22" i="22"/>
  <c r="K21" i="22"/>
  <c r="J21" i="22"/>
  <c r="K20" i="22"/>
  <c r="J20" i="22"/>
  <c r="K19" i="22"/>
  <c r="J19" i="22"/>
  <c r="K18" i="22"/>
  <c r="J18" i="22"/>
  <c r="K17" i="22"/>
  <c r="J17" i="22"/>
  <c r="K16" i="22"/>
  <c r="J16" i="22"/>
  <c r="K15" i="22"/>
  <c r="K25" i="22" s="1"/>
  <c r="J15" i="22"/>
  <c r="K14" i="22"/>
  <c r="J14" i="22"/>
  <c r="K13" i="22"/>
  <c r="J13" i="22"/>
  <c r="K12" i="22"/>
  <c r="J12" i="22"/>
  <c r="K11" i="22"/>
  <c r="J11" i="22"/>
  <c r="J6" i="22"/>
  <c r="J8" i="22" s="1"/>
  <c r="K26" i="22" l="1"/>
  <c r="E40" i="22" s="1"/>
  <c r="H48" i="22"/>
  <c r="I33" i="22"/>
  <c r="J33" i="22" s="1"/>
  <c r="K33" i="22" s="1"/>
  <c r="L33" i="22" s="1"/>
  <c r="M33" i="22" s="1"/>
  <c r="N33" i="22" s="1"/>
  <c r="F47" i="22"/>
  <c r="F48" i="22" s="1"/>
  <c r="J23" i="22"/>
  <c r="L26" i="22"/>
  <c r="E39" i="22"/>
  <c r="K27" i="22"/>
  <c r="L27" i="22" s="1"/>
  <c r="K8" i="17" s="1"/>
  <c r="L25" i="22"/>
  <c r="K23" i="22"/>
  <c r="I35" i="22"/>
  <c r="J35" i="22" s="1"/>
  <c r="K35" i="22" s="1"/>
  <c r="L35" i="22" s="1"/>
  <c r="M35" i="22" s="1"/>
  <c r="N35" i="22" s="1"/>
  <c r="F45" i="22"/>
  <c r="J45" i="22"/>
  <c r="J11" i="17" l="1"/>
  <c r="J12" i="17" s="1"/>
  <c r="J13" i="17" s="1"/>
  <c r="J14" i="17" s="1"/>
  <c r="J15" i="17" s="1"/>
  <c r="J16" i="17" s="1"/>
  <c r="J17" i="17" s="1"/>
  <c r="J18" i="17" s="1"/>
  <c r="J19" i="17" s="1"/>
  <c r="J20" i="17" s="1"/>
  <c r="G47" i="22"/>
  <c r="K45" i="22"/>
  <c r="L45" i="22" s="1"/>
  <c r="M45" i="22" s="1"/>
  <c r="N45" i="22" s="1"/>
  <c r="E52" i="22"/>
  <c r="N39" i="22"/>
  <c r="M39" i="22"/>
  <c r="L39" i="22"/>
  <c r="K39" i="22"/>
  <c r="J39" i="22"/>
  <c r="I39" i="22"/>
  <c r="G39" i="22"/>
  <c r="F39" i="22"/>
  <c r="E53" i="22"/>
  <c r="I40" i="22"/>
  <c r="G40" i="22"/>
  <c r="F40" i="22"/>
  <c r="J40" i="22"/>
  <c r="F46" i="22"/>
  <c r="G46" i="22"/>
  <c r="J21" i="17" l="1"/>
  <c r="I47" i="22"/>
  <c r="J47" i="22" s="1"/>
  <c r="K47" i="22" s="1"/>
  <c r="L47" i="22" s="1"/>
  <c r="M47" i="22" s="1"/>
  <c r="N47" i="22" s="1"/>
  <c r="G48" i="22"/>
  <c r="I41" i="22"/>
  <c r="F41" i="22"/>
  <c r="N52" i="22"/>
  <c r="M52" i="22"/>
  <c r="L52" i="22"/>
  <c r="K52" i="22"/>
  <c r="J52" i="22"/>
  <c r="I52" i="22"/>
  <c r="G52" i="22"/>
  <c r="F52" i="22"/>
  <c r="N53" i="22"/>
  <c r="M53" i="22"/>
  <c r="L53" i="22"/>
  <c r="K53" i="22"/>
  <c r="J53" i="22"/>
  <c r="I53" i="22"/>
  <c r="G53" i="22"/>
  <c r="F53" i="22"/>
  <c r="G41" i="22"/>
  <c r="K40" i="22"/>
  <c r="J41" i="22"/>
  <c r="J22" i="17" l="1"/>
  <c r="N54" i="22"/>
  <c r="F54" i="22"/>
  <c r="I54" i="22"/>
  <c r="K54" i="22"/>
  <c r="M54" i="22"/>
  <c r="G54" i="22"/>
  <c r="J54" i="22"/>
  <c r="L54" i="22"/>
  <c r="K41" i="22"/>
  <c r="L40" i="22"/>
  <c r="J23" i="17" l="1"/>
  <c r="M40" i="22"/>
  <c r="L41" i="22"/>
  <c r="J24" i="17" l="1"/>
  <c r="M41" i="22"/>
  <c r="J25" i="17" l="1"/>
  <c r="N40" i="22"/>
  <c r="N41" i="22" s="1"/>
  <c r="J26" i="17" l="1"/>
  <c r="T8" i="17"/>
  <c r="J27" i="17" l="1"/>
  <c r="L8" i="17"/>
  <c r="A3" i="9"/>
  <c r="A2" i="9"/>
  <c r="A1" i="9"/>
  <c r="A3" i="18"/>
  <c r="A2" i="18"/>
  <c r="A1" i="18"/>
  <c r="J28" i="17" l="1"/>
  <c r="G12" i="17"/>
  <c r="F12" i="17"/>
  <c r="E8" i="17"/>
  <c r="D14" i="17" s="1"/>
  <c r="E11" i="17"/>
  <c r="J29" i="17" l="1"/>
  <c r="F13" i="17"/>
  <c r="E14" i="17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E32" i="17" s="1"/>
  <c r="E33" i="17" s="1"/>
  <c r="E34" i="17" s="1"/>
  <c r="E35" i="17" s="1"/>
  <c r="E36" i="17" s="1"/>
  <c r="E37" i="17" s="1"/>
  <c r="E38" i="17" s="1"/>
  <c r="E39" i="17" s="1"/>
  <c r="E40" i="17" s="1"/>
  <c r="E41" i="17" s="1"/>
  <c r="E42" i="17" s="1"/>
  <c r="E43" i="17" s="1"/>
  <c r="E44" i="17" s="1"/>
  <c r="E45" i="17" s="1"/>
  <c r="E46" i="17" s="1"/>
  <c r="E47" i="17" s="1"/>
  <c r="E48" i="17" s="1"/>
  <c r="E49" i="17" s="1"/>
  <c r="E50" i="17" s="1"/>
  <c r="E51" i="17" s="1"/>
  <c r="E52" i="17" s="1"/>
  <c r="E53" i="17" s="1"/>
  <c r="E54" i="17" s="1"/>
  <c r="E55" i="17" s="1"/>
  <c r="E56" i="17" s="1"/>
  <c r="E57" i="17" s="1"/>
  <c r="E58" i="17" s="1"/>
  <c r="E59" i="17" s="1"/>
  <c r="E60" i="17" s="1"/>
  <c r="E61" i="17" s="1"/>
  <c r="E62" i="17" s="1"/>
  <c r="E63" i="17" s="1"/>
  <c r="E64" i="17" s="1"/>
  <c r="E65" i="17" s="1"/>
  <c r="E66" i="17" s="1"/>
  <c r="E67" i="17" s="1"/>
  <c r="E68" i="17" s="1"/>
  <c r="E69" i="17" s="1"/>
  <c r="E70" i="17" s="1"/>
  <c r="E71" i="17" s="1"/>
  <c r="E72" i="17" s="1"/>
  <c r="E73" i="17" s="1"/>
  <c r="E74" i="17" s="1"/>
  <c r="E75" i="17" s="1"/>
  <c r="E76" i="17" s="1"/>
  <c r="E77" i="17" s="1"/>
  <c r="E78" i="17" s="1"/>
  <c r="E79" i="17" s="1"/>
  <c r="E80" i="17" s="1"/>
  <c r="E81" i="17" s="1"/>
  <c r="E82" i="17" s="1"/>
  <c r="E83" i="17" s="1"/>
  <c r="E84" i="17" s="1"/>
  <c r="E85" i="17" s="1"/>
  <c r="E86" i="17" s="1"/>
  <c r="E87" i="17" s="1"/>
  <c r="E88" i="17" s="1"/>
  <c r="E89" i="17" s="1"/>
  <c r="E90" i="17" s="1"/>
  <c r="E91" i="17" s="1"/>
  <c r="E92" i="17" s="1"/>
  <c r="E93" i="17" s="1"/>
  <c r="E94" i="17" s="1"/>
  <c r="E95" i="17" s="1"/>
  <c r="E96" i="17" s="1"/>
  <c r="E97" i="17" s="1"/>
  <c r="E98" i="17" s="1"/>
  <c r="E99" i="17" s="1"/>
  <c r="E100" i="17" s="1"/>
  <c r="E101" i="17" s="1"/>
  <c r="D15" i="17"/>
  <c r="G13" i="17"/>
  <c r="G14" i="17" s="1"/>
  <c r="F14" i="17"/>
  <c r="N8" i="17"/>
  <c r="D37" i="9"/>
  <c r="D30" i="9"/>
  <c r="C30" i="9"/>
  <c r="Z10" i="18"/>
  <c r="J30" i="17" l="1"/>
  <c r="D16" i="17"/>
  <c r="Z12" i="18"/>
  <c r="C49" i="7"/>
  <c r="C49" i="6"/>
  <c r="G4" i="18"/>
  <c r="F8" i="18"/>
  <c r="G8" i="18"/>
  <c r="H8" i="18"/>
  <c r="I8" i="18"/>
  <c r="E8" i="18"/>
  <c r="E9" i="18"/>
  <c r="A13" i="18"/>
  <c r="A12" i="18"/>
  <c r="B13" i="18"/>
  <c r="B14" i="18" s="1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I9" i="18"/>
  <c r="H9" i="18"/>
  <c r="G9" i="18"/>
  <c r="F9" i="18"/>
  <c r="A12" i="17"/>
  <c r="F30" i="9"/>
  <c r="J31" i="17" l="1"/>
  <c r="A13" i="17"/>
  <c r="D17" i="17"/>
  <c r="G15" i="17"/>
  <c r="G12" i="18"/>
  <c r="I12" i="18"/>
  <c r="F12" i="18"/>
  <c r="H12" i="18"/>
  <c r="AA12" i="18"/>
  <c r="Z13" i="18"/>
  <c r="E12" i="18"/>
  <c r="J32" i="17" l="1"/>
  <c r="A14" i="17"/>
  <c r="D18" i="17"/>
  <c r="G16" i="17"/>
  <c r="F15" i="17"/>
  <c r="E13" i="18"/>
  <c r="F13" i="18"/>
  <c r="G13" i="18"/>
  <c r="H13" i="18"/>
  <c r="I13" i="18"/>
  <c r="AA13" i="18"/>
  <c r="Z14" i="18"/>
  <c r="C49" i="5"/>
  <c r="D49" i="5"/>
  <c r="D34" i="9"/>
  <c r="C34" i="9"/>
  <c r="E30" i="9"/>
  <c r="E38" i="9"/>
  <c r="E37" i="9"/>
  <c r="C40" i="9"/>
  <c r="E7" i="9"/>
  <c r="E8" i="9"/>
  <c r="E9" i="9"/>
  <c r="E10" i="9"/>
  <c r="E13" i="9"/>
  <c r="E15" i="9"/>
  <c r="E16" i="9"/>
  <c r="E19" i="9"/>
  <c r="E22" i="9"/>
  <c r="E24" i="9"/>
  <c r="E25" i="9"/>
  <c r="E26" i="9"/>
  <c r="E29" i="9"/>
  <c r="E31" i="9"/>
  <c r="E32" i="9"/>
  <c r="E33" i="9"/>
  <c r="E6" i="9"/>
  <c r="F18" i="9"/>
  <c r="F34" i="9" s="1"/>
  <c r="D49" i="7"/>
  <c r="E49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J33" i="17" l="1"/>
  <c r="D19" i="17"/>
  <c r="L19" i="17" s="1"/>
  <c r="A15" i="17"/>
  <c r="G17" i="17"/>
  <c r="G18" i="17" s="1"/>
  <c r="G19" i="17" s="1"/>
  <c r="F16" i="17"/>
  <c r="Z49" i="7"/>
  <c r="E34" i="9"/>
  <c r="Z49" i="5"/>
  <c r="Z49" i="6"/>
  <c r="C11" i="18"/>
  <c r="C12" i="18" s="1"/>
  <c r="C13" i="18" s="1"/>
  <c r="C14" i="18" s="1"/>
  <c r="C15" i="18" s="1"/>
  <c r="C16" i="18" s="1"/>
  <c r="C17" i="18" s="1"/>
  <c r="C18" i="18" s="1"/>
  <c r="C19" i="18" s="1"/>
  <c r="C20" i="18" s="1"/>
  <c r="C21" i="18" s="1"/>
  <c r="C22" i="18" s="1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33" i="18" s="1"/>
  <c r="C34" i="18" s="1"/>
  <c r="C35" i="18" s="1"/>
  <c r="C36" i="18" s="1"/>
  <c r="C37" i="18" s="1"/>
  <c r="C38" i="18" s="1"/>
  <c r="C39" i="18" s="1"/>
  <c r="C40" i="18" s="1"/>
  <c r="C41" i="18" s="1"/>
  <c r="C42" i="18" s="1"/>
  <c r="C43" i="18" s="1"/>
  <c r="C44" i="18" s="1"/>
  <c r="C45" i="18" s="1"/>
  <c r="C46" i="18" s="1"/>
  <c r="C47" i="18" s="1"/>
  <c r="C48" i="18" s="1"/>
  <c r="C49" i="18" s="1"/>
  <c r="C50" i="18" s="1"/>
  <c r="C51" i="18" s="1"/>
  <c r="C52" i="18" s="1"/>
  <c r="C53" i="18" s="1"/>
  <c r="C54" i="18" s="1"/>
  <c r="C55" i="18" s="1"/>
  <c r="C56" i="18" s="1"/>
  <c r="C57" i="18" s="1"/>
  <c r="C58" i="18" s="1"/>
  <c r="C59" i="18" s="1"/>
  <c r="C60" i="18" s="1"/>
  <c r="C61" i="18" s="1"/>
  <c r="C62" i="18" s="1"/>
  <c r="C63" i="18" s="1"/>
  <c r="C64" i="18" s="1"/>
  <c r="C65" i="18" s="1"/>
  <c r="C66" i="18" s="1"/>
  <c r="C67" i="18" s="1"/>
  <c r="C68" i="18" s="1"/>
  <c r="C69" i="18" s="1"/>
  <c r="C70" i="18" s="1"/>
  <c r="C71" i="18" s="1"/>
  <c r="C72" i="18" s="1"/>
  <c r="C73" i="18" s="1"/>
  <c r="C74" i="18" s="1"/>
  <c r="C75" i="18" s="1"/>
  <c r="C76" i="18" s="1"/>
  <c r="C77" i="18" s="1"/>
  <c r="C78" i="18" s="1"/>
  <c r="C79" i="18" s="1"/>
  <c r="C80" i="18" s="1"/>
  <c r="C81" i="18" s="1"/>
  <c r="C82" i="18" s="1"/>
  <c r="C83" i="18" s="1"/>
  <c r="C84" i="18" s="1"/>
  <c r="C85" i="18" s="1"/>
  <c r="C86" i="18" s="1"/>
  <c r="C87" i="18" s="1"/>
  <c r="C88" i="18" s="1"/>
  <c r="C89" i="18" s="1"/>
  <c r="C90" i="18" s="1"/>
  <c r="C91" i="18" s="1"/>
  <c r="C92" i="18" s="1"/>
  <c r="C93" i="18" s="1"/>
  <c r="C94" i="18" s="1"/>
  <c r="C95" i="18" s="1"/>
  <c r="C96" i="18" s="1"/>
  <c r="C97" i="18" s="1"/>
  <c r="C98" i="18" s="1"/>
  <c r="C99" i="18" s="1"/>
  <c r="C100" i="18" s="1"/>
  <c r="C101" i="18" s="1"/>
  <c r="C102" i="18" s="1"/>
  <c r="C14" i="17"/>
  <c r="I14" i="18"/>
  <c r="H14" i="18"/>
  <c r="G14" i="18"/>
  <c r="F14" i="18"/>
  <c r="E14" i="18"/>
  <c r="F37" i="9"/>
  <c r="D40" i="9"/>
  <c r="AA14" i="18"/>
  <c r="Z15" i="18"/>
  <c r="E40" i="9"/>
  <c r="J34" i="17" l="1"/>
  <c r="D20" i="17"/>
  <c r="L20" i="17" s="1"/>
  <c r="A16" i="17"/>
  <c r="F17" i="17"/>
  <c r="G20" i="17"/>
  <c r="G21" i="17" s="1"/>
  <c r="G22" i="17" s="1"/>
  <c r="B14" i="17"/>
  <c r="E15" i="18"/>
  <c r="F15" i="18"/>
  <c r="G15" i="18"/>
  <c r="H15" i="18"/>
  <c r="I15" i="18"/>
  <c r="D11" i="18"/>
  <c r="D12" i="18" s="1"/>
  <c r="D13" i="18" s="1"/>
  <c r="F38" i="9"/>
  <c r="Z16" i="18"/>
  <c r="AA15" i="18"/>
  <c r="C15" i="17"/>
  <c r="J35" i="17" l="1"/>
  <c r="D21" i="17"/>
  <c r="L21" i="17" s="1"/>
  <c r="A17" i="17"/>
  <c r="G23" i="17"/>
  <c r="G24" i="17" s="1"/>
  <c r="G25" i="17" s="1"/>
  <c r="F18" i="17"/>
  <c r="B15" i="17"/>
  <c r="I16" i="18"/>
  <c r="H16" i="18"/>
  <c r="G16" i="18"/>
  <c r="F16" i="18"/>
  <c r="E16" i="18"/>
  <c r="D14" i="18"/>
  <c r="Z17" i="18"/>
  <c r="AA16" i="18"/>
  <c r="C16" i="17"/>
  <c r="J36" i="17" l="1"/>
  <c r="A18" i="17"/>
  <c r="D22" i="17"/>
  <c r="L22" i="17" s="1"/>
  <c r="F19" i="17"/>
  <c r="N19" i="17" s="1"/>
  <c r="G26" i="17"/>
  <c r="G27" i="17" s="1"/>
  <c r="G28" i="17" s="1"/>
  <c r="G29" i="17" s="1"/>
  <c r="G30" i="17" s="1"/>
  <c r="G31" i="17" s="1"/>
  <c r="G32" i="17" s="1"/>
  <c r="G33" i="17" s="1"/>
  <c r="G34" i="17" s="1"/>
  <c r="G35" i="17" s="1"/>
  <c r="G36" i="17" s="1"/>
  <c r="G37" i="17" s="1"/>
  <c r="G38" i="17" s="1"/>
  <c r="G39" i="17" s="1"/>
  <c r="G40" i="17" s="1"/>
  <c r="G41" i="17" s="1"/>
  <c r="G42" i="17" s="1"/>
  <c r="G43" i="17" s="1"/>
  <c r="G44" i="17" s="1"/>
  <c r="G45" i="17" s="1"/>
  <c r="G46" i="17" s="1"/>
  <c r="G47" i="17" s="1"/>
  <c r="G48" i="17" s="1"/>
  <c r="G49" i="17" s="1"/>
  <c r="G50" i="17" s="1"/>
  <c r="G51" i="17" s="1"/>
  <c r="G52" i="17" s="1"/>
  <c r="G53" i="17" s="1"/>
  <c r="G54" i="17" s="1"/>
  <c r="G55" i="17" s="1"/>
  <c r="G56" i="17" s="1"/>
  <c r="G57" i="17" s="1"/>
  <c r="G58" i="17" s="1"/>
  <c r="G59" i="17" s="1"/>
  <c r="G60" i="17" s="1"/>
  <c r="G61" i="17" s="1"/>
  <c r="G62" i="17" s="1"/>
  <c r="G63" i="17" s="1"/>
  <c r="G64" i="17" s="1"/>
  <c r="G65" i="17" s="1"/>
  <c r="G66" i="17" s="1"/>
  <c r="G67" i="17" s="1"/>
  <c r="G68" i="17" s="1"/>
  <c r="G69" i="17" s="1"/>
  <c r="G70" i="17" s="1"/>
  <c r="G71" i="17" s="1"/>
  <c r="G72" i="17" s="1"/>
  <c r="G73" i="17" s="1"/>
  <c r="G74" i="17" s="1"/>
  <c r="G75" i="17" s="1"/>
  <c r="G76" i="17" s="1"/>
  <c r="G77" i="17" s="1"/>
  <c r="G78" i="17" s="1"/>
  <c r="G79" i="17" s="1"/>
  <c r="G80" i="17" s="1"/>
  <c r="G81" i="17" s="1"/>
  <c r="G82" i="17" s="1"/>
  <c r="G83" i="17" s="1"/>
  <c r="G84" i="17" s="1"/>
  <c r="G85" i="17" s="1"/>
  <c r="G86" i="17" s="1"/>
  <c r="G87" i="17" s="1"/>
  <c r="G88" i="17" s="1"/>
  <c r="G89" i="17" s="1"/>
  <c r="G90" i="17" s="1"/>
  <c r="G91" i="17" s="1"/>
  <c r="G92" i="17" s="1"/>
  <c r="G93" i="17" s="1"/>
  <c r="G94" i="17" s="1"/>
  <c r="G95" i="17" s="1"/>
  <c r="G96" i="17" s="1"/>
  <c r="G97" i="17" s="1"/>
  <c r="G98" i="17" s="1"/>
  <c r="G99" i="17" s="1"/>
  <c r="G100" i="17" s="1"/>
  <c r="G101" i="17" s="1"/>
  <c r="B16" i="17"/>
  <c r="F17" i="18"/>
  <c r="G17" i="18"/>
  <c r="H17" i="18"/>
  <c r="I17" i="18"/>
  <c r="E17" i="18"/>
  <c r="D15" i="18"/>
  <c r="Z18" i="18"/>
  <c r="AA17" i="18"/>
  <c r="C17" i="17"/>
  <c r="J37" i="17" l="1"/>
  <c r="D23" i="17"/>
  <c r="L23" i="17" s="1"/>
  <c r="A19" i="17"/>
  <c r="F20" i="17"/>
  <c r="N20" i="17" s="1"/>
  <c r="B17" i="17"/>
  <c r="E18" i="18"/>
  <c r="I18" i="18"/>
  <c r="H18" i="18"/>
  <c r="G18" i="18"/>
  <c r="F18" i="18"/>
  <c r="D16" i="18"/>
  <c r="Z19" i="18"/>
  <c r="AA18" i="18"/>
  <c r="C18" i="17"/>
  <c r="J38" i="17" l="1"/>
  <c r="D24" i="17"/>
  <c r="L24" i="17" s="1"/>
  <c r="A20" i="17"/>
  <c r="R19" i="17"/>
  <c r="S19" i="17" s="1"/>
  <c r="F21" i="17"/>
  <c r="N21" i="17" s="1"/>
  <c r="B18" i="17"/>
  <c r="F19" i="18"/>
  <c r="G19" i="18"/>
  <c r="H19" i="18"/>
  <c r="I19" i="18"/>
  <c r="E19" i="18"/>
  <c r="D17" i="18"/>
  <c r="Z20" i="18"/>
  <c r="AA19" i="18"/>
  <c r="C19" i="17"/>
  <c r="J39" i="17" l="1"/>
  <c r="A21" i="17"/>
  <c r="D25" i="17"/>
  <c r="L25" i="17" s="1"/>
  <c r="F22" i="17"/>
  <c r="N22" i="17" s="1"/>
  <c r="R20" i="17"/>
  <c r="S20" i="17" s="1"/>
  <c r="B19" i="17"/>
  <c r="K19" i="17" s="1"/>
  <c r="E20" i="18"/>
  <c r="I20" i="18"/>
  <c r="H20" i="18"/>
  <c r="G20" i="18"/>
  <c r="F20" i="18"/>
  <c r="D18" i="18"/>
  <c r="Z21" i="18"/>
  <c r="AA20" i="18"/>
  <c r="C20" i="17"/>
  <c r="J40" i="17" l="1"/>
  <c r="P19" i="17"/>
  <c r="Q19" i="17" s="1"/>
  <c r="D26" i="17"/>
  <c r="L26" i="17" s="1"/>
  <c r="A22" i="17"/>
  <c r="R21" i="17"/>
  <c r="S21" i="17" s="1"/>
  <c r="F23" i="17"/>
  <c r="N23" i="17" s="1"/>
  <c r="B20" i="17"/>
  <c r="K20" i="17" s="1"/>
  <c r="F21" i="18"/>
  <c r="G21" i="18"/>
  <c r="H21" i="18"/>
  <c r="I21" i="18"/>
  <c r="E21" i="18"/>
  <c r="D19" i="18"/>
  <c r="Z22" i="18"/>
  <c r="AA21" i="18"/>
  <c r="C21" i="17"/>
  <c r="J41" i="17" l="1"/>
  <c r="B21" i="17"/>
  <c r="K21" i="17" s="1"/>
  <c r="P20" i="17"/>
  <c r="Q20" i="17" s="1"/>
  <c r="A23" i="17"/>
  <c r="D27" i="17"/>
  <c r="L27" i="17" s="1"/>
  <c r="R22" i="17"/>
  <c r="S22" i="17" s="1"/>
  <c r="F24" i="17"/>
  <c r="N24" i="17" s="1"/>
  <c r="G22" i="18"/>
  <c r="E22" i="18"/>
  <c r="I22" i="18"/>
  <c r="H22" i="18"/>
  <c r="F22" i="18"/>
  <c r="D20" i="18"/>
  <c r="Z23" i="18"/>
  <c r="AA22" i="18"/>
  <c r="C22" i="17"/>
  <c r="J42" i="17" l="1"/>
  <c r="D28" i="17"/>
  <c r="L28" i="17" s="1"/>
  <c r="B22" i="17"/>
  <c r="K22" i="17" s="1"/>
  <c r="P21" i="17"/>
  <c r="Q21" i="17" s="1"/>
  <c r="A24" i="17"/>
  <c r="R23" i="17"/>
  <c r="S23" i="17" s="1"/>
  <c r="F25" i="17"/>
  <c r="N25" i="17" s="1"/>
  <c r="G23" i="18"/>
  <c r="F23" i="18"/>
  <c r="H23" i="18"/>
  <c r="I23" i="18"/>
  <c r="E23" i="18"/>
  <c r="D21" i="18"/>
  <c r="Z24" i="18"/>
  <c r="AA23" i="18"/>
  <c r="C23" i="17"/>
  <c r="J43" i="17" l="1"/>
  <c r="B23" i="17"/>
  <c r="K23" i="17" s="1"/>
  <c r="P22" i="17"/>
  <c r="Q22" i="17" s="1"/>
  <c r="A25" i="17"/>
  <c r="D29" i="17"/>
  <c r="L29" i="17" s="1"/>
  <c r="R24" i="17"/>
  <c r="S24" i="17" s="1"/>
  <c r="F26" i="17"/>
  <c r="N26" i="17" s="1"/>
  <c r="G24" i="18"/>
  <c r="E24" i="18"/>
  <c r="I24" i="18"/>
  <c r="H24" i="18"/>
  <c r="F24" i="18"/>
  <c r="D22" i="18"/>
  <c r="Z25" i="18"/>
  <c r="AA24" i="18"/>
  <c r="C24" i="17"/>
  <c r="J44" i="17" l="1"/>
  <c r="A26" i="17"/>
  <c r="D30" i="17"/>
  <c r="L30" i="17" s="1"/>
  <c r="B24" i="17"/>
  <c r="K24" i="17" s="1"/>
  <c r="P23" i="17"/>
  <c r="Q23" i="17" s="1"/>
  <c r="R25" i="17"/>
  <c r="S25" i="17" s="1"/>
  <c r="F27" i="17"/>
  <c r="N27" i="17" s="1"/>
  <c r="G25" i="18"/>
  <c r="F25" i="18"/>
  <c r="H25" i="18"/>
  <c r="I25" i="18"/>
  <c r="E25" i="18"/>
  <c r="D23" i="18"/>
  <c r="Z26" i="18"/>
  <c r="AA25" i="18"/>
  <c r="C25" i="17"/>
  <c r="J45" i="17" l="1"/>
  <c r="P24" i="17"/>
  <c r="Q24" i="17" s="1"/>
  <c r="B25" i="17"/>
  <c r="K25" i="17" s="1"/>
  <c r="D31" i="17"/>
  <c r="L31" i="17" s="1"/>
  <c r="A27" i="17"/>
  <c r="R26" i="17"/>
  <c r="S26" i="17" s="1"/>
  <c r="F28" i="17"/>
  <c r="N28" i="17" s="1"/>
  <c r="G26" i="18"/>
  <c r="E26" i="18"/>
  <c r="I26" i="18"/>
  <c r="H26" i="18"/>
  <c r="F26" i="18"/>
  <c r="D24" i="18"/>
  <c r="Z27" i="18"/>
  <c r="AA26" i="18"/>
  <c r="C26" i="17"/>
  <c r="J46" i="17" l="1"/>
  <c r="P25" i="17"/>
  <c r="Q25" i="17" s="1"/>
  <c r="B26" i="17"/>
  <c r="K26" i="17" s="1"/>
  <c r="A28" i="17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D32" i="17"/>
  <c r="L32" i="17" s="1"/>
  <c r="R27" i="17"/>
  <c r="S27" i="17" s="1"/>
  <c r="F29" i="17"/>
  <c r="N29" i="17" s="1"/>
  <c r="W24" i="18"/>
  <c r="X24" i="18"/>
  <c r="T24" i="18"/>
  <c r="U24" i="18"/>
  <c r="G27" i="18"/>
  <c r="M24" i="18"/>
  <c r="J24" i="18"/>
  <c r="P24" i="18"/>
  <c r="R24" i="18"/>
  <c r="N24" i="18"/>
  <c r="S24" i="18"/>
  <c r="O24" i="18"/>
  <c r="F27" i="18"/>
  <c r="H27" i="18"/>
  <c r="I27" i="18"/>
  <c r="E27" i="18"/>
  <c r="D25" i="18"/>
  <c r="Z28" i="18"/>
  <c r="AA27" i="18"/>
  <c r="C27" i="17"/>
  <c r="J47" i="17" l="1"/>
  <c r="D33" i="17"/>
  <c r="L33" i="17" s="1"/>
  <c r="A57" i="17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W13" i="18"/>
  <c r="X13" i="18"/>
  <c r="S12" i="18"/>
  <c r="R12" i="18"/>
  <c r="P12" i="18"/>
  <c r="O12" i="18"/>
  <c r="X12" i="18"/>
  <c r="M13" i="18"/>
  <c r="Q13" i="18"/>
  <c r="P13" i="18"/>
  <c r="N13" i="18"/>
  <c r="J13" i="18"/>
  <c r="L12" i="18"/>
  <c r="K12" i="18"/>
  <c r="U13" i="18"/>
  <c r="T13" i="18"/>
  <c r="V13" i="18"/>
  <c r="U12" i="18"/>
  <c r="T12" i="18"/>
  <c r="W12" i="18"/>
  <c r="V12" i="18"/>
  <c r="Q12" i="18"/>
  <c r="S13" i="18"/>
  <c r="R13" i="18"/>
  <c r="K13" i="18"/>
  <c r="O13" i="18"/>
  <c r="L13" i="18"/>
  <c r="J12" i="18"/>
  <c r="N12" i="18"/>
  <c r="M12" i="18"/>
  <c r="W14" i="18"/>
  <c r="T14" i="18"/>
  <c r="V14" i="18"/>
  <c r="O14" i="18"/>
  <c r="L14" i="18"/>
  <c r="R14" i="18"/>
  <c r="S14" i="18"/>
  <c r="M14" i="18"/>
  <c r="U14" i="18"/>
  <c r="X14" i="18"/>
  <c r="J14" i="18"/>
  <c r="P14" i="18"/>
  <c r="Q14" i="18"/>
  <c r="N14" i="18"/>
  <c r="K14" i="18"/>
  <c r="U15" i="18"/>
  <c r="T15" i="18"/>
  <c r="X15" i="18"/>
  <c r="S15" i="18"/>
  <c r="R15" i="18"/>
  <c r="K15" i="18"/>
  <c r="J15" i="18"/>
  <c r="L15" i="18"/>
  <c r="L16" i="18" s="1"/>
  <c r="L17" i="18" s="1"/>
  <c r="L18" i="18" s="1"/>
  <c r="L19" i="18" s="1"/>
  <c r="L20" i="18" s="1"/>
  <c r="L21" i="18" s="1"/>
  <c r="L22" i="18" s="1"/>
  <c r="L23" i="18" s="1"/>
  <c r="L24" i="18" s="1"/>
  <c r="V15" i="18"/>
  <c r="W15" i="18"/>
  <c r="M15" i="18"/>
  <c r="Q15" i="18"/>
  <c r="P15" i="18"/>
  <c r="N15" i="18"/>
  <c r="O15" i="18"/>
  <c r="W16" i="18"/>
  <c r="T16" i="18"/>
  <c r="V16" i="18"/>
  <c r="K16" i="18"/>
  <c r="P16" i="18"/>
  <c r="Q16" i="18"/>
  <c r="N16" i="18"/>
  <c r="J16" i="18"/>
  <c r="X16" i="18"/>
  <c r="U16" i="18"/>
  <c r="M16" i="18"/>
  <c r="R16" i="18"/>
  <c r="S16" i="18"/>
  <c r="O16" i="18"/>
  <c r="V17" i="18"/>
  <c r="X17" i="18"/>
  <c r="T17" i="18"/>
  <c r="J17" i="18"/>
  <c r="S17" i="18"/>
  <c r="R17" i="18"/>
  <c r="K17" i="18"/>
  <c r="U17" i="18"/>
  <c r="W17" i="18"/>
  <c r="N17" i="18"/>
  <c r="O17" i="18"/>
  <c r="M17" i="18"/>
  <c r="Q17" i="18"/>
  <c r="P17" i="18"/>
  <c r="X18" i="18"/>
  <c r="T18" i="18"/>
  <c r="W18" i="18"/>
  <c r="K18" i="18"/>
  <c r="R18" i="18"/>
  <c r="S18" i="18"/>
  <c r="J18" i="18"/>
  <c r="U18" i="18"/>
  <c r="V18" i="18"/>
  <c r="M18" i="18"/>
  <c r="N18" i="18"/>
  <c r="P18" i="18"/>
  <c r="Q18" i="18"/>
  <c r="O18" i="18"/>
  <c r="W19" i="18"/>
  <c r="T19" i="18"/>
  <c r="J19" i="18"/>
  <c r="O19" i="18"/>
  <c r="M19" i="18"/>
  <c r="Q19" i="18"/>
  <c r="V19" i="18"/>
  <c r="X19" i="18"/>
  <c r="U19" i="18"/>
  <c r="N19" i="18"/>
  <c r="K19" i="18"/>
  <c r="S19" i="18"/>
  <c r="R19" i="18"/>
  <c r="P19" i="18"/>
  <c r="T20" i="18"/>
  <c r="W20" i="18"/>
  <c r="Q20" i="18"/>
  <c r="Q21" i="18" s="1"/>
  <c r="Q22" i="18" s="1"/>
  <c r="Q23" i="18" s="1"/>
  <c r="Q24" i="18" s="1"/>
  <c r="P20" i="18"/>
  <c r="N20" i="18"/>
  <c r="J20" i="18"/>
  <c r="U20" i="18"/>
  <c r="X20" i="18"/>
  <c r="V20" i="18"/>
  <c r="K20" i="18"/>
  <c r="M20" i="18"/>
  <c r="R20" i="18"/>
  <c r="S20" i="18"/>
  <c r="O20" i="18"/>
  <c r="T21" i="18"/>
  <c r="V21" i="18"/>
  <c r="X21" i="18"/>
  <c r="J21" i="18"/>
  <c r="P21" i="18"/>
  <c r="O21" i="18"/>
  <c r="M21" i="18"/>
  <c r="K21" i="18"/>
  <c r="U21" i="18"/>
  <c r="W21" i="18"/>
  <c r="N21" i="18"/>
  <c r="S21" i="18"/>
  <c r="R21" i="18"/>
  <c r="X22" i="18"/>
  <c r="U22" i="18"/>
  <c r="K22" i="18"/>
  <c r="K23" i="18" s="1"/>
  <c r="K24" i="18" s="1"/>
  <c r="K25" i="18" s="1"/>
  <c r="S22" i="18"/>
  <c r="R22" i="18"/>
  <c r="J22" i="18"/>
  <c r="T22" i="18"/>
  <c r="W22" i="18"/>
  <c r="V22" i="18"/>
  <c r="V23" i="18" s="1"/>
  <c r="V24" i="18" s="1"/>
  <c r="M22" i="18"/>
  <c r="P22" i="18"/>
  <c r="N22" i="18"/>
  <c r="O22" i="18"/>
  <c r="W23" i="18"/>
  <c r="N23" i="18"/>
  <c r="S23" i="18"/>
  <c r="U23" i="18"/>
  <c r="X23" i="18"/>
  <c r="T23" i="18"/>
  <c r="J23" i="18"/>
  <c r="R23" i="18"/>
  <c r="O23" i="18"/>
  <c r="M23" i="18"/>
  <c r="P23" i="18"/>
  <c r="P26" i="17"/>
  <c r="Q26" i="17" s="1"/>
  <c r="B27" i="17"/>
  <c r="K27" i="17" s="1"/>
  <c r="R28" i="17"/>
  <c r="S28" i="17" s="1"/>
  <c r="F30" i="17"/>
  <c r="N30" i="17" s="1"/>
  <c r="T25" i="18"/>
  <c r="X25" i="18"/>
  <c r="W25" i="18"/>
  <c r="U25" i="18"/>
  <c r="G28" i="18"/>
  <c r="J25" i="18"/>
  <c r="N25" i="18"/>
  <c r="O25" i="18"/>
  <c r="S25" i="18"/>
  <c r="M25" i="18"/>
  <c r="R25" i="18"/>
  <c r="P25" i="18"/>
  <c r="E28" i="18"/>
  <c r="I28" i="18"/>
  <c r="H28" i="18"/>
  <c r="F28" i="18"/>
  <c r="D26" i="18"/>
  <c r="Z29" i="18"/>
  <c r="AA28" i="18"/>
  <c r="C28" i="17"/>
  <c r="J48" i="17" l="1"/>
  <c r="V25" i="18"/>
  <c r="Q25" i="18"/>
  <c r="L25" i="18"/>
  <c r="P27" i="17"/>
  <c r="Q27" i="17" s="1"/>
  <c r="B28" i="17"/>
  <c r="K28" i="17" s="1"/>
  <c r="D34" i="17"/>
  <c r="L34" i="17" s="1"/>
  <c r="R29" i="17"/>
  <c r="S29" i="17" s="1"/>
  <c r="F31" i="17"/>
  <c r="N31" i="17" s="1"/>
  <c r="U26" i="18"/>
  <c r="W26" i="18"/>
  <c r="V26" i="18"/>
  <c r="X26" i="18"/>
  <c r="T26" i="18"/>
  <c r="G29" i="18"/>
  <c r="L26" i="18"/>
  <c r="Q26" i="18"/>
  <c r="K26" i="18"/>
  <c r="M26" i="18"/>
  <c r="P26" i="18"/>
  <c r="R26" i="18"/>
  <c r="N26" i="18"/>
  <c r="S26" i="18"/>
  <c r="J26" i="18"/>
  <c r="O26" i="18"/>
  <c r="F29" i="18"/>
  <c r="H29" i="18"/>
  <c r="I29" i="18"/>
  <c r="E29" i="18"/>
  <c r="D27" i="18"/>
  <c r="Z30" i="18"/>
  <c r="AA29" i="18"/>
  <c r="C29" i="17"/>
  <c r="J49" i="17" l="1"/>
  <c r="P28" i="17"/>
  <c r="Q28" i="17" s="1"/>
  <c r="B29" i="17"/>
  <c r="K29" i="17" s="1"/>
  <c r="D35" i="17"/>
  <c r="L35" i="17" s="1"/>
  <c r="R30" i="17"/>
  <c r="S30" i="17" s="1"/>
  <c r="F32" i="17"/>
  <c r="N32" i="17" s="1"/>
  <c r="W27" i="18"/>
  <c r="X27" i="18"/>
  <c r="V27" i="18"/>
  <c r="T27" i="18"/>
  <c r="U27" i="18"/>
  <c r="G30" i="18"/>
  <c r="Q27" i="18"/>
  <c r="J27" i="18"/>
  <c r="N27" i="18"/>
  <c r="K27" i="18"/>
  <c r="L27" i="18"/>
  <c r="O27" i="18"/>
  <c r="S27" i="18"/>
  <c r="M27" i="18"/>
  <c r="R27" i="18"/>
  <c r="P27" i="18"/>
  <c r="E30" i="18"/>
  <c r="I30" i="18"/>
  <c r="H30" i="18"/>
  <c r="F30" i="18"/>
  <c r="D28" i="18"/>
  <c r="Z31" i="18"/>
  <c r="AA30" i="18"/>
  <c r="C30" i="17"/>
  <c r="J50" i="17" l="1"/>
  <c r="D36" i="17"/>
  <c r="L36" i="17" s="1"/>
  <c r="P29" i="17"/>
  <c r="Q29" i="17" s="1"/>
  <c r="B30" i="17"/>
  <c r="K30" i="17" s="1"/>
  <c r="R31" i="17"/>
  <c r="S31" i="17" s="1"/>
  <c r="F33" i="17"/>
  <c r="N33" i="17" s="1"/>
  <c r="T28" i="18"/>
  <c r="W28" i="18"/>
  <c r="U28" i="18"/>
  <c r="V28" i="18"/>
  <c r="X28" i="18"/>
  <c r="G31" i="18"/>
  <c r="L28" i="18"/>
  <c r="Q28" i="18"/>
  <c r="K28" i="18"/>
  <c r="M28" i="18"/>
  <c r="R28" i="18"/>
  <c r="N28" i="18"/>
  <c r="J28" i="18"/>
  <c r="O28" i="18"/>
  <c r="P28" i="18"/>
  <c r="S28" i="18"/>
  <c r="F31" i="18"/>
  <c r="H31" i="18"/>
  <c r="I31" i="18"/>
  <c r="E31" i="18"/>
  <c r="D29" i="18"/>
  <c r="Z32" i="18"/>
  <c r="AA31" i="18"/>
  <c r="C31" i="17"/>
  <c r="J51" i="17" l="1"/>
  <c r="P30" i="17"/>
  <c r="Q30" i="17" s="1"/>
  <c r="B31" i="17"/>
  <c r="K31" i="17" s="1"/>
  <c r="D37" i="17"/>
  <c r="L37" i="17" s="1"/>
  <c r="R32" i="17"/>
  <c r="S32" i="17" s="1"/>
  <c r="F34" i="17"/>
  <c r="N34" i="17" s="1"/>
  <c r="W29" i="18"/>
  <c r="X29" i="18"/>
  <c r="V29" i="18"/>
  <c r="T29" i="18"/>
  <c r="U29" i="18"/>
  <c r="G32" i="18"/>
  <c r="Q29" i="18"/>
  <c r="J29" i="18"/>
  <c r="N29" i="18"/>
  <c r="L29" i="18"/>
  <c r="O29" i="18"/>
  <c r="S29" i="18"/>
  <c r="M29" i="18"/>
  <c r="R29" i="18"/>
  <c r="K29" i="18"/>
  <c r="P29" i="18"/>
  <c r="E32" i="18"/>
  <c r="I32" i="18"/>
  <c r="H32" i="18"/>
  <c r="F32" i="18"/>
  <c r="D30" i="18"/>
  <c r="Z33" i="18"/>
  <c r="AA32" i="18"/>
  <c r="C32" i="17"/>
  <c r="J52" i="17" l="1"/>
  <c r="D38" i="17"/>
  <c r="L38" i="17" s="1"/>
  <c r="P31" i="17"/>
  <c r="Q31" i="17" s="1"/>
  <c r="B32" i="17"/>
  <c r="K32" i="17" s="1"/>
  <c r="F35" i="17"/>
  <c r="N35" i="17" s="1"/>
  <c r="R33" i="17"/>
  <c r="S33" i="17" s="1"/>
  <c r="U30" i="18"/>
  <c r="W30" i="18"/>
  <c r="V30" i="18"/>
  <c r="T30" i="18"/>
  <c r="X30" i="18"/>
  <c r="G33" i="18"/>
  <c r="L30" i="18"/>
  <c r="Q30" i="18"/>
  <c r="K30" i="18"/>
  <c r="M30" i="18"/>
  <c r="P30" i="18"/>
  <c r="R30" i="18"/>
  <c r="N30" i="18"/>
  <c r="S30" i="18"/>
  <c r="J30" i="18"/>
  <c r="O30" i="18"/>
  <c r="F33" i="18"/>
  <c r="H33" i="18"/>
  <c r="I33" i="18"/>
  <c r="E33" i="18"/>
  <c r="D31" i="18"/>
  <c r="Z34" i="18"/>
  <c r="AA33" i="18"/>
  <c r="C33" i="17"/>
  <c r="J53" i="17" l="1"/>
  <c r="P32" i="17"/>
  <c r="Q32" i="17" s="1"/>
  <c r="B33" i="17"/>
  <c r="K33" i="17" s="1"/>
  <c r="D39" i="17"/>
  <c r="L39" i="17" s="1"/>
  <c r="F36" i="17"/>
  <c r="N36" i="17" s="1"/>
  <c r="R34" i="17"/>
  <c r="S34" i="17" s="1"/>
  <c r="X31" i="18"/>
  <c r="Q31" i="18"/>
  <c r="T31" i="18"/>
  <c r="W31" i="18"/>
  <c r="V31" i="18"/>
  <c r="U31" i="18"/>
  <c r="J31" i="18"/>
  <c r="N31" i="18"/>
  <c r="L31" i="18"/>
  <c r="O31" i="18"/>
  <c r="S31" i="18"/>
  <c r="M31" i="18"/>
  <c r="R31" i="18"/>
  <c r="K31" i="18"/>
  <c r="P31" i="18"/>
  <c r="G34" i="18"/>
  <c r="E34" i="18"/>
  <c r="I34" i="18"/>
  <c r="H34" i="18"/>
  <c r="F34" i="18"/>
  <c r="D32" i="18"/>
  <c r="Z35" i="18"/>
  <c r="AA34" i="18"/>
  <c r="C34" i="17"/>
  <c r="J54" i="17" l="1"/>
  <c r="D40" i="17"/>
  <c r="L40" i="17" s="1"/>
  <c r="P33" i="17"/>
  <c r="Q33" i="17" s="1"/>
  <c r="B34" i="17"/>
  <c r="K34" i="17" s="1"/>
  <c r="F37" i="17"/>
  <c r="N37" i="17" s="1"/>
  <c r="R35" i="17"/>
  <c r="S35" i="17" s="1"/>
  <c r="T32" i="18"/>
  <c r="U32" i="18"/>
  <c r="W32" i="18"/>
  <c r="X32" i="18"/>
  <c r="V32" i="18"/>
  <c r="L32" i="18"/>
  <c r="Q32" i="18"/>
  <c r="K32" i="18"/>
  <c r="M32" i="18"/>
  <c r="P32" i="18"/>
  <c r="R32" i="18"/>
  <c r="N32" i="18"/>
  <c r="S32" i="18"/>
  <c r="J32" i="18"/>
  <c r="O32" i="18"/>
  <c r="F35" i="18"/>
  <c r="H35" i="18"/>
  <c r="I35" i="18"/>
  <c r="E35" i="18"/>
  <c r="G35" i="18"/>
  <c r="D33" i="18"/>
  <c r="Z36" i="18"/>
  <c r="AA35" i="18"/>
  <c r="C35" i="17"/>
  <c r="J55" i="17" l="1"/>
  <c r="D41" i="17"/>
  <c r="L41" i="17" s="1"/>
  <c r="P34" i="17"/>
  <c r="Q34" i="17" s="1"/>
  <c r="B35" i="17"/>
  <c r="K35" i="17" s="1"/>
  <c r="F38" i="17"/>
  <c r="N38" i="17" s="1"/>
  <c r="R36" i="17"/>
  <c r="S36" i="17" s="1"/>
  <c r="V33" i="18"/>
  <c r="X33" i="18"/>
  <c r="W33" i="18"/>
  <c r="T33" i="18"/>
  <c r="U33" i="18"/>
  <c r="L33" i="18"/>
  <c r="J33" i="18"/>
  <c r="N33" i="18"/>
  <c r="K33" i="18"/>
  <c r="Q33" i="18"/>
  <c r="O33" i="18"/>
  <c r="S33" i="18"/>
  <c r="M33" i="18"/>
  <c r="R33" i="18"/>
  <c r="P33" i="18"/>
  <c r="G36" i="18"/>
  <c r="E36" i="18"/>
  <c r="I36" i="18"/>
  <c r="H36" i="18"/>
  <c r="F36" i="18"/>
  <c r="D34" i="18"/>
  <c r="Z37" i="18"/>
  <c r="AA36" i="18"/>
  <c r="C36" i="17"/>
  <c r="J56" i="17" l="1"/>
  <c r="P35" i="17"/>
  <c r="Q35" i="17" s="1"/>
  <c r="B36" i="17"/>
  <c r="K36" i="17" s="1"/>
  <c r="D42" i="17"/>
  <c r="L42" i="17" s="1"/>
  <c r="F39" i="17"/>
  <c r="N39" i="17" s="1"/>
  <c r="R37" i="17"/>
  <c r="S37" i="17" s="1"/>
  <c r="V34" i="18"/>
  <c r="X34" i="18"/>
  <c r="T34" i="18"/>
  <c r="U34" i="18"/>
  <c r="W34" i="18"/>
  <c r="K34" i="18"/>
  <c r="M34" i="18"/>
  <c r="P34" i="18"/>
  <c r="R34" i="18"/>
  <c r="N34" i="18"/>
  <c r="S34" i="18"/>
  <c r="J34" i="18"/>
  <c r="O34" i="18"/>
  <c r="L34" i="18"/>
  <c r="Q34" i="18"/>
  <c r="F37" i="18"/>
  <c r="H37" i="18"/>
  <c r="I37" i="18"/>
  <c r="E37" i="18"/>
  <c r="G37" i="18"/>
  <c r="D35" i="18"/>
  <c r="Z38" i="18"/>
  <c r="AA37" i="18"/>
  <c r="C37" i="17"/>
  <c r="J57" i="17" l="1"/>
  <c r="D43" i="17"/>
  <c r="L43" i="17" s="1"/>
  <c r="P36" i="17"/>
  <c r="Q36" i="17" s="1"/>
  <c r="B37" i="17"/>
  <c r="K37" i="17" s="1"/>
  <c r="F40" i="17"/>
  <c r="N40" i="17" s="1"/>
  <c r="R38" i="17"/>
  <c r="S38" i="17" s="1"/>
  <c r="V35" i="18"/>
  <c r="U35" i="18"/>
  <c r="T35" i="18"/>
  <c r="X35" i="18"/>
  <c r="W35" i="18"/>
  <c r="L35" i="18"/>
  <c r="J35" i="18"/>
  <c r="N35" i="18"/>
  <c r="P35" i="18"/>
  <c r="Q35" i="18"/>
  <c r="O35" i="18"/>
  <c r="S35" i="18"/>
  <c r="M35" i="18"/>
  <c r="R35" i="18"/>
  <c r="K35" i="18"/>
  <c r="G38" i="18"/>
  <c r="E38" i="18"/>
  <c r="I38" i="18"/>
  <c r="H38" i="18"/>
  <c r="F38" i="18"/>
  <c r="D36" i="18"/>
  <c r="Z39" i="18"/>
  <c r="AA38" i="18"/>
  <c r="C38" i="17"/>
  <c r="J58" i="17" l="1"/>
  <c r="D44" i="17"/>
  <c r="L44" i="17" s="1"/>
  <c r="P37" i="17"/>
  <c r="Q37" i="17" s="1"/>
  <c r="B38" i="17"/>
  <c r="K38" i="17" s="1"/>
  <c r="F41" i="17"/>
  <c r="N41" i="17" s="1"/>
  <c r="R39" i="17"/>
  <c r="S39" i="17" s="1"/>
  <c r="X36" i="18"/>
  <c r="W36" i="18"/>
  <c r="U36" i="18"/>
  <c r="T36" i="18"/>
  <c r="V36" i="18"/>
  <c r="K36" i="18"/>
  <c r="M36" i="18"/>
  <c r="P36" i="18"/>
  <c r="R36" i="18"/>
  <c r="S36" i="18"/>
  <c r="O36" i="18"/>
  <c r="Q36" i="18"/>
  <c r="N36" i="18"/>
  <c r="J36" i="18"/>
  <c r="L36" i="18"/>
  <c r="F39" i="18"/>
  <c r="H39" i="18"/>
  <c r="I39" i="18"/>
  <c r="E39" i="18"/>
  <c r="G39" i="18"/>
  <c r="D37" i="18"/>
  <c r="Z40" i="18"/>
  <c r="AA39" i="18"/>
  <c r="C39" i="17"/>
  <c r="J59" i="17" l="1"/>
  <c r="D45" i="17"/>
  <c r="L45" i="17" s="1"/>
  <c r="P38" i="17"/>
  <c r="Q38" i="17" s="1"/>
  <c r="B39" i="17"/>
  <c r="K39" i="17" s="1"/>
  <c r="F42" i="17"/>
  <c r="N42" i="17" s="1"/>
  <c r="R40" i="17"/>
  <c r="S40" i="17" s="1"/>
  <c r="U37" i="18"/>
  <c r="T37" i="18"/>
  <c r="X37" i="18"/>
  <c r="W37" i="18"/>
  <c r="V37" i="18"/>
  <c r="L37" i="18"/>
  <c r="J37" i="18"/>
  <c r="N37" i="18"/>
  <c r="Q37" i="18"/>
  <c r="O37" i="18"/>
  <c r="S37" i="18"/>
  <c r="M37" i="18"/>
  <c r="R37" i="18"/>
  <c r="K37" i="18"/>
  <c r="P37" i="18"/>
  <c r="G40" i="18"/>
  <c r="E40" i="18"/>
  <c r="I40" i="18"/>
  <c r="H40" i="18"/>
  <c r="F40" i="18"/>
  <c r="D38" i="18"/>
  <c r="Z41" i="18"/>
  <c r="AA40" i="18"/>
  <c r="C40" i="17"/>
  <c r="J60" i="17" l="1"/>
  <c r="D46" i="17"/>
  <c r="L46" i="17" s="1"/>
  <c r="P39" i="17"/>
  <c r="Q39" i="17" s="1"/>
  <c r="B40" i="17"/>
  <c r="K40" i="17" s="1"/>
  <c r="F43" i="17"/>
  <c r="N43" i="17" s="1"/>
  <c r="R41" i="17"/>
  <c r="S41" i="17" s="1"/>
  <c r="U38" i="18"/>
  <c r="T38" i="18"/>
  <c r="X38" i="18"/>
  <c r="W38" i="18"/>
  <c r="V38" i="18"/>
  <c r="F41" i="18"/>
  <c r="H41" i="18"/>
  <c r="I41" i="18"/>
  <c r="E41" i="18"/>
  <c r="L38" i="18"/>
  <c r="K38" i="18"/>
  <c r="N38" i="18"/>
  <c r="O38" i="18"/>
  <c r="P38" i="18"/>
  <c r="M38" i="18"/>
  <c r="R38" i="18"/>
  <c r="S38" i="18"/>
  <c r="J38" i="18"/>
  <c r="Q38" i="18"/>
  <c r="G41" i="18"/>
  <c r="D39" i="18"/>
  <c r="Z42" i="18"/>
  <c r="AA41" i="18"/>
  <c r="C41" i="17"/>
  <c r="J61" i="17" l="1"/>
  <c r="D47" i="17"/>
  <c r="L47" i="17" s="1"/>
  <c r="P40" i="17"/>
  <c r="Q40" i="17" s="1"/>
  <c r="B41" i="17"/>
  <c r="K41" i="17" s="1"/>
  <c r="F44" i="17"/>
  <c r="N44" i="17" s="1"/>
  <c r="R42" i="17"/>
  <c r="S42" i="17" s="1"/>
  <c r="W39" i="18"/>
  <c r="U39" i="18"/>
  <c r="T39" i="18"/>
  <c r="X39" i="18"/>
  <c r="V39" i="18"/>
  <c r="E42" i="18"/>
  <c r="I42" i="18"/>
  <c r="H42" i="18"/>
  <c r="F42" i="18"/>
  <c r="L39" i="18"/>
  <c r="J39" i="18"/>
  <c r="S39" i="18"/>
  <c r="M39" i="18"/>
  <c r="R39" i="18"/>
  <c r="P39" i="18"/>
  <c r="Q39" i="18"/>
  <c r="O39" i="18"/>
  <c r="N39" i="18"/>
  <c r="K39" i="18"/>
  <c r="G42" i="18"/>
  <c r="D40" i="18"/>
  <c r="Z43" i="18"/>
  <c r="AA42" i="18"/>
  <c r="C42" i="17"/>
  <c r="J62" i="17" l="1"/>
  <c r="P41" i="17"/>
  <c r="Q41" i="17" s="1"/>
  <c r="B42" i="17"/>
  <c r="K42" i="17" s="1"/>
  <c r="D48" i="17"/>
  <c r="L48" i="17" s="1"/>
  <c r="F45" i="17"/>
  <c r="N45" i="17" s="1"/>
  <c r="R43" i="17"/>
  <c r="S43" i="17" s="1"/>
  <c r="W40" i="18"/>
  <c r="U40" i="18"/>
  <c r="T40" i="18"/>
  <c r="X40" i="18"/>
  <c r="V40" i="18"/>
  <c r="H43" i="18"/>
  <c r="I43" i="18"/>
  <c r="E43" i="18"/>
  <c r="L40" i="18"/>
  <c r="K40" i="18"/>
  <c r="P40" i="18"/>
  <c r="M40" i="18"/>
  <c r="R40" i="18"/>
  <c r="S40" i="18"/>
  <c r="J40" i="18"/>
  <c r="N40" i="18"/>
  <c r="O40" i="18"/>
  <c r="Q40" i="18"/>
  <c r="G43" i="18"/>
  <c r="F43" i="18"/>
  <c r="D41" i="18"/>
  <c r="Z44" i="18"/>
  <c r="AA43" i="18"/>
  <c r="C43" i="17"/>
  <c r="J63" i="17" l="1"/>
  <c r="D49" i="17"/>
  <c r="L49" i="17" s="1"/>
  <c r="P42" i="17"/>
  <c r="Q42" i="17" s="1"/>
  <c r="B43" i="17"/>
  <c r="K43" i="17" s="1"/>
  <c r="F46" i="17"/>
  <c r="N46" i="17" s="1"/>
  <c r="R44" i="17"/>
  <c r="S44" i="17" s="1"/>
  <c r="T41" i="18"/>
  <c r="U41" i="18"/>
  <c r="W41" i="18"/>
  <c r="X41" i="18"/>
  <c r="V41" i="18"/>
  <c r="F44" i="18"/>
  <c r="E44" i="18"/>
  <c r="I44" i="18"/>
  <c r="H44" i="18"/>
  <c r="L41" i="18"/>
  <c r="J41" i="18"/>
  <c r="S41" i="18"/>
  <c r="M41" i="18"/>
  <c r="R41" i="18"/>
  <c r="K41" i="18"/>
  <c r="O41" i="18"/>
  <c r="N41" i="18"/>
  <c r="P41" i="18"/>
  <c r="Q41" i="18"/>
  <c r="G44" i="18"/>
  <c r="D42" i="18"/>
  <c r="Z45" i="18"/>
  <c r="AA44" i="18"/>
  <c r="C44" i="17"/>
  <c r="J64" i="17" l="1"/>
  <c r="P43" i="17"/>
  <c r="Q43" i="17" s="1"/>
  <c r="B44" i="17"/>
  <c r="K44" i="17" s="1"/>
  <c r="D50" i="17"/>
  <c r="L50" i="17" s="1"/>
  <c r="F47" i="17"/>
  <c r="N47" i="17" s="1"/>
  <c r="R45" i="17"/>
  <c r="S45" i="17" s="1"/>
  <c r="V42" i="18"/>
  <c r="X42" i="18"/>
  <c r="W42" i="18"/>
  <c r="U42" i="18"/>
  <c r="T42" i="18"/>
  <c r="H45" i="18"/>
  <c r="I45" i="18"/>
  <c r="E45" i="18"/>
  <c r="L42" i="18"/>
  <c r="M42" i="18"/>
  <c r="R42" i="18"/>
  <c r="S42" i="18"/>
  <c r="J42" i="18"/>
  <c r="P42" i="18"/>
  <c r="N42" i="18"/>
  <c r="O42" i="18"/>
  <c r="Q42" i="18"/>
  <c r="K42" i="18"/>
  <c r="G45" i="18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73" i="18" s="1"/>
  <c r="G74" i="18" s="1"/>
  <c r="G75" i="18" s="1"/>
  <c r="G76" i="18" s="1"/>
  <c r="G77" i="18" s="1"/>
  <c r="G78" i="18" s="1"/>
  <c r="G79" i="18" s="1"/>
  <c r="G80" i="18" s="1"/>
  <c r="G81" i="18" s="1"/>
  <c r="G82" i="18" s="1"/>
  <c r="G83" i="18" s="1"/>
  <c r="G84" i="18" s="1"/>
  <c r="G85" i="18" s="1"/>
  <c r="G86" i="18" s="1"/>
  <c r="G87" i="18" s="1"/>
  <c r="G88" i="18" s="1"/>
  <c r="G89" i="18" s="1"/>
  <c r="G90" i="18" s="1"/>
  <c r="G91" i="18" s="1"/>
  <c r="G92" i="18" s="1"/>
  <c r="G93" i="18" s="1"/>
  <c r="G94" i="18" s="1"/>
  <c r="F45" i="18"/>
  <c r="D43" i="18"/>
  <c r="Z46" i="18"/>
  <c r="AA45" i="18"/>
  <c r="C45" i="17"/>
  <c r="J65" i="17" l="1"/>
  <c r="D51" i="17"/>
  <c r="L51" i="17" s="1"/>
  <c r="P44" i="17"/>
  <c r="Q44" i="17" s="1"/>
  <c r="B45" i="17"/>
  <c r="K45" i="17" s="1"/>
  <c r="F48" i="17"/>
  <c r="N48" i="17" s="1"/>
  <c r="R46" i="17"/>
  <c r="S46" i="17" s="1"/>
  <c r="X43" i="18"/>
  <c r="W43" i="18"/>
  <c r="U43" i="18"/>
  <c r="T43" i="18"/>
  <c r="V43" i="18"/>
  <c r="F46" i="18"/>
  <c r="E46" i="18"/>
  <c r="I46" i="18"/>
  <c r="H46" i="18"/>
  <c r="L43" i="18"/>
  <c r="K43" i="18"/>
  <c r="J43" i="18"/>
  <c r="S43" i="18"/>
  <c r="M43" i="18"/>
  <c r="R43" i="18"/>
  <c r="Q43" i="18"/>
  <c r="P43" i="18"/>
  <c r="O43" i="18"/>
  <c r="N43" i="18"/>
  <c r="G95" i="18"/>
  <c r="D44" i="18"/>
  <c r="Z47" i="18"/>
  <c r="AA46" i="18"/>
  <c r="C46" i="17"/>
  <c r="J66" i="17" l="1"/>
  <c r="P45" i="17"/>
  <c r="Q45" i="17" s="1"/>
  <c r="B46" i="17"/>
  <c r="K46" i="17" s="1"/>
  <c r="D52" i="17"/>
  <c r="L52" i="17" s="1"/>
  <c r="F49" i="17"/>
  <c r="N49" i="17" s="1"/>
  <c r="R47" i="17"/>
  <c r="S47" i="17" s="1"/>
  <c r="X44" i="18"/>
  <c r="T44" i="18"/>
  <c r="U44" i="18"/>
  <c r="P44" i="18"/>
  <c r="W44" i="18"/>
  <c r="V44" i="18"/>
  <c r="H47" i="18"/>
  <c r="I47" i="18"/>
  <c r="E47" i="18"/>
  <c r="F47" i="18"/>
  <c r="L44" i="18"/>
  <c r="M44" i="18"/>
  <c r="S44" i="18"/>
  <c r="N44" i="18"/>
  <c r="J44" i="18"/>
  <c r="R44" i="18"/>
  <c r="O44" i="18"/>
  <c r="Q44" i="18"/>
  <c r="K44" i="18"/>
  <c r="G96" i="18"/>
  <c r="D45" i="18"/>
  <c r="Z48" i="18"/>
  <c r="AA47" i="18"/>
  <c r="C47" i="17"/>
  <c r="J67" i="17" l="1"/>
  <c r="D53" i="17"/>
  <c r="L53" i="17" s="1"/>
  <c r="P46" i="17"/>
  <c r="Q46" i="17" s="1"/>
  <c r="B47" i="17"/>
  <c r="K47" i="17" s="1"/>
  <c r="F50" i="17"/>
  <c r="N50" i="17" s="1"/>
  <c r="R48" i="17"/>
  <c r="S48" i="17" s="1"/>
  <c r="T45" i="18"/>
  <c r="X45" i="18"/>
  <c r="W45" i="18"/>
  <c r="V45" i="18"/>
  <c r="U45" i="18"/>
  <c r="P45" i="18"/>
  <c r="F48" i="18"/>
  <c r="E48" i="18"/>
  <c r="I48" i="18"/>
  <c r="H48" i="18"/>
  <c r="K45" i="18"/>
  <c r="J45" i="18"/>
  <c r="N45" i="18"/>
  <c r="M45" i="18"/>
  <c r="O45" i="18"/>
  <c r="S45" i="18"/>
  <c r="R45" i="18"/>
  <c r="Q45" i="18"/>
  <c r="L45" i="18"/>
  <c r="G97" i="18"/>
  <c r="D46" i="18"/>
  <c r="Z49" i="18"/>
  <c r="AA48" i="18"/>
  <c r="C48" i="17"/>
  <c r="J68" i="17" l="1"/>
  <c r="P47" i="17"/>
  <c r="Q47" i="17" s="1"/>
  <c r="B48" i="17"/>
  <c r="K48" i="17" s="1"/>
  <c r="D54" i="17"/>
  <c r="L54" i="17" s="1"/>
  <c r="R49" i="17"/>
  <c r="S49" i="17" s="1"/>
  <c r="F51" i="17"/>
  <c r="N51" i="17" s="1"/>
  <c r="T46" i="18"/>
  <c r="X46" i="18"/>
  <c r="W46" i="18"/>
  <c r="U46" i="18"/>
  <c r="V46" i="18"/>
  <c r="H49" i="18"/>
  <c r="I49" i="18"/>
  <c r="E49" i="18"/>
  <c r="F49" i="18"/>
  <c r="L46" i="18"/>
  <c r="M46" i="18"/>
  <c r="N46" i="18"/>
  <c r="J46" i="18"/>
  <c r="K46" i="18"/>
  <c r="R46" i="18"/>
  <c r="S46" i="18"/>
  <c r="O46" i="18"/>
  <c r="P46" i="18"/>
  <c r="Q46" i="18"/>
  <c r="G98" i="18"/>
  <c r="D47" i="18"/>
  <c r="Z50" i="18"/>
  <c r="AA49" i="18"/>
  <c r="C49" i="17"/>
  <c r="J69" i="17" l="1"/>
  <c r="D55" i="17"/>
  <c r="L55" i="17" s="1"/>
  <c r="P48" i="17"/>
  <c r="Q48" i="17" s="1"/>
  <c r="B49" i="17"/>
  <c r="K49" i="17" s="1"/>
  <c r="R50" i="17"/>
  <c r="S50" i="17" s="1"/>
  <c r="F52" i="17"/>
  <c r="N52" i="17" s="1"/>
  <c r="U47" i="18"/>
  <c r="T47" i="18"/>
  <c r="X47" i="18"/>
  <c r="W47" i="18"/>
  <c r="V47" i="18"/>
  <c r="F50" i="18"/>
  <c r="E50" i="18"/>
  <c r="I50" i="18"/>
  <c r="H50" i="18"/>
  <c r="Q47" i="18"/>
  <c r="L47" i="18"/>
  <c r="K47" i="18"/>
  <c r="J47" i="18"/>
  <c r="N47" i="18"/>
  <c r="M47" i="18"/>
  <c r="P47" i="18"/>
  <c r="O47" i="18"/>
  <c r="S47" i="18"/>
  <c r="R47" i="18"/>
  <c r="G99" i="18"/>
  <c r="D48" i="18"/>
  <c r="Z51" i="18"/>
  <c r="AA50" i="18"/>
  <c r="C50" i="17"/>
  <c r="J70" i="17" l="1"/>
  <c r="D56" i="17"/>
  <c r="L56" i="17" s="1"/>
  <c r="P49" i="17"/>
  <c r="Q49" i="17" s="1"/>
  <c r="B50" i="17"/>
  <c r="K50" i="17" s="1"/>
  <c r="R51" i="17"/>
  <c r="S51" i="17" s="1"/>
  <c r="F53" i="17"/>
  <c r="N53" i="17" s="1"/>
  <c r="X48" i="18"/>
  <c r="W48" i="18"/>
  <c r="T48" i="18"/>
  <c r="V48" i="18"/>
  <c r="U48" i="18"/>
  <c r="M48" i="18"/>
  <c r="N48" i="18"/>
  <c r="J48" i="18"/>
  <c r="K48" i="18"/>
  <c r="R48" i="18"/>
  <c r="S48" i="18"/>
  <c r="O48" i="18"/>
  <c r="P48" i="18"/>
  <c r="F51" i="18"/>
  <c r="L48" i="18"/>
  <c r="H51" i="18"/>
  <c r="I51" i="18"/>
  <c r="E51" i="18"/>
  <c r="Q48" i="18"/>
  <c r="G100" i="18"/>
  <c r="D49" i="18"/>
  <c r="Z52" i="18"/>
  <c r="AA51" i="18"/>
  <c r="C51" i="17"/>
  <c r="J71" i="17" l="1"/>
  <c r="D57" i="17"/>
  <c r="L57" i="17" s="1"/>
  <c r="P50" i="17"/>
  <c r="Q50" i="17" s="1"/>
  <c r="B51" i="17"/>
  <c r="K51" i="17" s="1"/>
  <c r="R52" i="17"/>
  <c r="S52" i="17" s="1"/>
  <c r="F54" i="17"/>
  <c r="N54" i="17" s="1"/>
  <c r="V49" i="18"/>
  <c r="T49" i="18"/>
  <c r="X49" i="18"/>
  <c r="W49" i="18"/>
  <c r="U49" i="18"/>
  <c r="P49" i="18"/>
  <c r="S49" i="18"/>
  <c r="R49" i="18"/>
  <c r="O49" i="18"/>
  <c r="J49" i="18"/>
  <c r="N49" i="18"/>
  <c r="M49" i="18"/>
  <c r="E52" i="18"/>
  <c r="I52" i="18"/>
  <c r="H52" i="18"/>
  <c r="F52" i="18"/>
  <c r="K49" i="18"/>
  <c r="Q49" i="18"/>
  <c r="L49" i="18"/>
  <c r="G101" i="18"/>
  <c r="D50" i="18"/>
  <c r="Z53" i="18"/>
  <c r="AA52" i="18"/>
  <c r="C52" i="17"/>
  <c r="J72" i="17" l="1"/>
  <c r="D58" i="17"/>
  <c r="L58" i="17" s="1"/>
  <c r="P51" i="17"/>
  <c r="Q51" i="17" s="1"/>
  <c r="B52" i="17"/>
  <c r="K52" i="17" s="1"/>
  <c r="R53" i="17"/>
  <c r="S53" i="17" s="1"/>
  <c r="F55" i="17"/>
  <c r="N55" i="17" s="1"/>
  <c r="T50" i="18"/>
  <c r="X50" i="18"/>
  <c r="W50" i="18"/>
  <c r="U50" i="18"/>
  <c r="V50" i="18"/>
  <c r="Q50" i="18"/>
  <c r="P50" i="18"/>
  <c r="M50" i="18"/>
  <c r="N50" i="18"/>
  <c r="J50" i="18"/>
  <c r="R50" i="18"/>
  <c r="S50" i="18"/>
  <c r="O50" i="18"/>
  <c r="F53" i="18"/>
  <c r="H53" i="18"/>
  <c r="I53" i="18"/>
  <c r="E53" i="18"/>
  <c r="L50" i="18"/>
  <c r="K50" i="18"/>
  <c r="G102" i="18"/>
  <c r="D51" i="18"/>
  <c r="Z54" i="18"/>
  <c r="AA53" i="18"/>
  <c r="C53" i="17"/>
  <c r="J73" i="17" l="1"/>
  <c r="D59" i="17"/>
  <c r="L59" i="17" s="1"/>
  <c r="P52" i="17"/>
  <c r="Q52" i="17" s="1"/>
  <c r="B53" i="17"/>
  <c r="K53" i="17" s="1"/>
  <c r="R54" i="17"/>
  <c r="S54" i="17" s="1"/>
  <c r="F56" i="17"/>
  <c r="N56" i="17" s="1"/>
  <c r="T51" i="18"/>
  <c r="X51" i="18"/>
  <c r="W51" i="18"/>
  <c r="U51" i="18"/>
  <c r="V51" i="18"/>
  <c r="K51" i="18"/>
  <c r="S51" i="18"/>
  <c r="R51" i="18"/>
  <c r="O51" i="18"/>
  <c r="J51" i="18"/>
  <c r="N51" i="18"/>
  <c r="M51" i="18"/>
  <c r="P51" i="18"/>
  <c r="F54" i="18"/>
  <c r="L51" i="18"/>
  <c r="Q51" i="18"/>
  <c r="E54" i="18"/>
  <c r="I54" i="18"/>
  <c r="H54" i="18"/>
  <c r="D52" i="18"/>
  <c r="Z55" i="18"/>
  <c r="AA54" i="18"/>
  <c r="C54" i="17"/>
  <c r="J74" i="17" l="1"/>
  <c r="D60" i="17"/>
  <c r="L60" i="17" s="1"/>
  <c r="P53" i="17"/>
  <c r="Q53" i="17" s="1"/>
  <c r="B54" i="17"/>
  <c r="K54" i="17" s="1"/>
  <c r="R55" i="17"/>
  <c r="S55" i="17" s="1"/>
  <c r="F57" i="17"/>
  <c r="N57" i="17" s="1"/>
  <c r="T52" i="18"/>
  <c r="X52" i="18"/>
  <c r="W52" i="18"/>
  <c r="V52" i="18"/>
  <c r="U52" i="18"/>
  <c r="P52" i="18"/>
  <c r="R52" i="18"/>
  <c r="S52" i="18"/>
  <c r="O52" i="18"/>
  <c r="M52" i="18"/>
  <c r="N52" i="18"/>
  <c r="J52" i="18"/>
  <c r="H55" i="18"/>
  <c r="I55" i="18"/>
  <c r="E55" i="18"/>
  <c r="K52" i="18"/>
  <c r="L52" i="18"/>
  <c r="F55" i="18"/>
  <c r="Q52" i="18"/>
  <c r="D53" i="18"/>
  <c r="Z56" i="18"/>
  <c r="AA55" i="18"/>
  <c r="C55" i="17"/>
  <c r="J75" i="17" l="1"/>
  <c r="P54" i="17"/>
  <c r="Q54" i="17" s="1"/>
  <c r="B55" i="17"/>
  <c r="K55" i="17" s="1"/>
  <c r="D61" i="17"/>
  <c r="L61" i="17" s="1"/>
  <c r="R56" i="17"/>
  <c r="S56" i="17" s="1"/>
  <c r="F58" i="17"/>
  <c r="N58" i="17" s="1"/>
  <c r="T53" i="18"/>
  <c r="W53" i="18"/>
  <c r="X53" i="18"/>
  <c r="V53" i="18"/>
  <c r="U53" i="18"/>
  <c r="L53" i="18"/>
  <c r="O53" i="18"/>
  <c r="J53" i="18"/>
  <c r="N53" i="18"/>
  <c r="M53" i="18"/>
  <c r="P53" i="18"/>
  <c r="S53" i="18"/>
  <c r="R53" i="18"/>
  <c r="F56" i="18"/>
  <c r="E56" i="18"/>
  <c r="I56" i="18"/>
  <c r="H56" i="18"/>
  <c r="Q53" i="18"/>
  <c r="K53" i="18"/>
  <c r="D54" i="18"/>
  <c r="Z57" i="18"/>
  <c r="AA56" i="18"/>
  <c r="C56" i="17"/>
  <c r="J76" i="17" l="1"/>
  <c r="D62" i="17"/>
  <c r="L62" i="17" s="1"/>
  <c r="P55" i="17"/>
  <c r="Q55" i="17" s="1"/>
  <c r="B56" i="17"/>
  <c r="K56" i="17" s="1"/>
  <c r="R57" i="17"/>
  <c r="S57" i="17" s="1"/>
  <c r="F59" i="17"/>
  <c r="N59" i="17" s="1"/>
  <c r="X54" i="18"/>
  <c r="T54" i="18"/>
  <c r="W54" i="18"/>
  <c r="U54" i="18"/>
  <c r="V54" i="18"/>
  <c r="L54" i="18"/>
  <c r="F57" i="18"/>
  <c r="Q54" i="18"/>
  <c r="R54" i="18"/>
  <c r="S54" i="18"/>
  <c r="O54" i="18"/>
  <c r="P54" i="18"/>
  <c r="M54" i="18"/>
  <c r="N54" i="18"/>
  <c r="J54" i="18"/>
  <c r="H57" i="18"/>
  <c r="I57" i="18"/>
  <c r="E57" i="18"/>
  <c r="K54" i="18"/>
  <c r="D55" i="18"/>
  <c r="Z58" i="18"/>
  <c r="AA57" i="18"/>
  <c r="C57" i="17"/>
  <c r="J77" i="17" l="1"/>
  <c r="P56" i="17"/>
  <c r="Q56" i="17" s="1"/>
  <c r="B57" i="17"/>
  <c r="K57" i="17" s="1"/>
  <c r="D63" i="17"/>
  <c r="L63" i="17" s="1"/>
  <c r="R58" i="17"/>
  <c r="S58" i="17" s="1"/>
  <c r="F60" i="17"/>
  <c r="N60" i="17" s="1"/>
  <c r="T55" i="18"/>
  <c r="W55" i="18"/>
  <c r="X55" i="18"/>
  <c r="U55" i="18"/>
  <c r="V55" i="18"/>
  <c r="P55" i="18"/>
  <c r="S55" i="18"/>
  <c r="R55" i="18"/>
  <c r="O55" i="18"/>
  <c r="J55" i="18"/>
  <c r="N55" i="18"/>
  <c r="M55" i="18"/>
  <c r="E58" i="18"/>
  <c r="I58" i="18"/>
  <c r="H58" i="18"/>
  <c r="K55" i="18"/>
  <c r="Q55" i="18"/>
  <c r="L55" i="18"/>
  <c r="F58" i="18"/>
  <c r="D56" i="18"/>
  <c r="Z59" i="18"/>
  <c r="AA58" i="18"/>
  <c r="C58" i="17"/>
  <c r="J78" i="17" l="1"/>
  <c r="D64" i="17"/>
  <c r="L64" i="17" s="1"/>
  <c r="P57" i="17"/>
  <c r="Q57" i="17" s="1"/>
  <c r="B58" i="17"/>
  <c r="K58" i="17" s="1"/>
  <c r="R59" i="17"/>
  <c r="S59" i="17" s="1"/>
  <c r="F61" i="17"/>
  <c r="N61" i="17" s="1"/>
  <c r="T56" i="18"/>
  <c r="X56" i="18"/>
  <c r="W56" i="18"/>
  <c r="V56" i="18"/>
  <c r="U56" i="18"/>
  <c r="Q56" i="18"/>
  <c r="F59" i="18"/>
  <c r="M56" i="18"/>
  <c r="N56" i="18"/>
  <c r="J56" i="18"/>
  <c r="P56" i="18"/>
  <c r="R56" i="18"/>
  <c r="S56" i="18"/>
  <c r="O56" i="18"/>
  <c r="H59" i="18"/>
  <c r="I59" i="18"/>
  <c r="E59" i="18"/>
  <c r="L56" i="18"/>
  <c r="K56" i="18"/>
  <c r="D57" i="18"/>
  <c r="Z60" i="18"/>
  <c r="AA59" i="18"/>
  <c r="C59" i="17"/>
  <c r="J79" i="17" l="1"/>
  <c r="P58" i="17"/>
  <c r="Q58" i="17" s="1"/>
  <c r="B59" i="17"/>
  <c r="K59" i="17" s="1"/>
  <c r="D65" i="17"/>
  <c r="L65" i="17" s="1"/>
  <c r="R60" i="17"/>
  <c r="S60" i="17" s="1"/>
  <c r="F62" i="17"/>
  <c r="N62" i="17" s="1"/>
  <c r="T57" i="18"/>
  <c r="W57" i="18"/>
  <c r="X57" i="18"/>
  <c r="V57" i="18"/>
  <c r="U57" i="18"/>
  <c r="K57" i="18"/>
  <c r="S57" i="18"/>
  <c r="R57" i="18"/>
  <c r="P57" i="18"/>
  <c r="O57" i="18"/>
  <c r="J57" i="18"/>
  <c r="N57" i="18"/>
  <c r="M57" i="18"/>
  <c r="E60" i="18"/>
  <c r="I60" i="18"/>
  <c r="H60" i="18"/>
  <c r="F60" i="18"/>
  <c r="L57" i="18"/>
  <c r="Q57" i="18"/>
  <c r="D58" i="18"/>
  <c r="Z61" i="18"/>
  <c r="AA60" i="18"/>
  <c r="C60" i="17"/>
  <c r="J80" i="17" l="1"/>
  <c r="D66" i="17"/>
  <c r="L66" i="17" s="1"/>
  <c r="P59" i="17"/>
  <c r="Q59" i="17" s="1"/>
  <c r="B60" i="17"/>
  <c r="K60" i="17" s="1"/>
  <c r="R61" i="17"/>
  <c r="S61" i="17" s="1"/>
  <c r="F63" i="17"/>
  <c r="N63" i="17" s="1"/>
  <c r="W58" i="18"/>
  <c r="X58" i="18"/>
  <c r="T58" i="18"/>
  <c r="U58" i="18"/>
  <c r="V58" i="18"/>
  <c r="K58" i="18"/>
  <c r="L58" i="18"/>
  <c r="P58" i="18"/>
  <c r="M58" i="18"/>
  <c r="N58" i="18"/>
  <c r="J58" i="18"/>
  <c r="R58" i="18"/>
  <c r="S58" i="18"/>
  <c r="O58" i="18"/>
  <c r="F61" i="18"/>
  <c r="H61" i="18"/>
  <c r="I61" i="18"/>
  <c r="E61" i="18"/>
  <c r="Q58" i="18"/>
  <c r="D59" i="18"/>
  <c r="Z62" i="18"/>
  <c r="Z63" i="18" s="1"/>
  <c r="AA61" i="18"/>
  <c r="C61" i="17"/>
  <c r="J81" i="17" l="1"/>
  <c r="D67" i="17"/>
  <c r="L67" i="17" s="1"/>
  <c r="P60" i="17"/>
  <c r="Q60" i="17" s="1"/>
  <c r="B61" i="17"/>
  <c r="K61" i="17" s="1"/>
  <c r="F64" i="17"/>
  <c r="N64" i="17" s="1"/>
  <c r="R62" i="17"/>
  <c r="S62" i="17" s="1"/>
  <c r="U59" i="18"/>
  <c r="T59" i="18"/>
  <c r="W59" i="18"/>
  <c r="X59" i="18"/>
  <c r="V59" i="18"/>
  <c r="K59" i="18"/>
  <c r="C62" i="17"/>
  <c r="E62" i="18"/>
  <c r="I62" i="18"/>
  <c r="H62" i="18"/>
  <c r="S59" i="18"/>
  <c r="R59" i="18"/>
  <c r="O59" i="18"/>
  <c r="J59" i="18"/>
  <c r="N59" i="18"/>
  <c r="M59" i="18"/>
  <c r="P59" i="18"/>
  <c r="F62" i="18"/>
  <c r="Q59" i="18"/>
  <c r="L59" i="18"/>
  <c r="AA63" i="18"/>
  <c r="Z64" i="18"/>
  <c r="D60" i="18"/>
  <c r="AA62" i="18"/>
  <c r="J82" i="17" l="1"/>
  <c r="D68" i="17"/>
  <c r="L68" i="17" s="1"/>
  <c r="P61" i="17"/>
  <c r="Q61" i="17" s="1"/>
  <c r="B62" i="17"/>
  <c r="K62" i="17" s="1"/>
  <c r="F65" i="17"/>
  <c r="N65" i="17" s="1"/>
  <c r="R63" i="17"/>
  <c r="S63" i="17" s="1"/>
  <c r="X60" i="18"/>
  <c r="T60" i="18"/>
  <c r="W60" i="18"/>
  <c r="U60" i="18"/>
  <c r="V60" i="18"/>
  <c r="K60" i="18"/>
  <c r="C63" i="17"/>
  <c r="L60" i="18"/>
  <c r="M60" i="18"/>
  <c r="N60" i="18"/>
  <c r="J60" i="18"/>
  <c r="P60" i="18"/>
  <c r="R60" i="18"/>
  <c r="S60" i="18"/>
  <c r="O60" i="18"/>
  <c r="F63" i="18"/>
  <c r="H63" i="18"/>
  <c r="I63" i="18"/>
  <c r="E63" i="18"/>
  <c r="Q60" i="18"/>
  <c r="AA64" i="18"/>
  <c r="Z65" i="18"/>
  <c r="D61" i="18"/>
  <c r="J83" i="17" l="1"/>
  <c r="D69" i="17"/>
  <c r="L69" i="17" s="1"/>
  <c r="P62" i="17"/>
  <c r="Q62" i="17" s="1"/>
  <c r="B63" i="17"/>
  <c r="K63" i="17" s="1"/>
  <c r="F66" i="17"/>
  <c r="N66" i="17" s="1"/>
  <c r="R64" i="17"/>
  <c r="S64" i="17" s="1"/>
  <c r="W61" i="18"/>
  <c r="T61" i="18"/>
  <c r="X61" i="18"/>
  <c r="V61" i="18"/>
  <c r="U61" i="18"/>
  <c r="K61" i="18"/>
  <c r="C64" i="17"/>
  <c r="Q61" i="18"/>
  <c r="E64" i="18"/>
  <c r="I64" i="18"/>
  <c r="H64" i="18"/>
  <c r="S61" i="18"/>
  <c r="R61" i="18"/>
  <c r="O61" i="18"/>
  <c r="J61" i="18"/>
  <c r="N61" i="18"/>
  <c r="M61" i="18"/>
  <c r="P61" i="18"/>
  <c r="F64" i="18"/>
  <c r="L61" i="18"/>
  <c r="Z66" i="18"/>
  <c r="AA65" i="18"/>
  <c r="D62" i="18"/>
  <c r="J84" i="17" l="1"/>
  <c r="D70" i="17"/>
  <c r="L70" i="17" s="1"/>
  <c r="P63" i="17"/>
  <c r="Q63" i="17" s="1"/>
  <c r="B64" i="17"/>
  <c r="K64" i="17" s="1"/>
  <c r="F67" i="17"/>
  <c r="N67" i="17" s="1"/>
  <c r="R65" i="17"/>
  <c r="S65" i="17" s="1"/>
  <c r="X62" i="18"/>
  <c r="T62" i="18"/>
  <c r="W62" i="18"/>
  <c r="V62" i="18"/>
  <c r="U62" i="18"/>
  <c r="C65" i="17"/>
  <c r="K62" i="18"/>
  <c r="J62" i="18"/>
  <c r="O62" i="18"/>
  <c r="H65" i="18"/>
  <c r="I65" i="18"/>
  <c r="E65" i="18"/>
  <c r="D63" i="18"/>
  <c r="M62" i="18"/>
  <c r="N62" i="18"/>
  <c r="P62" i="18"/>
  <c r="R62" i="18"/>
  <c r="S62" i="18"/>
  <c r="F65" i="18"/>
  <c r="L62" i="18"/>
  <c r="L63" i="18" s="1"/>
  <c r="Q62" i="18"/>
  <c r="Q63" i="18" s="1"/>
  <c r="D64" i="18"/>
  <c r="Z67" i="18"/>
  <c r="AA66" i="18"/>
  <c r="J85" i="17" l="1"/>
  <c r="D71" i="17"/>
  <c r="L71" i="17" s="1"/>
  <c r="P64" i="17"/>
  <c r="Q64" i="17" s="1"/>
  <c r="B65" i="17"/>
  <c r="K65" i="17" s="1"/>
  <c r="F68" i="17"/>
  <c r="N68" i="17" s="1"/>
  <c r="R66" i="17"/>
  <c r="S66" i="17" s="1"/>
  <c r="T63" i="18"/>
  <c r="W63" i="18"/>
  <c r="X63" i="18"/>
  <c r="X64" i="18" s="1"/>
  <c r="V63" i="18"/>
  <c r="V64" i="18" s="1"/>
  <c r="T64" i="18"/>
  <c r="W64" i="18"/>
  <c r="U63" i="18"/>
  <c r="U64" i="18" s="1"/>
  <c r="C66" i="17"/>
  <c r="L64" i="18"/>
  <c r="F66" i="18"/>
  <c r="O63" i="18"/>
  <c r="J63" i="18"/>
  <c r="N63" i="18"/>
  <c r="M63" i="18"/>
  <c r="M64" i="18" s="1"/>
  <c r="P63" i="18"/>
  <c r="P64" i="18" s="1"/>
  <c r="S63" i="18"/>
  <c r="R63" i="18"/>
  <c r="R64" i="18" s="1"/>
  <c r="E66" i="18"/>
  <c r="I66" i="18"/>
  <c r="H66" i="18"/>
  <c r="Q64" i="18"/>
  <c r="O64" i="18"/>
  <c r="S64" i="18"/>
  <c r="K63" i="18"/>
  <c r="K64" i="18" s="1"/>
  <c r="J64" i="18"/>
  <c r="N64" i="18"/>
  <c r="Z68" i="18"/>
  <c r="AA67" i="18"/>
  <c r="D65" i="18"/>
  <c r="T65" i="18" s="1"/>
  <c r="J86" i="17" l="1"/>
  <c r="D72" i="17"/>
  <c r="L72" i="17" s="1"/>
  <c r="P65" i="17"/>
  <c r="Q65" i="17" s="1"/>
  <c r="B66" i="17"/>
  <c r="K66" i="17" s="1"/>
  <c r="F69" i="17"/>
  <c r="N69" i="17" s="1"/>
  <c r="R67" i="17"/>
  <c r="S67" i="17" s="1"/>
  <c r="V65" i="18"/>
  <c r="X65" i="18"/>
  <c r="W65" i="18"/>
  <c r="U65" i="18"/>
  <c r="C67" i="17"/>
  <c r="F67" i="18"/>
  <c r="L65" i="18"/>
  <c r="Q65" i="18"/>
  <c r="M65" i="18"/>
  <c r="N65" i="18"/>
  <c r="J65" i="18"/>
  <c r="O65" i="18"/>
  <c r="P65" i="18"/>
  <c r="H67" i="18"/>
  <c r="I67" i="18"/>
  <c r="E67" i="18"/>
  <c r="K65" i="18"/>
  <c r="R65" i="18"/>
  <c r="S65" i="18"/>
  <c r="Z69" i="18"/>
  <c r="AA68" i="18"/>
  <c r="D66" i="18"/>
  <c r="X66" i="18" s="1"/>
  <c r="J87" i="17" l="1"/>
  <c r="D73" i="17"/>
  <c r="L73" i="17" s="1"/>
  <c r="P66" i="17"/>
  <c r="Q66" i="17" s="1"/>
  <c r="B67" i="17"/>
  <c r="K67" i="17" s="1"/>
  <c r="F70" i="17"/>
  <c r="N70" i="17" s="1"/>
  <c r="R68" i="17"/>
  <c r="S68" i="17" s="1"/>
  <c r="U66" i="18"/>
  <c r="T66" i="18"/>
  <c r="W66" i="18"/>
  <c r="V66" i="18"/>
  <c r="C68" i="17"/>
  <c r="E68" i="18"/>
  <c r="I68" i="18"/>
  <c r="H68" i="18"/>
  <c r="F68" i="18"/>
  <c r="K66" i="18"/>
  <c r="O66" i="18"/>
  <c r="S66" i="18"/>
  <c r="R66" i="18"/>
  <c r="P66" i="18"/>
  <c r="J66" i="18"/>
  <c r="N66" i="18"/>
  <c r="M66" i="18"/>
  <c r="Q66" i="18"/>
  <c r="L66" i="18"/>
  <c r="Z70" i="18"/>
  <c r="AA69" i="18"/>
  <c r="D67" i="18"/>
  <c r="T67" i="18" s="1"/>
  <c r="J88" i="17" l="1"/>
  <c r="D74" i="17"/>
  <c r="L74" i="17" s="1"/>
  <c r="P67" i="17"/>
  <c r="Q67" i="17" s="1"/>
  <c r="B68" i="17"/>
  <c r="K68" i="17" s="1"/>
  <c r="F71" i="17"/>
  <c r="N71" i="17" s="1"/>
  <c r="R69" i="17"/>
  <c r="S69" i="17" s="1"/>
  <c r="V67" i="18"/>
  <c r="X67" i="18"/>
  <c r="W67" i="18"/>
  <c r="U67" i="18"/>
  <c r="C69" i="17"/>
  <c r="Q67" i="18"/>
  <c r="F69" i="18"/>
  <c r="F70" i="18" s="1"/>
  <c r="F71" i="18" s="1"/>
  <c r="F72" i="18" s="1"/>
  <c r="F73" i="18" s="1"/>
  <c r="F74" i="18" s="1"/>
  <c r="F75" i="18" s="1"/>
  <c r="F76" i="18" s="1"/>
  <c r="F77" i="18" s="1"/>
  <c r="F78" i="18" s="1"/>
  <c r="F79" i="18" s="1"/>
  <c r="F80" i="18" s="1"/>
  <c r="F81" i="18" s="1"/>
  <c r="F82" i="18" s="1"/>
  <c r="F83" i="18" s="1"/>
  <c r="F84" i="18" s="1"/>
  <c r="F85" i="18" s="1"/>
  <c r="F86" i="18" s="1"/>
  <c r="F87" i="18" s="1"/>
  <c r="F88" i="18" s="1"/>
  <c r="F89" i="18" s="1"/>
  <c r="F90" i="18" s="1"/>
  <c r="F91" i="18" s="1"/>
  <c r="F92" i="18" s="1"/>
  <c r="F93" i="18" s="1"/>
  <c r="F94" i="18" s="1"/>
  <c r="F95" i="18" s="1"/>
  <c r="F96" i="18" s="1"/>
  <c r="F97" i="18" s="1"/>
  <c r="F98" i="18" s="1"/>
  <c r="F99" i="18" s="1"/>
  <c r="F100" i="18" s="1"/>
  <c r="F101" i="18" s="1"/>
  <c r="F102" i="18" s="1"/>
  <c r="P67" i="18"/>
  <c r="M67" i="18"/>
  <c r="N67" i="18"/>
  <c r="J67" i="18"/>
  <c r="O67" i="18"/>
  <c r="H69" i="18"/>
  <c r="I69" i="18"/>
  <c r="E69" i="18"/>
  <c r="L67" i="18"/>
  <c r="K67" i="18"/>
  <c r="R67" i="18"/>
  <c r="S67" i="18"/>
  <c r="D68" i="18"/>
  <c r="T68" i="18" s="1"/>
  <c r="AA70" i="18"/>
  <c r="Z71" i="18"/>
  <c r="J89" i="17" l="1"/>
  <c r="D75" i="17"/>
  <c r="L75" i="17" s="1"/>
  <c r="P68" i="17"/>
  <c r="Q68" i="17" s="1"/>
  <c r="B69" i="17"/>
  <c r="K69" i="17" s="1"/>
  <c r="F72" i="17"/>
  <c r="N72" i="17" s="1"/>
  <c r="R70" i="17"/>
  <c r="S70" i="17" s="1"/>
  <c r="U68" i="18"/>
  <c r="X68" i="18"/>
  <c r="W68" i="18"/>
  <c r="V68" i="18"/>
  <c r="C70" i="17"/>
  <c r="K68" i="18"/>
  <c r="L68" i="18"/>
  <c r="O68" i="18"/>
  <c r="J68" i="18"/>
  <c r="N68" i="18"/>
  <c r="M68" i="18"/>
  <c r="R68" i="18"/>
  <c r="E70" i="18"/>
  <c r="I70" i="18"/>
  <c r="H70" i="18"/>
  <c r="S68" i="18"/>
  <c r="P68" i="18"/>
  <c r="Q68" i="18"/>
  <c r="AA71" i="18"/>
  <c r="Z72" i="18"/>
  <c r="D69" i="18"/>
  <c r="J69" i="18" s="1"/>
  <c r="J90" i="17" l="1"/>
  <c r="D76" i="17"/>
  <c r="L76" i="17" s="1"/>
  <c r="P69" i="17"/>
  <c r="Q69" i="17" s="1"/>
  <c r="B70" i="17"/>
  <c r="K70" i="17" s="1"/>
  <c r="F73" i="17"/>
  <c r="N73" i="17" s="1"/>
  <c r="R71" i="17"/>
  <c r="S71" i="17" s="1"/>
  <c r="U69" i="18"/>
  <c r="W69" i="18"/>
  <c r="V69" i="18"/>
  <c r="X69" i="18"/>
  <c r="T69" i="18"/>
  <c r="C71" i="17"/>
  <c r="H71" i="18"/>
  <c r="I71" i="18"/>
  <c r="E71" i="18"/>
  <c r="Q69" i="18"/>
  <c r="P69" i="18"/>
  <c r="M69" i="18"/>
  <c r="K69" i="18"/>
  <c r="R69" i="18"/>
  <c r="S69" i="18"/>
  <c r="N69" i="18"/>
  <c r="O69" i="18"/>
  <c r="L69" i="18"/>
  <c r="D70" i="18"/>
  <c r="M70" i="18" s="1"/>
  <c r="Z73" i="18"/>
  <c r="AA72" i="18"/>
  <c r="J91" i="17" l="1"/>
  <c r="D77" i="17"/>
  <c r="L77" i="17" s="1"/>
  <c r="P70" i="17"/>
  <c r="Q70" i="17" s="1"/>
  <c r="B71" i="17"/>
  <c r="K71" i="17" s="1"/>
  <c r="F74" i="17"/>
  <c r="N74" i="17" s="1"/>
  <c r="R72" i="17"/>
  <c r="S72" i="17" s="1"/>
  <c r="V70" i="18"/>
  <c r="X70" i="18"/>
  <c r="U70" i="18"/>
  <c r="T70" i="18"/>
  <c r="W70" i="18"/>
  <c r="C72" i="17"/>
  <c r="E72" i="18"/>
  <c r="I72" i="18"/>
  <c r="H72" i="18"/>
  <c r="L70" i="18"/>
  <c r="P70" i="18"/>
  <c r="J70" i="18"/>
  <c r="N70" i="18"/>
  <c r="K70" i="18"/>
  <c r="Q70" i="18"/>
  <c r="O70" i="18"/>
  <c r="S70" i="18"/>
  <c r="R70" i="18"/>
  <c r="Z74" i="18"/>
  <c r="AA73" i="18"/>
  <c r="D71" i="18"/>
  <c r="X71" i="18" s="1"/>
  <c r="J92" i="17" l="1"/>
  <c r="D78" i="17"/>
  <c r="L78" i="17" s="1"/>
  <c r="P71" i="17"/>
  <c r="Q71" i="17" s="1"/>
  <c r="B72" i="17"/>
  <c r="K72" i="17" s="1"/>
  <c r="F75" i="17"/>
  <c r="N75" i="17" s="1"/>
  <c r="R73" i="17"/>
  <c r="S73" i="17" s="1"/>
  <c r="W71" i="18"/>
  <c r="T71" i="18"/>
  <c r="U71" i="18"/>
  <c r="V71" i="18"/>
  <c r="C73" i="17"/>
  <c r="P71" i="18"/>
  <c r="L71" i="18"/>
  <c r="R71" i="18"/>
  <c r="S71" i="18"/>
  <c r="N71" i="18"/>
  <c r="O71" i="18"/>
  <c r="J71" i="18"/>
  <c r="H73" i="18"/>
  <c r="I73" i="18"/>
  <c r="E73" i="18"/>
  <c r="Q71" i="18"/>
  <c r="K71" i="18"/>
  <c r="M71" i="18"/>
  <c r="D72" i="18"/>
  <c r="Z75" i="18"/>
  <c r="AA74" i="18"/>
  <c r="J93" i="17" l="1"/>
  <c r="M72" i="18"/>
  <c r="D79" i="17"/>
  <c r="L79" i="17" s="1"/>
  <c r="P72" i="17"/>
  <c r="Q72" i="17" s="1"/>
  <c r="B73" i="17"/>
  <c r="K73" i="17" s="1"/>
  <c r="F76" i="17"/>
  <c r="N76" i="17" s="1"/>
  <c r="R74" i="17"/>
  <c r="S74" i="17" s="1"/>
  <c r="U72" i="18"/>
  <c r="T72" i="18"/>
  <c r="V72" i="18"/>
  <c r="X72" i="18"/>
  <c r="W72" i="18"/>
  <c r="C74" i="17"/>
  <c r="E74" i="18"/>
  <c r="I74" i="18"/>
  <c r="H74" i="18"/>
  <c r="Q72" i="18"/>
  <c r="J72" i="18"/>
  <c r="N72" i="18"/>
  <c r="L72" i="18"/>
  <c r="K72" i="18"/>
  <c r="O72" i="18"/>
  <c r="S72" i="18"/>
  <c r="R72" i="18"/>
  <c r="P72" i="18"/>
  <c r="Z76" i="18"/>
  <c r="AA75" i="18"/>
  <c r="D73" i="18"/>
  <c r="X73" i="18" s="1"/>
  <c r="J94" i="17" l="1"/>
  <c r="D80" i="17"/>
  <c r="L80" i="17" s="1"/>
  <c r="P73" i="17"/>
  <c r="Q73" i="17" s="1"/>
  <c r="B74" i="17"/>
  <c r="K74" i="17" s="1"/>
  <c r="F77" i="17"/>
  <c r="N77" i="17" s="1"/>
  <c r="R75" i="17"/>
  <c r="S75" i="17" s="1"/>
  <c r="W73" i="18"/>
  <c r="V73" i="18"/>
  <c r="T73" i="18"/>
  <c r="U73" i="18"/>
  <c r="C75" i="17"/>
  <c r="K73" i="18"/>
  <c r="Q73" i="18"/>
  <c r="R73" i="18"/>
  <c r="S73" i="18"/>
  <c r="N73" i="18"/>
  <c r="O73" i="18"/>
  <c r="J73" i="18"/>
  <c r="H75" i="18"/>
  <c r="I75" i="18"/>
  <c r="E75" i="18"/>
  <c r="P73" i="18"/>
  <c r="L73" i="18"/>
  <c r="M73" i="18"/>
  <c r="D74" i="18"/>
  <c r="X74" i="18" s="1"/>
  <c r="Z77" i="18"/>
  <c r="AA76" i="18"/>
  <c r="J95" i="17" l="1"/>
  <c r="D81" i="17"/>
  <c r="L81" i="17" s="1"/>
  <c r="P74" i="17"/>
  <c r="Q74" i="17" s="1"/>
  <c r="B75" i="17"/>
  <c r="K75" i="17" s="1"/>
  <c r="F78" i="17"/>
  <c r="N78" i="17" s="1"/>
  <c r="R76" i="17"/>
  <c r="S76" i="17" s="1"/>
  <c r="U74" i="18"/>
  <c r="T74" i="18"/>
  <c r="W74" i="18"/>
  <c r="V74" i="18"/>
  <c r="C76" i="17"/>
  <c r="P74" i="18"/>
  <c r="O74" i="18"/>
  <c r="S74" i="18"/>
  <c r="R74" i="18"/>
  <c r="M74" i="18"/>
  <c r="Q74" i="18"/>
  <c r="K74" i="18"/>
  <c r="E76" i="18"/>
  <c r="I76" i="18"/>
  <c r="H76" i="18"/>
  <c r="L74" i="18"/>
  <c r="J74" i="18"/>
  <c r="N74" i="18"/>
  <c r="Z78" i="18"/>
  <c r="AA77" i="18"/>
  <c r="D75" i="18"/>
  <c r="X75" i="18" s="1"/>
  <c r="J96" i="17" l="1"/>
  <c r="D82" i="17"/>
  <c r="L82" i="17" s="1"/>
  <c r="P75" i="17"/>
  <c r="Q75" i="17" s="1"/>
  <c r="B76" i="17"/>
  <c r="K76" i="17" s="1"/>
  <c r="F79" i="17"/>
  <c r="N79" i="17" s="1"/>
  <c r="R77" i="17"/>
  <c r="S77" i="17" s="1"/>
  <c r="V75" i="18"/>
  <c r="W75" i="18"/>
  <c r="U75" i="18"/>
  <c r="T75" i="18"/>
  <c r="C77" i="17"/>
  <c r="L75" i="18"/>
  <c r="R75" i="18"/>
  <c r="S75" i="18"/>
  <c r="N75" i="18"/>
  <c r="O75" i="18"/>
  <c r="J75" i="18"/>
  <c r="K75" i="18"/>
  <c r="H77" i="18"/>
  <c r="I77" i="18"/>
  <c r="E77" i="18"/>
  <c r="M75" i="18"/>
  <c r="Q75" i="18"/>
  <c r="P75" i="18"/>
  <c r="D76" i="18"/>
  <c r="X76" i="18" s="1"/>
  <c r="Z79" i="18"/>
  <c r="AA78" i="18"/>
  <c r="J97" i="17" l="1"/>
  <c r="D83" i="17"/>
  <c r="L83" i="17" s="1"/>
  <c r="P76" i="17"/>
  <c r="Q76" i="17" s="1"/>
  <c r="B77" i="17"/>
  <c r="K77" i="17" s="1"/>
  <c r="F80" i="17"/>
  <c r="N80" i="17" s="1"/>
  <c r="R78" i="17"/>
  <c r="S78" i="17" s="1"/>
  <c r="U76" i="18"/>
  <c r="V76" i="18"/>
  <c r="T76" i="18"/>
  <c r="W76" i="18"/>
  <c r="C78" i="17"/>
  <c r="P76" i="18"/>
  <c r="Q76" i="18"/>
  <c r="E78" i="18"/>
  <c r="I78" i="18"/>
  <c r="H78" i="18"/>
  <c r="J76" i="18"/>
  <c r="N76" i="18"/>
  <c r="L76" i="18"/>
  <c r="O76" i="18"/>
  <c r="S76" i="18"/>
  <c r="R76" i="18"/>
  <c r="M76" i="18"/>
  <c r="K76" i="18"/>
  <c r="Z80" i="18"/>
  <c r="AA79" i="18"/>
  <c r="D77" i="18"/>
  <c r="T77" i="18" s="1"/>
  <c r="J98" i="17" l="1"/>
  <c r="D84" i="17"/>
  <c r="L84" i="17" s="1"/>
  <c r="P77" i="17"/>
  <c r="Q77" i="17" s="1"/>
  <c r="B78" i="17"/>
  <c r="K78" i="17" s="1"/>
  <c r="F81" i="17"/>
  <c r="N81" i="17" s="1"/>
  <c r="R79" i="17"/>
  <c r="S79" i="17" s="1"/>
  <c r="W77" i="18"/>
  <c r="U77" i="18"/>
  <c r="X77" i="18"/>
  <c r="V77" i="18"/>
  <c r="C79" i="17"/>
  <c r="K77" i="18"/>
  <c r="Q77" i="18"/>
  <c r="L77" i="18"/>
  <c r="R77" i="18"/>
  <c r="S77" i="18"/>
  <c r="N77" i="18"/>
  <c r="O77" i="18"/>
  <c r="J77" i="18"/>
  <c r="H79" i="18"/>
  <c r="I79" i="18"/>
  <c r="E79" i="18"/>
  <c r="P77" i="18"/>
  <c r="M77" i="18"/>
  <c r="D78" i="18"/>
  <c r="Z81" i="18"/>
  <c r="AA80" i="18"/>
  <c r="J99" i="17" l="1"/>
  <c r="D85" i="17"/>
  <c r="L85" i="17" s="1"/>
  <c r="P78" i="17"/>
  <c r="Q78" i="17" s="1"/>
  <c r="B79" i="17"/>
  <c r="K79" i="17" s="1"/>
  <c r="F82" i="17"/>
  <c r="N82" i="17" s="1"/>
  <c r="R80" i="17"/>
  <c r="S80" i="17" s="1"/>
  <c r="V78" i="18"/>
  <c r="U78" i="18"/>
  <c r="M78" i="18"/>
  <c r="W78" i="18"/>
  <c r="T78" i="18"/>
  <c r="X78" i="18"/>
  <c r="C80" i="17"/>
  <c r="E80" i="18"/>
  <c r="I80" i="18"/>
  <c r="H80" i="18"/>
  <c r="J78" i="18"/>
  <c r="N78" i="18"/>
  <c r="L78" i="18"/>
  <c r="P78" i="18"/>
  <c r="O78" i="18"/>
  <c r="S78" i="18"/>
  <c r="R78" i="18"/>
  <c r="Q78" i="18"/>
  <c r="K78" i="18"/>
  <c r="Z82" i="18"/>
  <c r="AA81" i="18"/>
  <c r="D79" i="18"/>
  <c r="X79" i="18" s="1"/>
  <c r="J100" i="17" l="1"/>
  <c r="D86" i="17"/>
  <c r="L86" i="17" s="1"/>
  <c r="P79" i="17"/>
  <c r="Q79" i="17" s="1"/>
  <c r="B80" i="17"/>
  <c r="K80" i="17" s="1"/>
  <c r="F83" i="17"/>
  <c r="N83" i="17" s="1"/>
  <c r="R81" i="17"/>
  <c r="S81" i="17" s="1"/>
  <c r="V79" i="18"/>
  <c r="W79" i="18"/>
  <c r="U79" i="18"/>
  <c r="T79" i="18"/>
  <c r="C81" i="17"/>
  <c r="Q79" i="18"/>
  <c r="L79" i="18"/>
  <c r="R79" i="18"/>
  <c r="S79" i="18"/>
  <c r="N79" i="18"/>
  <c r="O79" i="18"/>
  <c r="J79" i="18"/>
  <c r="H81" i="18"/>
  <c r="I81" i="18"/>
  <c r="E81" i="18"/>
  <c r="K79" i="18"/>
  <c r="P79" i="18"/>
  <c r="M79" i="18"/>
  <c r="D80" i="18"/>
  <c r="X80" i="18" s="1"/>
  <c r="Z83" i="18"/>
  <c r="AA82" i="18"/>
  <c r="J101" i="17" l="1"/>
  <c r="D87" i="17"/>
  <c r="L87" i="17" s="1"/>
  <c r="P80" i="17"/>
  <c r="Q80" i="17" s="1"/>
  <c r="B81" i="17"/>
  <c r="K81" i="17" s="1"/>
  <c r="F84" i="17"/>
  <c r="N84" i="17" s="1"/>
  <c r="R82" i="17"/>
  <c r="S82" i="17" s="1"/>
  <c r="T80" i="18"/>
  <c r="W80" i="18"/>
  <c r="U80" i="18"/>
  <c r="V80" i="18"/>
  <c r="C82" i="17"/>
  <c r="Q80" i="18"/>
  <c r="O80" i="18"/>
  <c r="S80" i="18"/>
  <c r="R80" i="18"/>
  <c r="M80" i="18"/>
  <c r="E82" i="18"/>
  <c r="I82" i="18"/>
  <c r="H82" i="18"/>
  <c r="P80" i="18"/>
  <c r="K80" i="18"/>
  <c r="J80" i="18"/>
  <c r="N80" i="18"/>
  <c r="L80" i="18"/>
  <c r="Z84" i="18"/>
  <c r="AA83" i="18"/>
  <c r="D81" i="18"/>
  <c r="X81" i="18" s="1"/>
  <c r="D88" i="17" l="1"/>
  <c r="L88" i="17" s="1"/>
  <c r="P81" i="17"/>
  <c r="Q81" i="17" s="1"/>
  <c r="B82" i="17"/>
  <c r="K82" i="17" s="1"/>
  <c r="F85" i="17"/>
  <c r="N85" i="17" s="1"/>
  <c r="R83" i="17"/>
  <c r="S83" i="17" s="1"/>
  <c r="V81" i="18"/>
  <c r="T81" i="18"/>
  <c r="U81" i="18"/>
  <c r="W81" i="18"/>
  <c r="C83" i="17"/>
  <c r="L81" i="18"/>
  <c r="P81" i="18"/>
  <c r="R81" i="18"/>
  <c r="S81" i="18"/>
  <c r="N81" i="18"/>
  <c r="O81" i="18"/>
  <c r="J81" i="18"/>
  <c r="H83" i="18"/>
  <c r="I83" i="18"/>
  <c r="E83" i="18"/>
  <c r="K81" i="18"/>
  <c r="M81" i="18"/>
  <c r="Q81" i="18"/>
  <c r="D82" i="18"/>
  <c r="X82" i="18" s="1"/>
  <c r="AA84" i="18"/>
  <c r="Z85" i="18"/>
  <c r="D89" i="17" l="1"/>
  <c r="L89" i="17" s="1"/>
  <c r="P82" i="17"/>
  <c r="Q82" i="17" s="1"/>
  <c r="B83" i="17"/>
  <c r="K83" i="17" s="1"/>
  <c r="F86" i="17"/>
  <c r="N86" i="17" s="1"/>
  <c r="R84" i="17"/>
  <c r="S84" i="17" s="1"/>
  <c r="W82" i="18"/>
  <c r="V82" i="18"/>
  <c r="U82" i="18"/>
  <c r="T82" i="18"/>
  <c r="M82" i="18"/>
  <c r="C84" i="17"/>
  <c r="Q82" i="18"/>
  <c r="E84" i="18"/>
  <c r="I84" i="18"/>
  <c r="H84" i="18"/>
  <c r="K82" i="18"/>
  <c r="J82" i="18"/>
  <c r="N82" i="18"/>
  <c r="O82" i="18"/>
  <c r="S82" i="18"/>
  <c r="R82" i="18"/>
  <c r="P82" i="18"/>
  <c r="L82" i="18"/>
  <c r="D83" i="18"/>
  <c r="J83" i="18" s="1"/>
  <c r="Z86" i="18"/>
  <c r="AA85" i="18"/>
  <c r="D90" i="17" l="1"/>
  <c r="L90" i="17" s="1"/>
  <c r="P83" i="17"/>
  <c r="Q83" i="17" s="1"/>
  <c r="B84" i="17"/>
  <c r="K84" i="17" s="1"/>
  <c r="F87" i="17"/>
  <c r="N87" i="17" s="1"/>
  <c r="R85" i="17"/>
  <c r="S85" i="17" s="1"/>
  <c r="T83" i="18"/>
  <c r="X83" i="18"/>
  <c r="W83" i="18"/>
  <c r="U83" i="18"/>
  <c r="V83" i="18"/>
  <c r="C85" i="17"/>
  <c r="L83" i="18"/>
  <c r="H85" i="18"/>
  <c r="I85" i="18"/>
  <c r="E85" i="18"/>
  <c r="Q83" i="18"/>
  <c r="M83" i="18"/>
  <c r="P83" i="18"/>
  <c r="K83" i="18"/>
  <c r="R83" i="18"/>
  <c r="S83" i="18"/>
  <c r="N83" i="18"/>
  <c r="O83" i="18"/>
  <c r="Z87" i="18"/>
  <c r="AA86" i="18"/>
  <c r="D84" i="18"/>
  <c r="D91" i="17" l="1"/>
  <c r="L91" i="17" s="1"/>
  <c r="P84" i="17"/>
  <c r="Q84" i="17" s="1"/>
  <c r="B85" i="17"/>
  <c r="K85" i="17" s="1"/>
  <c r="F88" i="17"/>
  <c r="N88" i="17" s="1"/>
  <c r="R86" i="17"/>
  <c r="S86" i="17" s="1"/>
  <c r="M84" i="18"/>
  <c r="U84" i="18"/>
  <c r="X84" i="18"/>
  <c r="V84" i="18"/>
  <c r="W84" i="18"/>
  <c r="T84" i="18"/>
  <c r="C86" i="17"/>
  <c r="E86" i="18"/>
  <c r="I86" i="18"/>
  <c r="H86" i="18"/>
  <c r="K84" i="18"/>
  <c r="Q84" i="18"/>
  <c r="J84" i="18"/>
  <c r="N84" i="18"/>
  <c r="P84" i="18"/>
  <c r="L84" i="18"/>
  <c r="O84" i="18"/>
  <c r="S84" i="18"/>
  <c r="R84" i="18"/>
  <c r="D85" i="18"/>
  <c r="X85" i="18" s="1"/>
  <c r="Z88" i="18"/>
  <c r="AA87" i="18"/>
  <c r="D92" i="17" l="1"/>
  <c r="L92" i="17" s="1"/>
  <c r="P85" i="17"/>
  <c r="Q85" i="17" s="1"/>
  <c r="B86" i="17"/>
  <c r="K86" i="17" s="1"/>
  <c r="F89" i="17"/>
  <c r="N89" i="17" s="1"/>
  <c r="R87" i="17"/>
  <c r="S87" i="17" s="1"/>
  <c r="W85" i="18"/>
  <c r="T85" i="18"/>
  <c r="V85" i="18"/>
  <c r="U85" i="18"/>
  <c r="C87" i="17"/>
  <c r="L85" i="18"/>
  <c r="P85" i="18"/>
  <c r="Q85" i="18"/>
  <c r="K85" i="18"/>
  <c r="R85" i="18"/>
  <c r="S85" i="18"/>
  <c r="N85" i="18"/>
  <c r="O85" i="18"/>
  <c r="J85" i="18"/>
  <c r="H87" i="18"/>
  <c r="I87" i="18"/>
  <c r="E87" i="18"/>
  <c r="M85" i="18"/>
  <c r="Z89" i="18"/>
  <c r="AA88" i="18"/>
  <c r="D86" i="18"/>
  <c r="X86" i="18" s="1"/>
  <c r="D93" i="17" l="1"/>
  <c r="L93" i="17" s="1"/>
  <c r="P86" i="17"/>
  <c r="Q86" i="17" s="1"/>
  <c r="B87" i="17"/>
  <c r="K87" i="17" s="1"/>
  <c r="F90" i="17"/>
  <c r="N90" i="17" s="1"/>
  <c r="R88" i="17"/>
  <c r="S88" i="17" s="1"/>
  <c r="U86" i="18"/>
  <c r="T86" i="18"/>
  <c r="W86" i="18"/>
  <c r="V86" i="18"/>
  <c r="C88" i="17"/>
  <c r="O86" i="18"/>
  <c r="S86" i="18"/>
  <c r="R86" i="18"/>
  <c r="M86" i="18"/>
  <c r="Q86" i="18"/>
  <c r="L86" i="18"/>
  <c r="E88" i="18"/>
  <c r="I88" i="18"/>
  <c r="H88" i="18"/>
  <c r="J86" i="18"/>
  <c r="N86" i="18"/>
  <c r="K86" i="18"/>
  <c r="P86" i="18"/>
  <c r="D87" i="18"/>
  <c r="J87" i="18" s="1"/>
  <c r="Z90" i="18"/>
  <c r="AA89" i="18"/>
  <c r="D94" i="17" l="1"/>
  <c r="L94" i="17" s="1"/>
  <c r="P87" i="17"/>
  <c r="Q87" i="17" s="1"/>
  <c r="B88" i="17"/>
  <c r="K88" i="17" s="1"/>
  <c r="F91" i="17"/>
  <c r="N91" i="17" s="1"/>
  <c r="R89" i="17"/>
  <c r="S89" i="17" s="1"/>
  <c r="V87" i="18"/>
  <c r="W87" i="18"/>
  <c r="U87" i="18"/>
  <c r="X87" i="18"/>
  <c r="T87" i="18"/>
  <c r="C89" i="17"/>
  <c r="P87" i="18"/>
  <c r="H89" i="18"/>
  <c r="I89" i="18"/>
  <c r="E89" i="18"/>
  <c r="K87" i="18"/>
  <c r="M87" i="18"/>
  <c r="L87" i="18"/>
  <c r="R87" i="18"/>
  <c r="S87" i="18"/>
  <c r="N87" i="18"/>
  <c r="O87" i="18"/>
  <c r="Q87" i="18"/>
  <c r="Z91" i="18"/>
  <c r="AA90" i="18"/>
  <c r="D88" i="18"/>
  <c r="X88" i="18" s="1"/>
  <c r="D95" i="17" l="1"/>
  <c r="L95" i="17" s="1"/>
  <c r="P88" i="17"/>
  <c r="Q88" i="17" s="1"/>
  <c r="B89" i="17"/>
  <c r="K89" i="17" s="1"/>
  <c r="F92" i="17"/>
  <c r="N92" i="17" s="1"/>
  <c r="R90" i="17"/>
  <c r="S90" i="17" s="1"/>
  <c r="W88" i="18"/>
  <c r="T88" i="18"/>
  <c r="U88" i="18"/>
  <c r="V88" i="18"/>
  <c r="C90" i="17"/>
  <c r="P88" i="18"/>
  <c r="L88" i="18"/>
  <c r="K88" i="18"/>
  <c r="O88" i="18"/>
  <c r="S88" i="18"/>
  <c r="R88" i="18"/>
  <c r="M88" i="18"/>
  <c r="E90" i="18"/>
  <c r="I90" i="18"/>
  <c r="H90" i="18"/>
  <c r="Q88" i="18"/>
  <c r="J88" i="18"/>
  <c r="N88" i="18"/>
  <c r="D89" i="18"/>
  <c r="X89" i="18" s="1"/>
  <c r="Z92" i="18"/>
  <c r="AA91" i="18"/>
  <c r="D96" i="17" l="1"/>
  <c r="L96" i="17" s="1"/>
  <c r="P89" i="17"/>
  <c r="Q89" i="17" s="1"/>
  <c r="B90" i="17"/>
  <c r="K90" i="17" s="1"/>
  <c r="F93" i="17"/>
  <c r="N93" i="17" s="1"/>
  <c r="R91" i="17"/>
  <c r="S91" i="17" s="1"/>
  <c r="V89" i="18"/>
  <c r="T89" i="18"/>
  <c r="U89" i="18"/>
  <c r="W89" i="18"/>
  <c r="J89" i="18"/>
  <c r="C91" i="17"/>
  <c r="I91" i="18"/>
  <c r="E91" i="18"/>
  <c r="Q89" i="18"/>
  <c r="R89" i="18"/>
  <c r="N89" i="18"/>
  <c r="O89" i="18"/>
  <c r="M89" i="18"/>
  <c r="K89" i="18"/>
  <c r="P89" i="18"/>
  <c r="H91" i="18"/>
  <c r="S89" i="18"/>
  <c r="L89" i="18"/>
  <c r="Z93" i="18"/>
  <c r="AA92" i="18"/>
  <c r="D90" i="18"/>
  <c r="N90" i="18" s="1"/>
  <c r="D97" i="17" l="1"/>
  <c r="L97" i="17" s="1"/>
  <c r="P90" i="17"/>
  <c r="Q90" i="17" s="1"/>
  <c r="B91" i="17"/>
  <c r="K91" i="17" s="1"/>
  <c r="F94" i="17"/>
  <c r="N94" i="17" s="1"/>
  <c r="R92" i="17"/>
  <c r="S92" i="17" s="1"/>
  <c r="W90" i="18"/>
  <c r="X90" i="18"/>
  <c r="V90" i="18"/>
  <c r="U90" i="18"/>
  <c r="T90" i="18"/>
  <c r="C92" i="17"/>
  <c r="L90" i="18"/>
  <c r="H92" i="18"/>
  <c r="K90" i="18"/>
  <c r="J90" i="18"/>
  <c r="S90" i="18"/>
  <c r="E92" i="18"/>
  <c r="I92" i="18"/>
  <c r="R90" i="18"/>
  <c r="P90" i="18"/>
  <c r="M90" i="18"/>
  <c r="Q90" i="18"/>
  <c r="O90" i="18"/>
  <c r="D91" i="18"/>
  <c r="X91" i="18" s="1"/>
  <c r="Z94" i="18"/>
  <c r="AA93" i="18"/>
  <c r="D98" i="17" l="1"/>
  <c r="L98" i="17" s="1"/>
  <c r="P91" i="17"/>
  <c r="Q91" i="17" s="1"/>
  <c r="B92" i="17"/>
  <c r="K92" i="17" s="1"/>
  <c r="F95" i="17"/>
  <c r="N95" i="17" s="1"/>
  <c r="R93" i="17"/>
  <c r="S93" i="17" s="1"/>
  <c r="U91" i="18"/>
  <c r="V91" i="18"/>
  <c r="W91" i="18"/>
  <c r="T91" i="18"/>
  <c r="C93" i="17"/>
  <c r="R91" i="18"/>
  <c r="H93" i="18"/>
  <c r="M91" i="18"/>
  <c r="L91" i="18"/>
  <c r="S91" i="18"/>
  <c r="J91" i="18"/>
  <c r="K91" i="18"/>
  <c r="I93" i="18"/>
  <c r="E93" i="18"/>
  <c r="Q91" i="18"/>
  <c r="P91" i="18"/>
  <c r="N91" i="18"/>
  <c r="O91" i="18"/>
  <c r="Z95" i="18"/>
  <c r="AA94" i="18"/>
  <c r="D92" i="18"/>
  <c r="R92" i="18" s="1"/>
  <c r="D99" i="17" l="1"/>
  <c r="L99" i="17" s="1"/>
  <c r="P92" i="17"/>
  <c r="Q92" i="17" s="1"/>
  <c r="B93" i="17"/>
  <c r="K93" i="17" s="1"/>
  <c r="F96" i="17"/>
  <c r="N96" i="17" s="1"/>
  <c r="R94" i="17"/>
  <c r="S94" i="17" s="1"/>
  <c r="T92" i="18"/>
  <c r="V92" i="18"/>
  <c r="X92" i="18"/>
  <c r="W92" i="18"/>
  <c r="U92" i="18"/>
  <c r="C94" i="17"/>
  <c r="E94" i="18"/>
  <c r="I94" i="18"/>
  <c r="H94" i="18"/>
  <c r="P92" i="18"/>
  <c r="O92" i="18"/>
  <c r="N92" i="18"/>
  <c r="L92" i="18"/>
  <c r="Q92" i="18"/>
  <c r="J92" i="18"/>
  <c r="S92" i="18"/>
  <c r="K92" i="18"/>
  <c r="M92" i="18"/>
  <c r="D93" i="18"/>
  <c r="O93" i="18" s="1"/>
  <c r="Z96" i="18"/>
  <c r="AA95" i="18"/>
  <c r="D100" i="17" l="1"/>
  <c r="L100" i="17" s="1"/>
  <c r="P93" i="17"/>
  <c r="Q93" i="17" s="1"/>
  <c r="B94" i="17"/>
  <c r="K94" i="17" s="1"/>
  <c r="F97" i="17"/>
  <c r="N97" i="17" s="1"/>
  <c r="R95" i="17"/>
  <c r="S95" i="17" s="1"/>
  <c r="W93" i="18"/>
  <c r="V93" i="18"/>
  <c r="X93" i="18"/>
  <c r="U93" i="18"/>
  <c r="T93" i="18"/>
  <c r="C95" i="17"/>
  <c r="M93" i="18"/>
  <c r="H95" i="18"/>
  <c r="Q93" i="18"/>
  <c r="P93" i="18"/>
  <c r="S93" i="18"/>
  <c r="J93" i="18"/>
  <c r="I95" i="18"/>
  <c r="E95" i="18"/>
  <c r="K93" i="18"/>
  <c r="L93" i="18"/>
  <c r="R93" i="18"/>
  <c r="N93" i="18"/>
  <c r="D94" i="18"/>
  <c r="Z97" i="18"/>
  <c r="AA96" i="18"/>
  <c r="D101" i="17" l="1"/>
  <c r="L101" i="17" s="1"/>
  <c r="P94" i="17"/>
  <c r="Q94" i="17" s="1"/>
  <c r="B95" i="17"/>
  <c r="K95" i="17" s="1"/>
  <c r="F98" i="17"/>
  <c r="N98" i="17" s="1"/>
  <c r="R96" i="17"/>
  <c r="S96" i="17" s="1"/>
  <c r="R94" i="18"/>
  <c r="T94" i="18"/>
  <c r="W94" i="18"/>
  <c r="U94" i="18"/>
  <c r="X94" i="18"/>
  <c r="V94" i="18"/>
  <c r="C96" i="17"/>
  <c r="E96" i="18"/>
  <c r="I96" i="18"/>
  <c r="H96" i="18"/>
  <c r="O94" i="18"/>
  <c r="N94" i="18"/>
  <c r="Q94" i="18"/>
  <c r="L94" i="18"/>
  <c r="K94" i="18"/>
  <c r="J94" i="18"/>
  <c r="S94" i="18"/>
  <c r="P94" i="18"/>
  <c r="M94" i="18"/>
  <c r="Z98" i="18"/>
  <c r="AA97" i="18"/>
  <c r="D95" i="18"/>
  <c r="O95" i="18" l="1"/>
  <c r="P95" i="17"/>
  <c r="Q95" i="17" s="1"/>
  <c r="B96" i="17"/>
  <c r="K96" i="17" s="1"/>
  <c r="F99" i="17"/>
  <c r="N99" i="17" s="1"/>
  <c r="R97" i="17"/>
  <c r="S97" i="17" s="1"/>
  <c r="X95" i="18"/>
  <c r="T95" i="18"/>
  <c r="V95" i="18"/>
  <c r="U95" i="18"/>
  <c r="W95" i="18"/>
  <c r="C97" i="17"/>
  <c r="H97" i="18"/>
  <c r="M95" i="18"/>
  <c r="K95" i="18"/>
  <c r="S95" i="18"/>
  <c r="J95" i="18"/>
  <c r="I97" i="18"/>
  <c r="E97" i="18"/>
  <c r="P95" i="18"/>
  <c r="L95" i="18"/>
  <c r="Q95" i="18"/>
  <c r="R95" i="18"/>
  <c r="N95" i="18"/>
  <c r="D96" i="18"/>
  <c r="X96" i="18" s="1"/>
  <c r="Z99" i="18"/>
  <c r="AA98" i="18"/>
  <c r="P96" i="17" l="1"/>
  <c r="Q96" i="17" s="1"/>
  <c r="B97" i="17"/>
  <c r="K97" i="17" s="1"/>
  <c r="F100" i="17"/>
  <c r="N100" i="17" s="1"/>
  <c r="R98" i="17"/>
  <c r="S98" i="17" s="1"/>
  <c r="U96" i="18"/>
  <c r="W96" i="18"/>
  <c r="V96" i="18"/>
  <c r="T96" i="18"/>
  <c r="C98" i="17"/>
  <c r="I98" i="18"/>
  <c r="H98" i="18"/>
  <c r="Q96" i="18"/>
  <c r="P96" i="18"/>
  <c r="O96" i="18"/>
  <c r="J96" i="18"/>
  <c r="K96" i="18"/>
  <c r="R96" i="18"/>
  <c r="E98" i="18"/>
  <c r="L96" i="18"/>
  <c r="S96" i="18"/>
  <c r="N96" i="18"/>
  <c r="M96" i="18"/>
  <c r="Z100" i="18"/>
  <c r="AA99" i="18"/>
  <c r="D97" i="18"/>
  <c r="N97" i="18" s="1"/>
  <c r="P97" i="17" l="1"/>
  <c r="Q97" i="17" s="1"/>
  <c r="B98" i="17"/>
  <c r="K98" i="17" s="1"/>
  <c r="F101" i="17"/>
  <c r="N101" i="17" s="1"/>
  <c r="R99" i="17"/>
  <c r="S99" i="17" s="1"/>
  <c r="T97" i="18"/>
  <c r="W97" i="18"/>
  <c r="U97" i="18"/>
  <c r="V97" i="18"/>
  <c r="X97" i="18"/>
  <c r="C99" i="17"/>
  <c r="M97" i="18"/>
  <c r="E99" i="18"/>
  <c r="H99" i="18"/>
  <c r="L97" i="18"/>
  <c r="O97" i="18"/>
  <c r="K97" i="18"/>
  <c r="P97" i="18"/>
  <c r="S97" i="18"/>
  <c r="I99" i="18"/>
  <c r="J97" i="18"/>
  <c r="Q97" i="18"/>
  <c r="R97" i="18"/>
  <c r="D98" i="18"/>
  <c r="X98" i="18" s="1"/>
  <c r="AA100" i="18"/>
  <c r="Z101" i="18"/>
  <c r="P98" i="17" l="1"/>
  <c r="Q98" i="17" s="1"/>
  <c r="B99" i="17"/>
  <c r="K99" i="17" s="1"/>
  <c r="R101" i="17"/>
  <c r="R100" i="17"/>
  <c r="S100" i="17" s="1"/>
  <c r="V98" i="18"/>
  <c r="U98" i="18"/>
  <c r="T98" i="18"/>
  <c r="W98" i="18"/>
  <c r="O98" i="18"/>
  <c r="C100" i="17"/>
  <c r="I100" i="18"/>
  <c r="E100" i="18"/>
  <c r="Q98" i="18"/>
  <c r="K98" i="18"/>
  <c r="L98" i="18"/>
  <c r="M98" i="18"/>
  <c r="H100" i="18"/>
  <c r="J98" i="18"/>
  <c r="S98" i="18"/>
  <c r="N98" i="18"/>
  <c r="P98" i="18"/>
  <c r="R98" i="18"/>
  <c r="AA101" i="18"/>
  <c r="Z102" i="18"/>
  <c r="D99" i="18"/>
  <c r="N99" i="18" s="1"/>
  <c r="S101" i="17" l="1"/>
  <c r="P99" i="17"/>
  <c r="Q99" i="17" s="1"/>
  <c r="B100" i="17"/>
  <c r="K100" i="17" s="1"/>
  <c r="W99" i="18"/>
  <c r="T99" i="18"/>
  <c r="V99" i="18"/>
  <c r="X99" i="18"/>
  <c r="U99" i="18"/>
  <c r="C101" i="17"/>
  <c r="AA102" i="18"/>
  <c r="H101" i="18"/>
  <c r="E101" i="18"/>
  <c r="L99" i="18"/>
  <c r="O99" i="18"/>
  <c r="S99" i="18"/>
  <c r="I101" i="18"/>
  <c r="P99" i="18"/>
  <c r="J99" i="18"/>
  <c r="R99" i="18"/>
  <c r="M99" i="18"/>
  <c r="K99" i="18"/>
  <c r="Q99" i="18"/>
  <c r="D100" i="18"/>
  <c r="X100" i="18" l="1"/>
  <c r="P100" i="17"/>
  <c r="Q100" i="17" s="1"/>
  <c r="B101" i="17"/>
  <c r="T100" i="18"/>
  <c r="U100" i="18"/>
  <c r="V100" i="18"/>
  <c r="W100" i="18"/>
  <c r="I102" i="18"/>
  <c r="H102" i="18"/>
  <c r="M100" i="18"/>
  <c r="J100" i="18"/>
  <c r="O100" i="18"/>
  <c r="R100" i="18"/>
  <c r="E102" i="18"/>
  <c r="Q100" i="18"/>
  <c r="K100" i="18"/>
  <c r="P100" i="18"/>
  <c r="S100" i="18"/>
  <c r="N100" i="18"/>
  <c r="L100" i="18"/>
  <c r="D101" i="18"/>
  <c r="N101" i="18" s="1"/>
  <c r="K101" i="17" l="1"/>
  <c r="P101" i="17" s="1"/>
  <c r="Q101" i="17" s="1"/>
  <c r="W101" i="18"/>
  <c r="U101" i="18"/>
  <c r="X101" i="18"/>
  <c r="V101" i="18"/>
  <c r="T101" i="18"/>
  <c r="P101" i="18"/>
  <c r="Q101" i="18"/>
  <c r="J101" i="18"/>
  <c r="S101" i="18"/>
  <c r="L101" i="18"/>
  <c r="K101" i="18"/>
  <c r="O101" i="18"/>
  <c r="M101" i="18"/>
  <c r="R101" i="18"/>
  <c r="D102" i="18"/>
  <c r="X102" i="18" s="1"/>
  <c r="V102" i="18" l="1"/>
  <c r="W102" i="18"/>
  <c r="T102" i="18"/>
  <c r="U102" i="18"/>
  <c r="L102" i="18"/>
  <c r="O102" i="18"/>
  <c r="Q102" i="18"/>
  <c r="R102" i="18"/>
  <c r="M102" i="18"/>
  <c r="K102" i="18"/>
  <c r="S102" i="18"/>
  <c r="N102" i="18"/>
  <c r="J102" i="18"/>
  <c r="P102" i="18"/>
</calcChain>
</file>

<file path=xl/comments1.xml><?xml version="1.0" encoding="utf-8"?>
<comments xmlns="http://schemas.openxmlformats.org/spreadsheetml/2006/main">
  <authors>
    <author>Christopher Mickelson</author>
  </authors>
  <commentList>
    <comment ref="B5" authorId="0">
      <text>
        <r>
          <rPr>
            <b/>
            <sz val="8"/>
            <color indexed="81"/>
            <rFont val="Tahoma"/>
            <family val="2"/>
          </rPr>
          <t>Christopher Mickelson:</t>
        </r>
        <r>
          <rPr>
            <sz val="8"/>
            <color indexed="81"/>
            <rFont val="Tahoma"/>
            <family val="2"/>
          </rPr>
          <t xml:space="preserve">
Information came from DOH website.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>Christopher Mickelson:</t>
        </r>
        <r>
          <rPr>
            <sz val="8"/>
            <color indexed="81"/>
            <rFont val="Tahoma"/>
            <family val="2"/>
          </rPr>
          <t xml:space="preserve">
has a distribution capacity (gallons) of 60,000,000.</t>
        </r>
      </text>
    </comment>
    <comment ref="D14" authorId="0">
      <text>
        <r>
          <rPr>
            <b/>
            <sz val="8"/>
            <color indexed="81"/>
            <rFont val="Tahoma"/>
            <family val="2"/>
          </rPr>
          <t>Christopher Mickelson:</t>
        </r>
        <r>
          <rPr>
            <sz val="8"/>
            <color indexed="81"/>
            <rFont val="Tahoma"/>
            <family val="2"/>
          </rPr>
          <t xml:space="preserve">
has a distribution capacity (gallons) of 750.</t>
        </r>
      </text>
    </comment>
    <comment ref="D18" authorId="0">
      <text>
        <r>
          <rPr>
            <b/>
            <sz val="8"/>
            <color indexed="81"/>
            <rFont val="Tahoma"/>
            <family val="2"/>
          </rPr>
          <t>Christopher Mickelson:</t>
        </r>
        <r>
          <rPr>
            <sz val="8"/>
            <color indexed="81"/>
            <rFont val="Tahoma"/>
            <family val="2"/>
          </rPr>
          <t xml:space="preserve">
has a distribution capacity (gallons) of 835,000.</t>
        </r>
      </text>
    </comment>
    <comment ref="B22" authorId="0">
      <text>
        <r>
          <rPr>
            <b/>
            <sz val="8"/>
            <color indexed="81"/>
            <rFont val="Tahoma"/>
            <family val="2"/>
          </rPr>
          <t>Christopher Mickelson:</t>
        </r>
        <r>
          <rPr>
            <sz val="8"/>
            <color indexed="81"/>
            <rFont val="Tahoma"/>
            <family val="2"/>
          </rPr>
          <t xml:space="preserve">
wrong name according to DOH, should be riverview water system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Christopher Mickelson:</t>
        </r>
        <r>
          <rPr>
            <sz val="8"/>
            <color indexed="81"/>
            <rFont val="Tahoma"/>
            <family val="2"/>
          </rPr>
          <t xml:space="preserve">
has a distribution capacity (gallons) of 15,000.</t>
        </r>
      </text>
    </comment>
    <comment ref="B29" authorId="0">
      <text>
        <r>
          <rPr>
            <b/>
            <sz val="8"/>
            <color indexed="81"/>
            <rFont val="Tahoma"/>
            <family val="2"/>
          </rPr>
          <t>Christopher Mickelson:</t>
        </r>
        <r>
          <rPr>
            <sz val="8"/>
            <color indexed="81"/>
            <rFont val="Tahoma"/>
            <family val="2"/>
          </rPr>
          <t xml:space="preserve">
inactive - status</t>
        </r>
      </text>
    </comment>
    <comment ref="E34" authorId="0">
      <text>
        <r>
          <rPr>
            <b/>
            <sz val="8"/>
            <color indexed="81"/>
            <rFont val="Tahoma"/>
            <family val="2"/>
          </rPr>
          <t>Christopher Mickelson:</t>
        </r>
        <r>
          <rPr>
            <sz val="8"/>
            <color indexed="81"/>
            <rFont val="Tahoma"/>
            <family val="2"/>
          </rPr>
          <t xml:space="preserve">
Math doesn’t work.</t>
        </r>
      </text>
    </comment>
    <comment ref="C37" authorId="0">
      <text>
        <r>
          <rPr>
            <b/>
            <sz val="8"/>
            <color indexed="81"/>
            <rFont val="Tahoma"/>
            <family val="2"/>
          </rPr>
          <t>Christopher Mickelson:</t>
        </r>
        <r>
          <rPr>
            <sz val="8"/>
            <color indexed="81"/>
            <rFont val="Tahoma"/>
            <family val="2"/>
          </rPr>
          <t xml:space="preserve">
Based on peaking.</t>
        </r>
      </text>
    </comment>
    <comment ref="D38" authorId="0">
      <text>
        <r>
          <rPr>
            <b/>
            <sz val="8"/>
            <color indexed="81"/>
            <rFont val="Tahoma"/>
            <family val="2"/>
          </rPr>
          <t>Christopher Mickelson:</t>
        </r>
        <r>
          <rPr>
            <sz val="8"/>
            <color indexed="81"/>
            <rFont val="Tahoma"/>
            <family val="2"/>
          </rPr>
          <t xml:space="preserve">
Based on peaking.</t>
        </r>
      </text>
    </comment>
  </commentList>
</comments>
</file>

<file path=xl/sharedStrings.xml><?xml version="1.0" encoding="utf-8"?>
<sst xmlns="http://schemas.openxmlformats.org/spreadsheetml/2006/main" count="303" uniqueCount="170">
  <si>
    <t>Year</t>
  </si>
  <si>
    <t>May</t>
  </si>
  <si>
    <t>Jun</t>
  </si>
  <si>
    <t>Jul</t>
  </si>
  <si>
    <t>Aug</t>
  </si>
  <si>
    <t>Sep</t>
  </si>
  <si>
    <t>City of Tacoma</t>
  </si>
  <si>
    <t>City of Lakewood</t>
  </si>
  <si>
    <t>Total</t>
  </si>
  <si>
    <t>August</t>
  </si>
  <si>
    <t>July</t>
  </si>
  <si>
    <t>June</t>
  </si>
  <si>
    <t>Sept</t>
  </si>
  <si>
    <t>Difference</t>
  </si>
  <si>
    <t>OFM/Forecasting / October 2007</t>
  </si>
  <si>
    <t>Note: Unrounded numbrs not meant to imply precision</t>
  </si>
  <si>
    <t>Yakima</t>
  </si>
  <si>
    <t>Whitman</t>
  </si>
  <si>
    <t>Whatcom</t>
  </si>
  <si>
    <t>Walla Walla</t>
  </si>
  <si>
    <t>Wahkiakum</t>
  </si>
  <si>
    <t>Thurston</t>
  </si>
  <si>
    <t>Stevens</t>
  </si>
  <si>
    <t>Spokane</t>
  </si>
  <si>
    <t>Snohomish</t>
  </si>
  <si>
    <t>Skamania</t>
  </si>
  <si>
    <t>Skagit</t>
  </si>
  <si>
    <t>San Juan</t>
  </si>
  <si>
    <t>Pierce</t>
  </si>
  <si>
    <t>Pend Oreille</t>
  </si>
  <si>
    <t>Pacific</t>
  </si>
  <si>
    <t>Okanogan</t>
  </si>
  <si>
    <t>Mason</t>
  </si>
  <si>
    <t>Lincoln</t>
  </si>
  <si>
    <t>Lewis</t>
  </si>
  <si>
    <t>Klickitat</t>
  </si>
  <si>
    <t>Kittitas</t>
  </si>
  <si>
    <t>Kitsap</t>
  </si>
  <si>
    <t>King</t>
  </si>
  <si>
    <t>Jefferson</t>
  </si>
  <si>
    <t>Island</t>
  </si>
  <si>
    <t>Grays Harbor</t>
  </si>
  <si>
    <t>Grant</t>
  </si>
  <si>
    <t>Garfield</t>
  </si>
  <si>
    <t>Franklin</t>
  </si>
  <si>
    <t>Ferry</t>
  </si>
  <si>
    <t>Douglas</t>
  </si>
  <si>
    <t>Cowlitz</t>
  </si>
  <si>
    <t>Columbia</t>
  </si>
  <si>
    <t>Clark</t>
  </si>
  <si>
    <t>Clallam</t>
  </si>
  <si>
    <t>Chelan</t>
  </si>
  <si>
    <t>Benton</t>
  </si>
  <si>
    <t>Asotin</t>
  </si>
  <si>
    <t>Adams</t>
  </si>
  <si>
    <t>Washington</t>
  </si>
  <si>
    <t>LOW SERIES:  2000 TO 2030 BY SINGLE YEAR AFTER 2010</t>
  </si>
  <si>
    <t>PROJECTIONS OF THE TOTAL RESIDENT POPULATION FOR THE GROWTH MANAGEMENT ACT</t>
  </si>
  <si>
    <t>MEDIUM:  2000 TO 2030 BY SINGLE YEAR AFTER 2010</t>
  </si>
  <si>
    <t xml:space="preserve"> </t>
  </si>
  <si>
    <t>HIGH:  2000 TO 2030 BY SINGLE YEAR AFTER 2010</t>
  </si>
  <si>
    <t>Artondale</t>
  </si>
  <si>
    <t>Brookhaven</t>
  </si>
  <si>
    <t>Cascade Highlands</t>
  </si>
  <si>
    <t>Chateau Woods</t>
  </si>
  <si>
    <t>Firwood</t>
  </si>
  <si>
    <t>Greenbriar</t>
  </si>
  <si>
    <t>Henderson Bay</t>
  </si>
  <si>
    <t>Moore's 40 Acres</t>
  </si>
  <si>
    <t>Muck Creek Hill</t>
  </si>
  <si>
    <t>Nisqually Park</t>
  </si>
  <si>
    <t>Nelson Ridge</t>
  </si>
  <si>
    <t>Olympic Mall</t>
  </si>
  <si>
    <t>Pine Lake</t>
  </si>
  <si>
    <t>103rd Ave.</t>
  </si>
  <si>
    <t>Water System Names</t>
  </si>
  <si>
    <t>Population</t>
  </si>
  <si>
    <t>Purdy Acres</t>
  </si>
  <si>
    <t>Purdy Acres West</t>
  </si>
  <si>
    <t>The Ranch</t>
  </si>
  <si>
    <t>Riverview Estates</t>
  </si>
  <si>
    <t>Rocky Bay</t>
  </si>
  <si>
    <t>Rosedale Heights</t>
  </si>
  <si>
    <t>Ryanwood</t>
  </si>
  <si>
    <t>Spanaway Ranch</t>
  </si>
  <si>
    <t>Sherwood</t>
  </si>
  <si>
    <t>Southcreek 1</t>
  </si>
  <si>
    <t>Southcreek 2</t>
  </si>
  <si>
    <t>Southwood</t>
  </si>
  <si>
    <t>Wollochet Heights</t>
  </si>
  <si>
    <t>undetermined</t>
  </si>
  <si>
    <t>unapproved</t>
  </si>
  <si>
    <t>Total Calculated Connections (ERUs)</t>
  </si>
  <si>
    <t>Total Approved Connections (ERUs)</t>
  </si>
  <si>
    <t>unspecified</t>
  </si>
  <si>
    <t>Shaws Cove</t>
  </si>
  <si>
    <t>Grand Total</t>
  </si>
  <si>
    <t>Additional ERUs</t>
  </si>
  <si>
    <t>ERUs</t>
  </si>
  <si>
    <t>has gallon capacity of 750</t>
  </si>
  <si>
    <t xml:space="preserve">has gallon capacity of 60,000,000 </t>
  </si>
  <si>
    <t>has gallon capacity of 835,000</t>
  </si>
  <si>
    <t>has gallon capacity of 15,000</t>
  </si>
  <si>
    <t>Lakewood (Max)</t>
  </si>
  <si>
    <t>Tacoma (Max)</t>
  </si>
  <si>
    <t>Lakewood Water District</t>
  </si>
  <si>
    <t>Lakewood (private line)</t>
  </si>
  <si>
    <t>City of Tacoma (wheeling)</t>
  </si>
  <si>
    <t>Baseline</t>
  </si>
  <si>
    <t>Water Usage (Growth)</t>
  </si>
  <si>
    <t>June-Sept</t>
  </si>
  <si>
    <t>Note: DOH based on 350 gpd</t>
  </si>
  <si>
    <t>Do Nothing (keep buying from Tacoma)</t>
  </si>
  <si>
    <t>CIAC Funds w/Interest</t>
  </si>
  <si>
    <t>UW-110054</t>
  </si>
  <si>
    <t xml:space="preserve"> &lt; 2.5 Summer times Winter</t>
  </si>
  <si>
    <t xml:space="preserve"> &lt; 2.5 times</t>
  </si>
  <si>
    <t xml:space="preserve"> &gt; 2.5 times</t>
  </si>
  <si>
    <t>Lakewood</t>
  </si>
  <si>
    <t>October -May</t>
  </si>
  <si>
    <t>Cumulative</t>
  </si>
  <si>
    <t>Annual</t>
  </si>
  <si>
    <t>Lakewood savings compared to Tacoma</t>
  </si>
  <si>
    <t>Yellow cells are input cells</t>
  </si>
  <si>
    <t>Average</t>
  </si>
  <si>
    <t>Wheeling cost</t>
  </si>
  <si>
    <t>Summer</t>
  </si>
  <si>
    <t>Winter</t>
  </si>
  <si>
    <t>Gallons per day</t>
  </si>
  <si>
    <t>Cubic feet per day</t>
  </si>
  <si>
    <t>days typical month</t>
  </si>
  <si>
    <t>Monthly consumption prior to wheeling</t>
  </si>
  <si>
    <t>Purchased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</si>
  <si>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</si>
  <si>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</si>
  <si>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</si>
  <si>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</si>
  <si>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</si>
  <si>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</si>
  <si>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</si>
  <si>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</si>
  <si>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</si>
  <si>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</si>
  <si>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</si>
  <si>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</si>
  <si>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</si>
  <si>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Summer Usage</t>
  </si>
  <si>
    <t>Tacoma rates *</t>
  </si>
  <si>
    <t>4-year   Average</t>
  </si>
  <si>
    <t>Summer Rate</t>
  </si>
  <si>
    <t>Winter Rate</t>
  </si>
  <si>
    <t>Lakewood rates **</t>
  </si>
  <si>
    <t>2012 ***</t>
  </si>
  <si>
    <t xml:space="preserve"> ** rates from LWD email to company on March 8, 2011</t>
  </si>
  <si>
    <t xml:space="preserve"> *** Rates adjusted every three years on June 1.</t>
  </si>
  <si>
    <t>History of water purchased from City of Tacoma (COT)</t>
  </si>
  <si>
    <t>3-year Increase</t>
  </si>
  <si>
    <t>Winter Usage</t>
  </si>
  <si>
    <t xml:space="preserve"> * rates from City Ordinance email to company on February 24, 2011</t>
  </si>
  <si>
    <t>ERU Growth</t>
  </si>
  <si>
    <t>Usage with Growth</t>
  </si>
  <si>
    <t>Total ERUs</t>
  </si>
  <si>
    <t>Rate Projection and Purchased Usage Cost</t>
  </si>
  <si>
    <t>Rainier View Water Co., Inc.</t>
  </si>
  <si>
    <t>COT Purchased</t>
  </si>
  <si>
    <t xml:space="preserve">  &gt; 2.5 Summer times Winter</t>
  </si>
  <si>
    <t>Annual Usage Cost</t>
  </si>
  <si>
    <t>Adjusted to per 100 cubic feet for billing purposes.</t>
  </si>
  <si>
    <t>Total cost</t>
  </si>
  <si>
    <t>Purchased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</si>
</sst>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  <numFmt numFmtId="167" formatCode="&quot;$&quot;#,##0.000"/>
    <numFmt numFmtId="168" formatCode="_(&quot;$&quot;* #,##0_);_(&quot;$&quot;* \(#,##0\);_(&quot;$&quot;* &quot;-&quot;??_);_(@_)"/>
    <numFmt numFmtId="170" formatCode="0.000%"/>
    <numFmt numFmtId="171" formatCode="0.000"/>
    <numFmt numFmtId="173" formatCode="&quot;$&quot;#,##0.000_);[Red]\(&quot;$&quot;#,##0.000\)"/>
    <numFmt numFmtId="174" formatCode="&quot;$&quot;#,##0.00"/>
    <numFmt numFmtId="175" formatCode="_(&quot;$&quot;* #,##0.000_);_(&quot;$&quot;* \(#,##0.0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1"/>
      <color theme="1"/>
      <name val="Arial"/>
      <family val="2"/>
    </font>
    <font>
      <i/>
      <sz val="12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</cellStyleXfs>
  <cellXfs count="202">
    <xf numFmtId="0" fontId="0" fillId="0" borderId="0" xfId="0"/>
    <xf numFmtId="167" fontId="0" fillId="3" borderId="0" xfId="2" applyNumberFormat="1" applyFont="1" applyFill="1" applyAlignment="1">
      <alignment horizontal="center"/>
    </xf>
    <xf numFmtId="164" fontId="0" fillId="3" borderId="2" xfId="1" applyNumberFormat="1" applyFont="1" applyFill="1" applyBorder="1" applyAlignment="1">
      <alignment horizontal="center"/>
    </xf>
    <xf numFmtId="164" fontId="0" fillId="0" borderId="0" xfId="0" applyNumberFormat="1"/>
    <xf numFmtId="0" fontId="0" fillId="0" borderId="2" xfId="0" applyBorder="1"/>
    <xf numFmtId="37" fontId="7" fillId="0" borderId="0" xfId="0" applyNumberFormat="1" applyFont="1" applyFill="1" applyAlignment="1">
      <alignment horizontal="center" vertical="center"/>
    </xf>
    <xf numFmtId="37" fontId="7" fillId="5" borderId="2" xfId="0" applyNumberFormat="1" applyFont="1" applyFill="1" applyBorder="1" applyAlignment="1">
      <alignment horizontal="center" vertical="center"/>
    </xf>
    <xf numFmtId="0" fontId="9" fillId="0" borderId="0" xfId="4" applyFont="1"/>
    <xf numFmtId="164" fontId="9" fillId="0" borderId="0" xfId="6" applyNumberFormat="1" applyFont="1"/>
    <xf numFmtId="3" fontId="9" fillId="0" borderId="0" xfId="4" applyNumberFormat="1" applyFont="1" applyAlignment="1">
      <alignment horizontal="right"/>
    </xf>
    <xf numFmtId="3" fontId="9" fillId="0" borderId="0" xfId="4" applyNumberFormat="1" applyFont="1" applyAlignment="1">
      <alignment horizontal="right" wrapText="1"/>
    </xf>
    <xf numFmtId="0" fontId="9" fillId="6" borderId="0" xfId="4" applyFont="1" applyFill="1"/>
    <xf numFmtId="3" fontId="10" fillId="6" borderId="0" xfId="4" applyNumberFormat="1" applyFont="1" applyFill="1" applyAlignment="1">
      <alignment horizontal="right"/>
    </xf>
    <xf numFmtId="3" fontId="10" fillId="6" borderId="0" xfId="4" applyNumberFormat="1" applyFont="1" applyFill="1" applyAlignment="1">
      <alignment horizontal="right" wrapText="1"/>
    </xf>
    <xf numFmtId="3" fontId="9" fillId="6" borderId="0" xfId="4" applyNumberFormat="1" applyFont="1" applyFill="1" applyAlignment="1">
      <alignment horizontal="right"/>
    </xf>
    <xf numFmtId="0" fontId="9" fillId="0" borderId="2" xfId="4" applyFont="1" applyBorder="1"/>
    <xf numFmtId="0" fontId="11" fillId="0" borderId="0" xfId="4" applyFont="1"/>
    <xf numFmtId="0" fontId="11" fillId="0" borderId="2" xfId="4" applyFont="1" applyBorder="1"/>
    <xf numFmtId="0" fontId="9" fillId="0" borderId="0" xfId="4" applyFont="1" applyAlignment="1">
      <alignment horizontal="left"/>
    </xf>
    <xf numFmtId="164" fontId="0" fillId="0" borderId="0" xfId="1" applyNumberFormat="1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164" fontId="0" fillId="0" borderId="2" xfId="1" applyNumberFormat="1" applyFont="1" applyBorder="1" applyAlignment="1">
      <alignment horizontal="center"/>
    </xf>
    <xf numFmtId="0" fontId="0" fillId="0" borderId="0" xfId="0" applyFill="1" applyBorder="1"/>
    <xf numFmtId="164" fontId="2" fillId="0" borderId="0" xfId="1" applyNumberFormat="1" applyFont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14" xfId="0" applyNumberFormat="1" applyBorder="1"/>
    <xf numFmtId="0" fontId="6" fillId="0" borderId="2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0" fontId="2" fillId="0" borderId="2" xfId="3" quotePrefix="1" applyNumberFormat="1" applyFont="1" applyFill="1" applyBorder="1" applyAlignment="1">
      <alignment horizontal="center" vertical="center"/>
    </xf>
    <xf numFmtId="10" fontId="7" fillId="2" borderId="2" xfId="3" quotePrefix="1" applyNumberFormat="1" applyFont="1" applyFill="1" applyBorder="1" applyAlignment="1">
      <alignment horizontal="center" vertical="center"/>
    </xf>
    <xf numFmtId="0" fontId="10" fillId="6" borderId="0" xfId="4" applyFont="1" applyFill="1"/>
    <xf numFmtId="10" fontId="10" fillId="6" borderId="0" xfId="5" applyNumberFormat="1" applyFont="1" applyFill="1"/>
    <xf numFmtId="10" fontId="10" fillId="6" borderId="0" xfId="4" applyNumberFormat="1" applyFont="1" applyFill="1"/>
    <xf numFmtId="164" fontId="13" fillId="0" borderId="14" xfId="0" applyNumberFormat="1" applyFont="1" applyBorder="1"/>
    <xf numFmtId="164" fontId="12" fillId="0" borderId="0" xfId="0" applyNumberFormat="1" applyFont="1"/>
    <xf numFmtId="0" fontId="5" fillId="3" borderId="2" xfId="0" applyFont="1" applyFill="1" applyBorder="1" applyAlignment="1">
      <alignment horizontal="center"/>
    </xf>
    <xf numFmtId="0" fontId="9" fillId="0" borderId="0" xfId="4" applyFont="1" applyAlignment="1">
      <alignment horizontal="left"/>
    </xf>
    <xf numFmtId="37" fontId="7" fillId="5" borderId="8" xfId="0" applyNumberFormat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4" xfId="0" applyFill="1" applyBorder="1"/>
    <xf numFmtId="0" fontId="0" fillId="3" borderId="0" xfId="0" applyFill="1" applyBorder="1"/>
    <xf numFmtId="164" fontId="0" fillId="7" borderId="0" xfId="1" applyNumberFormat="1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37" fontId="7" fillId="5" borderId="13" xfId="0" applyNumberFormat="1" applyFont="1" applyFill="1" applyBorder="1" applyAlignment="1">
      <alignment horizontal="center" vertical="center"/>
    </xf>
    <xf numFmtId="10" fontId="7" fillId="2" borderId="5" xfId="3" quotePrefix="1" applyNumberFormat="1" applyFont="1" applyFill="1" applyBorder="1" applyAlignment="1">
      <alignment horizontal="center" vertical="center"/>
    </xf>
    <xf numFmtId="0" fontId="0" fillId="3" borderId="12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168" fontId="0" fillId="2" borderId="0" xfId="2" applyNumberFormat="1" applyFont="1" applyFill="1" applyAlignment="1">
      <alignment horizontal="center"/>
    </xf>
    <xf numFmtId="168" fontId="0" fillId="4" borderId="0" xfId="2" applyNumberFormat="1" applyFont="1" applyFill="1" applyBorder="1" applyAlignment="1">
      <alignment horizontal="center"/>
    </xf>
    <xf numFmtId="168" fontId="0" fillId="3" borderId="0" xfId="2" applyNumberFormat="1" applyFont="1" applyFill="1" applyBorder="1" applyAlignment="1">
      <alignment horizontal="center"/>
    </xf>
    <xf numFmtId="0" fontId="0" fillId="0" borderId="7" xfId="0" applyBorder="1"/>
    <xf numFmtId="10" fontId="0" fillId="4" borderId="0" xfId="3" applyNumberFormat="1" applyFont="1" applyFill="1" applyAlignment="1">
      <alignment horizontal="center"/>
    </xf>
    <xf numFmtId="164" fontId="0" fillId="0" borderId="10" xfId="0" applyNumberFormat="1" applyBorder="1"/>
    <xf numFmtId="164" fontId="0" fillId="0" borderId="11" xfId="0" applyNumberFormat="1" applyBorder="1"/>
    <xf numFmtId="0" fontId="0" fillId="5" borderId="0" xfId="0" applyFill="1"/>
    <xf numFmtId="0" fontId="0" fillId="8" borderId="0" xfId="0" applyFill="1"/>
    <xf numFmtId="0" fontId="0" fillId="0" borderId="0" xfId="0" applyFill="1"/>
    <xf numFmtId="0" fontId="0" fillId="0" borderId="0" xfId="0" applyAlignment="1">
      <alignment horizontal="center"/>
    </xf>
    <xf numFmtId="37" fontId="0" fillId="0" borderId="4" xfId="0" applyNumberFormat="1" applyBorder="1"/>
    <xf numFmtId="167" fontId="0" fillId="6" borderId="0" xfId="2" applyNumberFormat="1" applyFont="1" applyFill="1" applyAlignment="1">
      <alignment horizontal="center"/>
    </xf>
    <xf numFmtId="166" fontId="0" fillId="3" borderId="0" xfId="2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166" fontId="0" fillId="5" borderId="0" xfId="2" applyNumberFormat="1" applyFont="1" applyFill="1" applyAlignment="1">
      <alignment horizontal="center"/>
    </xf>
    <xf numFmtId="167" fontId="0" fillId="9" borderId="0" xfId="2" applyNumberFormat="1" applyFont="1" applyFill="1" applyAlignment="1">
      <alignment horizontal="center"/>
    </xf>
    <xf numFmtId="0" fontId="0" fillId="9" borderId="0" xfId="0" applyFill="1"/>
    <xf numFmtId="164" fontId="0" fillId="0" borderId="0" xfId="1" applyNumberFormat="1" applyFont="1"/>
    <xf numFmtId="0" fontId="17" fillId="0" borderId="0" xfId="0" applyFont="1"/>
    <xf numFmtId="37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2" applyNumberFormat="1" applyFont="1" applyFill="1" applyAlignment="1">
      <alignment horizontal="center"/>
    </xf>
    <xf numFmtId="37" fontId="0" fillId="0" borderId="0" xfId="0" applyNumberFormat="1"/>
    <xf numFmtId="168" fontId="0" fillId="0" borderId="0" xfId="2" applyNumberFormat="1" applyFont="1"/>
    <xf numFmtId="37" fontId="0" fillId="0" borderId="0" xfId="0" applyNumberFormat="1" applyBorder="1"/>
    <xf numFmtId="17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0" fillId="10" borderId="0" xfId="2" applyNumberFormat="1" applyFont="1" applyFill="1" applyAlignment="1">
      <alignment horizontal="center"/>
    </xf>
    <xf numFmtId="166" fontId="0" fillId="10" borderId="0" xfId="2" applyNumberFormat="1" applyFont="1" applyFill="1" applyAlignment="1">
      <alignment horizontal="center"/>
    </xf>
    <xf numFmtId="166" fontId="0" fillId="0" borderId="8" xfId="0" applyNumberFormat="1" applyFill="1" applyBorder="1" applyAlignment="1">
      <alignment horizontal="center"/>
    </xf>
    <xf numFmtId="166" fontId="0" fillId="3" borderId="15" xfId="0" applyNumberFormat="1" applyFill="1" applyBorder="1" applyAlignment="1">
      <alignment horizontal="center"/>
    </xf>
    <xf numFmtId="166" fontId="0" fillId="3" borderId="13" xfId="0" applyNumberFormat="1" applyFill="1" applyBorder="1" applyAlignment="1">
      <alignment horizontal="center"/>
    </xf>
    <xf numFmtId="166" fontId="0" fillId="10" borderId="15" xfId="2" applyNumberFormat="1" applyFont="1" applyFill="1" applyBorder="1" applyAlignment="1">
      <alignment horizontal="center"/>
    </xf>
    <xf numFmtId="166" fontId="0" fillId="3" borderId="7" xfId="0" applyNumberFormat="1" applyFill="1" applyBorder="1" applyAlignment="1">
      <alignment horizontal="center"/>
    </xf>
    <xf numFmtId="166" fontId="0" fillId="0" borderId="7" xfId="2" applyNumberFormat="1" applyFont="1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165" fontId="0" fillId="0" borderId="7" xfId="3" applyNumberFormat="1" applyFont="1" applyBorder="1" applyAlignment="1">
      <alignment horizontal="center"/>
    </xf>
    <xf numFmtId="166" fontId="12" fillId="0" borderId="1" xfId="0" applyNumberFormat="1" applyFont="1" applyFill="1" applyBorder="1" applyAlignment="1">
      <alignment horizontal="center"/>
    </xf>
    <xf numFmtId="170" fontId="2" fillId="6" borderId="0" xfId="3" applyNumberFormat="1" applyFont="1" applyFill="1" applyAlignment="1">
      <alignment horizontal="center"/>
    </xf>
    <xf numFmtId="0" fontId="2" fillId="6" borderId="0" xfId="0" applyFont="1" applyFill="1"/>
    <xf numFmtId="0" fontId="0" fillId="0" borderId="3" xfId="0" applyBorder="1" applyAlignment="1">
      <alignment horizontal="center"/>
    </xf>
    <xf numFmtId="10" fontId="15" fillId="6" borderId="2" xfId="3" quotePrefix="1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12" borderId="0" xfId="0" applyFill="1"/>
    <xf numFmtId="0" fontId="0" fillId="11" borderId="0" xfId="0" applyFill="1"/>
    <xf numFmtId="37" fontId="0" fillId="11" borderId="0" xfId="0" applyNumberFormat="1" applyFill="1"/>
    <xf numFmtId="0" fontId="0" fillId="0" borderId="0" xfId="0" applyAlignment="1">
      <alignment horizontal="center"/>
    </xf>
    <xf numFmtId="37" fontId="0" fillId="4" borderId="0" xfId="1" applyNumberFormat="1" applyFont="1" applyFill="1"/>
    <xf numFmtId="37" fontId="0" fillId="0" borderId="0" xfId="1" applyNumberFormat="1" applyFont="1"/>
    <xf numFmtId="37" fontId="19" fillId="0" borderId="0" xfId="1" applyNumberFormat="1" applyFont="1"/>
    <xf numFmtId="0" fontId="19" fillId="0" borderId="0" xfId="0" applyFont="1"/>
    <xf numFmtId="49" fontId="0" fillId="0" borderId="9" xfId="1" applyNumberFormat="1" applyFont="1" applyBorder="1" applyAlignment="1">
      <alignment horizontal="center"/>
    </xf>
    <xf numFmtId="49" fontId="0" fillId="0" borderId="3" xfId="1" applyNumberFormat="1" applyFont="1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37" fontId="0" fillId="4" borderId="0" xfId="0" applyNumberFormat="1" applyFill="1"/>
    <xf numFmtId="164" fontId="0" fillId="0" borderId="3" xfId="1" applyNumberFormat="1" applyFont="1" applyBorder="1"/>
    <xf numFmtId="0" fontId="0" fillId="0" borderId="0" xfId="0" applyAlignment="1">
      <alignment horizontal="right"/>
    </xf>
    <xf numFmtId="37" fontId="0" fillId="4" borderId="0" xfId="1" applyNumberFormat="1" applyFont="1" applyFill="1" applyAlignment="1">
      <alignment horizontal="right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173" fontId="17" fillId="0" borderId="0" xfId="0" applyNumberFormat="1" applyFont="1"/>
    <xf numFmtId="171" fontId="12" fillId="0" borderId="0" xfId="0" applyNumberFormat="1" applyFont="1" applyAlignment="1">
      <alignment horizontal="center"/>
    </xf>
    <xf numFmtId="8" fontId="20" fillId="0" borderId="0" xfId="0" applyNumberFormat="1" applyFont="1"/>
    <xf numFmtId="165" fontId="0" fillId="0" borderId="0" xfId="3" applyNumberFormat="1" applyFont="1"/>
    <xf numFmtId="165" fontId="0" fillId="0" borderId="0" xfId="3" applyNumberFormat="1" applyFont="1" applyAlignment="1">
      <alignment horizontal="center"/>
    </xf>
    <xf numFmtId="8" fontId="6" fillId="0" borderId="0" xfId="0" applyNumberFormat="1" applyFont="1"/>
    <xf numFmtId="8" fontId="17" fillId="0" borderId="0" xfId="0" applyNumberFormat="1" applyFont="1"/>
    <xf numFmtId="171" fontId="16" fillId="0" borderId="0" xfId="0" applyNumberFormat="1" applyFont="1" applyAlignment="1">
      <alignment horizontal="center"/>
    </xf>
    <xf numFmtId="168" fontId="0" fillId="4" borderId="0" xfId="2" applyNumberFormat="1" applyFont="1" applyFill="1"/>
    <xf numFmtId="168" fontId="0" fillId="0" borderId="4" xfId="0" applyNumberFormat="1" applyBorder="1"/>
    <xf numFmtId="173" fontId="20" fillId="0" borderId="0" xfId="0" applyNumberFormat="1" applyFont="1"/>
    <xf numFmtId="0" fontId="0" fillId="0" borderId="0" xfId="0" applyAlignment="1">
      <alignment horizontal="left"/>
    </xf>
    <xf numFmtId="164" fontId="0" fillId="11" borderId="0" xfId="1" applyNumberFormat="1" applyFont="1" applyFill="1"/>
    <xf numFmtId="164" fontId="0" fillId="11" borderId="0" xfId="0" applyNumberFormat="1" applyFill="1"/>
    <xf numFmtId="37" fontId="15" fillId="6" borderId="0" xfId="0" applyNumberFormat="1" applyFont="1" applyFill="1" applyAlignment="1">
      <alignment horizontal="center"/>
    </xf>
    <xf numFmtId="8" fontId="12" fillId="0" borderId="0" xfId="0" applyNumberFormat="1" applyFont="1" applyAlignment="1">
      <alignment horizontal="center"/>
    </xf>
    <xf numFmtId="174" fontId="0" fillId="6" borderId="0" xfId="2" applyNumberFormat="1" applyFont="1" applyFill="1" applyAlignment="1">
      <alignment horizontal="center"/>
    </xf>
    <xf numFmtId="174" fontId="0" fillId="2" borderId="0" xfId="2" applyNumberFormat="1" applyFont="1" applyFill="1" applyAlignment="1">
      <alignment horizontal="center"/>
    </xf>
    <xf numFmtId="174" fontId="0" fillId="10" borderId="0" xfId="2" applyNumberFormat="1" applyFont="1" applyFill="1" applyAlignment="1">
      <alignment horizontal="center"/>
    </xf>
    <xf numFmtId="174" fontId="0" fillId="0" borderId="0" xfId="0" applyNumberFormat="1"/>
    <xf numFmtId="165" fontId="15" fillId="6" borderId="0" xfId="3" applyNumberFormat="1" applyFont="1" applyFill="1" applyAlignment="1">
      <alignment horizontal="center"/>
    </xf>
    <xf numFmtId="165" fontId="0" fillId="11" borderId="0" xfId="3" applyNumberFormat="1" applyFont="1" applyFill="1" applyAlignment="1">
      <alignment horizontal="center"/>
    </xf>
    <xf numFmtId="0" fontId="0" fillId="13" borderId="0" xfId="0" applyFill="1"/>
    <xf numFmtId="164" fontId="0" fillId="13" borderId="0" xfId="1" applyNumberFormat="1" applyFont="1" applyFill="1"/>
    <xf numFmtId="37" fontId="0" fillId="13" borderId="0" xfId="0" applyNumberFormat="1" applyFill="1" applyAlignment="1">
      <alignment horizontal="center"/>
    </xf>
    <xf numFmtId="0" fontId="0" fillId="13" borderId="0" xfId="0" applyFill="1" applyAlignment="1">
      <alignment horizontal="center"/>
    </xf>
    <xf numFmtId="166" fontId="0" fillId="13" borderId="0" xfId="2" applyNumberFormat="1" applyFont="1" applyFill="1" applyAlignment="1">
      <alignment horizontal="center"/>
    </xf>
    <xf numFmtId="164" fontId="0" fillId="10" borderId="0" xfId="0" applyNumberFormat="1" applyFill="1"/>
    <xf numFmtId="37" fontId="0" fillId="10" borderId="0" xfId="0" applyNumberFormat="1" applyFill="1"/>
    <xf numFmtId="174" fontId="0" fillId="6" borderId="12" xfId="2" applyNumberFormat="1" applyFont="1" applyFill="1" applyBorder="1" applyAlignment="1">
      <alignment horizontal="center"/>
    </xf>
    <xf numFmtId="174" fontId="0" fillId="6" borderId="15" xfId="2" applyNumberFormat="1" applyFont="1" applyFill="1" applyBorder="1" applyAlignment="1">
      <alignment horizontal="center"/>
    </xf>
    <xf numFmtId="174" fontId="0" fillId="2" borderId="15" xfId="2" applyNumberFormat="1" applyFont="1" applyFill="1" applyBorder="1" applyAlignment="1">
      <alignment horizontal="center"/>
    </xf>
    <xf numFmtId="174" fontId="0" fillId="10" borderId="15" xfId="2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37" fontId="0" fillId="5" borderId="4" xfId="0" applyNumberFormat="1" applyFill="1" applyBorder="1"/>
    <xf numFmtId="37" fontId="0" fillId="0" borderId="0" xfId="0" applyNumberFormat="1" applyAlignment="1">
      <alignment horizontal="right"/>
    </xf>
    <xf numFmtId="0" fontId="13" fillId="0" borderId="2" xfId="0" applyFont="1" applyBorder="1" applyAlignment="1">
      <alignment horizontal="center"/>
    </xf>
    <xf numFmtId="0" fontId="0" fillId="11" borderId="10" xfId="0" applyFill="1" applyBorder="1" applyAlignment="1">
      <alignment horizontal="center" wrapText="1"/>
    </xf>
    <xf numFmtId="0" fontId="0" fillId="11" borderId="11" xfId="0" applyFill="1" applyBorder="1" applyAlignment="1">
      <alignment horizontal="center" wrapText="1"/>
    </xf>
    <xf numFmtId="0" fontId="0" fillId="11" borderId="10" xfId="0" applyFill="1" applyBorder="1" applyAlignment="1">
      <alignment horizontal="center"/>
    </xf>
    <xf numFmtId="0" fontId="0" fillId="11" borderId="11" xfId="0" applyFill="1" applyBorder="1" applyAlignment="1">
      <alignment horizontal="center"/>
    </xf>
    <xf numFmtId="0" fontId="0" fillId="11" borderId="0" xfId="0" applyFill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1" fillId="0" borderId="0" xfId="4" applyFont="1" applyAlignment="1">
      <alignment horizontal="left"/>
    </xf>
    <xf numFmtId="0" fontId="9" fillId="0" borderId="0" xfId="4" applyFont="1" applyAlignment="1">
      <alignment horizontal="left"/>
    </xf>
    <xf numFmtId="0" fontId="0" fillId="0" borderId="10" xfId="0" applyBorder="1" applyAlignment="1">
      <alignment horizontal="center"/>
    </xf>
    <xf numFmtId="165" fontId="0" fillId="0" borderId="16" xfId="3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166" fontId="0" fillId="0" borderId="11" xfId="0" applyNumberFormat="1" applyFill="1" applyBorder="1" applyAlignment="1">
      <alignment horizontal="center"/>
    </xf>
    <xf numFmtId="166" fontId="0" fillId="0" borderId="16" xfId="2" applyNumberFormat="1" applyFont="1" applyFill="1" applyBorder="1" applyAlignment="1">
      <alignment horizontal="center"/>
    </xf>
    <xf numFmtId="166" fontId="0" fillId="0" borderId="16" xfId="0" applyNumberFormat="1" applyFill="1" applyBorder="1" applyAlignment="1">
      <alignment horizontal="center"/>
    </xf>
    <xf numFmtId="166" fontId="12" fillId="0" borderId="16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" xfId="0" applyBorder="1" applyAlignment="1">
      <alignment horizontal="center"/>
    </xf>
    <xf numFmtId="44" fontId="0" fillId="11" borderId="16" xfId="2" applyNumberFormat="1" applyFont="1" applyFill="1" applyBorder="1"/>
    <xf numFmtId="0" fontId="12" fillId="0" borderId="2" xfId="0" applyFont="1" applyBorder="1" applyAlignment="1">
      <alignment horizontal="center"/>
    </xf>
    <xf numFmtId="175" fontId="0" fillId="11" borderId="10" xfId="2" applyNumberFormat="1" applyFont="1" applyFill="1" applyBorder="1"/>
    <xf numFmtId="44" fontId="0" fillId="11" borderId="11" xfId="2" applyNumberFormat="1" applyFont="1" applyFill="1" applyBorder="1"/>
  </cellXfs>
  <cellStyles count="9">
    <cellStyle name="Comma" xfId="1" builtinId="3"/>
    <cellStyle name="Comma 2" xfId="6"/>
    <cellStyle name="Currency" xfId="2" builtinId="4"/>
    <cellStyle name="Currency 2" xfId="8"/>
    <cellStyle name="Normal" xfId="0" builtinId="0"/>
    <cellStyle name="Normal 2" xfId="4"/>
    <cellStyle name="Normal 3" xfId="7"/>
    <cellStyle name="Percent" xfId="3" builtinId="5"/>
    <cellStyle name="Percent 2" xfId="5"/>
  </cellStyles>
  <dxfs count="5">
    <dxf>
      <font>
        <color rgb="FFFFFF00"/>
      </font>
    </dxf>
    <dxf>
      <font>
        <color auto="1"/>
      </font>
      <fill>
        <patternFill>
          <bgColor theme="2" tint="-0.24994659260841701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</dxf>
    <dxf>
      <font>
        <color auto="1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FFCC"/>
      <color rgb="FFFFFF99"/>
      <color rgb="FFCCE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9"/>
  <sheetViews>
    <sheetView topLeftCell="J1" zoomScale="80" zoomScaleNormal="80" workbookViewId="0">
      <selection activeCell="V6" sqref="V6"/>
    </sheetView>
  </sheetViews>
  <sheetFormatPr defaultColWidth="22.5546875" defaultRowHeight="15.75" customHeight="1" x14ac:dyDescent="0.3"/>
  <cols>
    <col min="1" max="1" width="6.6640625" customWidth="1"/>
    <col min="2" max="7" width="13.77734375" customWidth="1"/>
    <col min="8" max="8" width="2" style="98" customWidth="1"/>
    <col min="9" max="9" width="10.88671875" style="99" customWidth="1"/>
    <col min="10" max="10" width="11.33203125" style="99" customWidth="1"/>
    <col min="11" max="11" width="14.109375" bestFit="1" customWidth="1"/>
    <col min="12" max="12" width="13.44140625" bestFit="1" customWidth="1"/>
    <col min="13" max="13" width="1.88671875" style="61" customWidth="1"/>
    <col min="14" max="14" width="9.6640625" bestFit="1" customWidth="1"/>
    <col min="15" max="15" width="1.88671875" style="139" customWidth="1"/>
    <col min="16" max="16" width="13.44140625" style="62" bestFit="1" customWidth="1"/>
    <col min="17" max="17" width="14.109375" style="80" customWidth="1"/>
    <col min="18" max="18" width="13.44140625" style="62" customWidth="1"/>
    <col min="19" max="19" width="16.5546875" style="62" customWidth="1"/>
    <col min="20" max="20" width="7.77734375" style="97" bestFit="1" customWidth="1"/>
    <col min="21" max="21" width="4.5546875" customWidth="1"/>
    <col min="22" max="22" width="15.109375" bestFit="1" customWidth="1"/>
    <col min="23" max="23" width="10.88671875" bestFit="1" customWidth="1"/>
    <col min="24" max="24" width="14.33203125" bestFit="1" customWidth="1"/>
  </cols>
  <sheetData>
    <row r="1" spans="1:20" ht="15.75" customHeight="1" x14ac:dyDescent="0.3">
      <c r="A1" s="71" t="s">
        <v>163</v>
      </c>
      <c r="H1"/>
      <c r="I1" s="70"/>
      <c r="J1" s="70"/>
      <c r="K1" s="70"/>
      <c r="O1"/>
      <c r="P1" s="79"/>
      <c r="R1" s="79"/>
      <c r="S1" s="79"/>
    </row>
    <row r="2" spans="1:20" ht="15.75" customHeight="1" x14ac:dyDescent="0.3">
      <c r="A2" s="71" t="s">
        <v>114</v>
      </c>
      <c r="H2"/>
      <c r="I2" s="70"/>
      <c r="J2" s="70"/>
      <c r="K2" s="70"/>
      <c r="O2"/>
      <c r="P2" s="79"/>
      <c r="R2" s="79"/>
      <c r="S2" s="79"/>
    </row>
    <row r="3" spans="1:20" ht="15.75" customHeight="1" x14ac:dyDescent="0.3">
      <c r="A3" s="71" t="s">
        <v>162</v>
      </c>
      <c r="H3"/>
      <c r="I3" s="70"/>
      <c r="J3" s="70"/>
      <c r="K3" s="70"/>
      <c r="O3"/>
      <c r="P3" s="79"/>
      <c r="R3" s="79"/>
      <c r="S3" s="79"/>
    </row>
    <row r="4" spans="1:20" ht="15.75" customHeight="1" x14ac:dyDescent="0.3">
      <c r="A4" s="71"/>
      <c r="H4"/>
      <c r="I4" s="70"/>
      <c r="J4" s="70"/>
      <c r="K4" s="70"/>
      <c r="O4"/>
      <c r="P4" s="101"/>
      <c r="Q4" s="101"/>
      <c r="R4" s="101"/>
      <c r="S4" s="101"/>
      <c r="T4" s="101"/>
    </row>
    <row r="5" spans="1:20" ht="15.75" customHeight="1" x14ac:dyDescent="0.3">
      <c r="H5"/>
      <c r="I5" s="93" t="s">
        <v>123</v>
      </c>
      <c r="J5" s="93"/>
      <c r="O5"/>
      <c r="S5" s="101"/>
      <c r="T5" s="101"/>
    </row>
    <row r="6" spans="1:20" ht="15.75" customHeight="1" x14ac:dyDescent="0.3">
      <c r="B6" s="159" t="s">
        <v>6</v>
      </c>
      <c r="C6" s="159"/>
      <c r="D6" s="159"/>
      <c r="E6" s="159"/>
      <c r="F6" s="160" t="s">
        <v>105</v>
      </c>
      <c r="G6" s="160"/>
      <c r="I6" s="70"/>
      <c r="J6" s="70"/>
      <c r="K6" s="159" t="str">
        <f>+B6</f>
        <v>City of Tacoma</v>
      </c>
      <c r="L6" s="159"/>
      <c r="N6" s="150" t="s">
        <v>118</v>
      </c>
      <c r="O6" s="141"/>
      <c r="S6" s="90" t="s">
        <v>125</v>
      </c>
      <c r="T6" s="200">
        <v>0.189</v>
      </c>
    </row>
    <row r="7" spans="1:20" ht="14.4" x14ac:dyDescent="0.3">
      <c r="B7" s="161" t="s">
        <v>115</v>
      </c>
      <c r="C7" s="161"/>
      <c r="D7" s="161" t="s">
        <v>165</v>
      </c>
      <c r="E7" s="161"/>
      <c r="I7" s="158" t="s">
        <v>159</v>
      </c>
      <c r="J7" s="158"/>
      <c r="O7" s="141"/>
      <c r="S7" s="90" t="s">
        <v>169</v>
      </c>
      <c r="T7" s="198">
        <v>0.81</v>
      </c>
    </row>
    <row r="8" spans="1:20" ht="15.75" customHeight="1" x14ac:dyDescent="0.3">
      <c r="B8" s="35"/>
      <c r="C8" s="92">
        <v>0.12055</v>
      </c>
      <c r="D8" s="35"/>
      <c r="E8" s="92">
        <f>+C8</f>
        <v>0.12055</v>
      </c>
      <c r="F8" s="47"/>
      <c r="G8" s="137">
        <v>7.2999999999999995E-2</v>
      </c>
      <c r="I8" s="131">
        <v>228</v>
      </c>
      <c r="J8" s="95">
        <f>+I8/I11</f>
        <v>1.5086349500430094E-2</v>
      </c>
      <c r="K8" s="66">
        <f>+'Purchased COT'!L27</f>
        <v>80057.92833333333</v>
      </c>
      <c r="L8" s="66">
        <f>+K8</f>
        <v>80057.92833333333</v>
      </c>
      <c r="M8" s="72"/>
      <c r="N8" s="66">
        <f>+L8</f>
        <v>80057.92833333333</v>
      </c>
      <c r="O8" s="141"/>
      <c r="S8" s="90" t="s">
        <v>168</v>
      </c>
      <c r="T8" s="201">
        <f>SUM(T6:T7)</f>
        <v>0.99900000000000011</v>
      </c>
    </row>
    <row r="9" spans="1:20" ht="15.75" customHeight="1" x14ac:dyDescent="0.3">
      <c r="A9" s="55"/>
      <c r="B9" s="39" t="s">
        <v>119</v>
      </c>
      <c r="C9" s="40" t="s">
        <v>110</v>
      </c>
      <c r="D9" s="39" t="s">
        <v>119</v>
      </c>
      <c r="E9" s="40" t="s">
        <v>110</v>
      </c>
      <c r="F9" s="39" t="s">
        <v>119</v>
      </c>
      <c r="G9" s="40" t="s">
        <v>110</v>
      </c>
      <c r="I9" s="156" t="s">
        <v>161</v>
      </c>
      <c r="J9" s="154" t="s">
        <v>160</v>
      </c>
      <c r="K9" s="153" t="s">
        <v>166</v>
      </c>
      <c r="L9" s="153"/>
      <c r="M9" s="153"/>
      <c r="N9" s="153"/>
      <c r="O9" s="142"/>
      <c r="P9" s="199" t="s">
        <v>122</v>
      </c>
      <c r="Q9" s="199"/>
      <c r="R9" s="199"/>
      <c r="S9" s="199"/>
      <c r="T9" s="96"/>
    </row>
    <row r="10" spans="1:20" ht="15.75" customHeight="1" x14ac:dyDescent="0.3">
      <c r="A10" s="55" t="s">
        <v>0</v>
      </c>
      <c r="B10" s="6" t="s">
        <v>127</v>
      </c>
      <c r="C10" s="37" t="s">
        <v>126</v>
      </c>
      <c r="D10" s="6" t="s">
        <v>127</v>
      </c>
      <c r="E10" s="37" t="s">
        <v>126</v>
      </c>
      <c r="F10" s="6" t="s">
        <v>127</v>
      </c>
      <c r="G10" s="37" t="s">
        <v>126</v>
      </c>
      <c r="I10" s="157"/>
      <c r="J10" s="155"/>
      <c r="K10" s="109" t="s">
        <v>116</v>
      </c>
      <c r="L10" s="94" t="s">
        <v>117</v>
      </c>
      <c r="M10" s="73"/>
      <c r="P10" s="196" t="s">
        <v>116</v>
      </c>
      <c r="Q10" s="197"/>
      <c r="R10" s="196" t="s">
        <v>117</v>
      </c>
      <c r="S10" s="197"/>
      <c r="T10" s="189"/>
    </row>
    <row r="11" spans="1:20" ht="15.75" customHeight="1" x14ac:dyDescent="0.3">
      <c r="A11">
        <v>2010</v>
      </c>
      <c r="B11" s="64">
        <v>1.4770000000000001</v>
      </c>
      <c r="C11" s="64">
        <v>1.849</v>
      </c>
      <c r="D11" s="64">
        <v>2.774</v>
      </c>
      <c r="E11" s="64">
        <f>2.774</f>
        <v>2.774</v>
      </c>
      <c r="F11" s="146">
        <v>0.65</v>
      </c>
      <c r="G11" s="133">
        <v>0.8095</v>
      </c>
      <c r="I11" s="129">
        <v>15113</v>
      </c>
      <c r="J11" s="100">
        <f>(+K8)+(K8*$J$8)</f>
        <v>81265.710220450375</v>
      </c>
      <c r="K11" s="65"/>
      <c r="L11" s="65"/>
      <c r="M11" s="74"/>
      <c r="N11" s="67"/>
      <c r="O11" s="143"/>
      <c r="P11" s="84"/>
      <c r="Q11" s="87"/>
      <c r="R11" s="84"/>
      <c r="S11" s="90"/>
      <c r="T11" s="190"/>
    </row>
    <row r="12" spans="1:20" ht="15.75" customHeight="1" x14ac:dyDescent="0.3">
      <c r="A12">
        <f t="shared" ref="A12:A75" si="0">A11+1</f>
        <v>2011</v>
      </c>
      <c r="B12" s="64">
        <v>1.7070000000000001</v>
      </c>
      <c r="C12" s="64">
        <v>2.1339999999999999</v>
      </c>
      <c r="D12" s="64">
        <v>3.206</v>
      </c>
      <c r="E12" s="64">
        <v>3.206</v>
      </c>
      <c r="F12" s="147">
        <f>+F11</f>
        <v>0.65</v>
      </c>
      <c r="G12" s="133">
        <f>+G11</f>
        <v>0.8095</v>
      </c>
      <c r="I12" s="130">
        <f t="shared" ref="I12:I43" si="1">+I11+$I$8</f>
        <v>15341</v>
      </c>
      <c r="J12" s="100">
        <f t="shared" ref="J12:J43" si="2">(+J11)+(J11*$J$8)</f>
        <v>82491.71312723677</v>
      </c>
      <c r="K12" s="65"/>
      <c r="L12" s="65"/>
      <c r="M12" s="74"/>
      <c r="N12" s="67"/>
      <c r="O12" s="143"/>
      <c r="P12" s="84"/>
      <c r="Q12" s="87"/>
      <c r="R12" s="84"/>
      <c r="S12" s="90"/>
      <c r="T12" s="191"/>
    </row>
    <row r="13" spans="1:20" ht="15.75" customHeight="1" x14ac:dyDescent="0.3">
      <c r="A13">
        <f t="shared" si="0"/>
        <v>2012</v>
      </c>
      <c r="B13" s="64">
        <v>1.984</v>
      </c>
      <c r="C13" s="64">
        <v>2.48</v>
      </c>
      <c r="D13" s="64">
        <v>3.726</v>
      </c>
      <c r="E13" s="64">
        <v>3.726</v>
      </c>
      <c r="F13" s="147">
        <f>(F12*$G$8)+F12</f>
        <v>0.69745000000000001</v>
      </c>
      <c r="G13" s="133">
        <f>(G12*$G$8)+G12</f>
        <v>0.86859350000000002</v>
      </c>
      <c r="I13" s="130">
        <f t="shared" si="1"/>
        <v>15569</v>
      </c>
      <c r="J13" s="100">
        <f t="shared" si="2"/>
        <v>83736.211942363487</v>
      </c>
      <c r="K13" s="65"/>
      <c r="L13" s="65"/>
      <c r="M13" s="74"/>
      <c r="N13" s="67"/>
      <c r="O13" s="143"/>
      <c r="P13" s="84"/>
      <c r="Q13" s="87"/>
      <c r="R13" s="84"/>
      <c r="T13" s="191"/>
    </row>
    <row r="14" spans="1:20" ht="15.75" customHeight="1" x14ac:dyDescent="0.3">
      <c r="A14">
        <f t="shared" si="0"/>
        <v>2013</v>
      </c>
      <c r="B14" s="1">
        <f t="shared" ref="B14:B43" si="3">(B13*$C$8)+B13</f>
        <v>2.2231711999999999</v>
      </c>
      <c r="C14" s="1">
        <f t="shared" ref="C14:C43" si="4">(C13*$C$8)+C13</f>
        <v>2.7789640000000002</v>
      </c>
      <c r="D14" s="1">
        <f>(D13*$E$8)+D13</f>
        <v>4.1751693000000003</v>
      </c>
      <c r="E14" s="1">
        <f>(E13*$E$8)+E13</f>
        <v>4.1751693000000003</v>
      </c>
      <c r="F14" s="148">
        <f>+F13</f>
        <v>0.69745000000000001</v>
      </c>
      <c r="G14" s="134">
        <f>+G13</f>
        <v>0.86859350000000002</v>
      </c>
      <c r="I14" s="130">
        <f t="shared" si="1"/>
        <v>15797</v>
      </c>
      <c r="J14" s="100">
        <f t="shared" si="2"/>
        <v>84999.485701568075</v>
      </c>
      <c r="K14" s="65"/>
      <c r="L14" s="65"/>
      <c r="M14" s="74"/>
      <c r="N14" s="67"/>
      <c r="O14" s="143"/>
      <c r="P14" s="84"/>
      <c r="Q14" s="87"/>
      <c r="R14" s="84"/>
      <c r="T14" s="191"/>
    </row>
    <row r="15" spans="1:20" ht="15.75" customHeight="1" x14ac:dyDescent="0.3">
      <c r="A15">
        <f t="shared" si="0"/>
        <v>2014</v>
      </c>
      <c r="B15" s="1">
        <f t="shared" si="3"/>
        <v>2.49117448816</v>
      </c>
      <c r="C15" s="1">
        <f t="shared" si="4"/>
        <v>3.1139681102000001</v>
      </c>
      <c r="D15" s="1">
        <f t="shared" ref="D15:D78" si="5">(D14*$E$8)+D14</f>
        <v>4.6784859591150001</v>
      </c>
      <c r="E15" s="1">
        <f t="shared" ref="E15:E78" si="6">(E14*$E$8)+E14</f>
        <v>4.6784859591150001</v>
      </c>
      <c r="F15" s="148">
        <f>+F14</f>
        <v>0.69745000000000001</v>
      </c>
      <c r="G15" s="134">
        <f>+G14</f>
        <v>0.86859350000000002</v>
      </c>
      <c r="I15" s="130">
        <f t="shared" si="1"/>
        <v>16025</v>
      </c>
      <c r="J15" s="100">
        <f t="shared" si="2"/>
        <v>86281.817650218742</v>
      </c>
      <c r="K15" s="65"/>
      <c r="L15" s="65"/>
      <c r="M15" s="74"/>
      <c r="N15" s="67"/>
      <c r="O15" s="143"/>
      <c r="P15" s="84"/>
      <c r="Q15" s="87"/>
      <c r="R15" s="84"/>
      <c r="T15" s="191"/>
    </row>
    <row r="16" spans="1:20" ht="15.75" customHeight="1" x14ac:dyDescent="0.3">
      <c r="A16">
        <f t="shared" si="0"/>
        <v>2015</v>
      </c>
      <c r="B16" s="1">
        <f t="shared" si="3"/>
        <v>2.7914855727076882</v>
      </c>
      <c r="C16" s="1">
        <f t="shared" si="4"/>
        <v>3.48935696588461</v>
      </c>
      <c r="D16" s="1">
        <f t="shared" si="5"/>
        <v>5.2424774414863133</v>
      </c>
      <c r="E16" s="1">
        <f t="shared" si="6"/>
        <v>5.2424774414863133</v>
      </c>
      <c r="F16" s="148">
        <f>(F15*$G$8)+F15</f>
        <v>0.74836385000000005</v>
      </c>
      <c r="G16" s="134">
        <f>(G15*$G$8)+G15</f>
        <v>0.93200082550000007</v>
      </c>
      <c r="I16" s="130">
        <f t="shared" si="1"/>
        <v>16253</v>
      </c>
      <c r="J16" s="100">
        <f t="shared" si="2"/>
        <v>87583.495306822326</v>
      </c>
      <c r="K16" s="65"/>
      <c r="L16" s="65"/>
      <c r="M16" s="74"/>
      <c r="N16" s="67"/>
      <c r="O16" s="143"/>
      <c r="P16" s="84"/>
      <c r="Q16" s="87"/>
      <c r="R16" s="84"/>
      <c r="S16" s="90"/>
      <c r="T16" s="191"/>
    </row>
    <row r="17" spans="1:20" ht="15.75" customHeight="1" x14ac:dyDescent="0.3">
      <c r="A17">
        <f t="shared" si="0"/>
        <v>2016</v>
      </c>
      <c r="B17" s="1">
        <f t="shared" si="3"/>
        <v>3.1279991584975999</v>
      </c>
      <c r="C17" s="1">
        <f t="shared" si="4"/>
        <v>3.9099989481219999</v>
      </c>
      <c r="D17" s="1">
        <f t="shared" si="5"/>
        <v>5.874458097057488</v>
      </c>
      <c r="E17" s="1">
        <f t="shared" si="6"/>
        <v>5.874458097057488</v>
      </c>
      <c r="F17" s="148">
        <f>+F16</f>
        <v>0.74836385000000005</v>
      </c>
      <c r="G17" s="134">
        <f>+G16</f>
        <v>0.93200082550000007</v>
      </c>
      <c r="I17" s="130">
        <f t="shared" si="1"/>
        <v>16481</v>
      </c>
      <c r="J17" s="100">
        <f t="shared" si="2"/>
        <v>88904.810527490321</v>
      </c>
      <c r="K17" s="65"/>
      <c r="L17" s="65"/>
      <c r="M17" s="74"/>
      <c r="N17" s="67"/>
      <c r="O17" s="143"/>
      <c r="P17" s="84"/>
      <c r="Q17" s="87"/>
      <c r="R17" s="84"/>
      <c r="S17" s="90"/>
      <c r="T17" s="190"/>
    </row>
    <row r="18" spans="1:20" ht="15.75" customHeight="1" x14ac:dyDescent="0.3">
      <c r="A18">
        <f t="shared" si="0"/>
        <v>2017</v>
      </c>
      <c r="B18" s="1">
        <f t="shared" si="3"/>
        <v>3.5050794570544856</v>
      </c>
      <c r="C18" s="1">
        <f t="shared" si="4"/>
        <v>4.3813493213181074</v>
      </c>
      <c r="D18" s="1">
        <f t="shared" si="5"/>
        <v>6.582624020657768</v>
      </c>
      <c r="E18" s="1">
        <f t="shared" si="6"/>
        <v>6.582624020657768</v>
      </c>
      <c r="F18" s="148">
        <f>+F17</f>
        <v>0.74836385000000005</v>
      </c>
      <c r="G18" s="134">
        <f>+G17</f>
        <v>0.93200082550000007</v>
      </c>
      <c r="I18" s="130">
        <f t="shared" si="1"/>
        <v>16709</v>
      </c>
      <c r="J18" s="100">
        <f t="shared" si="2"/>
        <v>90246.059571377555</v>
      </c>
      <c r="K18" s="65"/>
      <c r="L18" s="65"/>
      <c r="M18" s="74"/>
      <c r="N18" s="67"/>
      <c r="O18" s="143"/>
      <c r="P18" s="85" t="s">
        <v>121</v>
      </c>
      <c r="Q18" s="83" t="s">
        <v>120</v>
      </c>
      <c r="R18" s="85" t="s">
        <v>121</v>
      </c>
      <c r="S18" s="83" t="s">
        <v>120</v>
      </c>
      <c r="T18" s="192"/>
    </row>
    <row r="19" spans="1:20" ht="15.75" customHeight="1" x14ac:dyDescent="0.3">
      <c r="A19" s="69">
        <f t="shared" si="0"/>
        <v>2018</v>
      </c>
      <c r="B19" s="68">
        <f t="shared" si="3"/>
        <v>3.927616785602404</v>
      </c>
      <c r="C19" s="81">
        <f t="shared" si="4"/>
        <v>4.9095209820030057</v>
      </c>
      <c r="D19" s="81">
        <f t="shared" si="5"/>
        <v>7.3761593463480617</v>
      </c>
      <c r="E19" s="81">
        <f t="shared" si="6"/>
        <v>7.3761593463480617</v>
      </c>
      <c r="F19" s="149">
        <f>(F18*$G$8)+F18</f>
        <v>0.80299441105000002</v>
      </c>
      <c r="G19" s="135">
        <f>(G18*$G$8)+G18</f>
        <v>1.0000368857615001</v>
      </c>
      <c r="I19" s="144">
        <f t="shared" si="1"/>
        <v>16937</v>
      </c>
      <c r="J19" s="145">
        <f t="shared" si="2"/>
        <v>91607.543167107986</v>
      </c>
      <c r="K19" s="82">
        <f>(+J19*0.67*B19)+(J19*0.33*C19)</f>
        <v>389482.76847998193</v>
      </c>
      <c r="L19" s="82">
        <f>(+J19*0.67*D19)+(J19*0.33*E19)</f>
        <v>675711.83572804707</v>
      </c>
      <c r="M19" s="74"/>
      <c r="N19" s="82">
        <f t="shared" ref="N19:N50" si="7">(+J19*0.67*F19)+(J19*0.33*G19)</f>
        <v>79517.03558581222</v>
      </c>
      <c r="O19" s="143"/>
      <c r="P19" s="86">
        <f t="shared" ref="P19:P50" si="8">+K19-$N19</f>
        <v>309965.73289416969</v>
      </c>
      <c r="Q19" s="88">
        <f>+P19</f>
        <v>309965.73289416969</v>
      </c>
      <c r="R19" s="86">
        <f t="shared" ref="R19:R50" si="9">+L19-$N19</f>
        <v>596194.80014223489</v>
      </c>
      <c r="S19" s="88">
        <f>+R19</f>
        <v>596194.80014223489</v>
      </c>
      <c r="T19" s="193"/>
    </row>
    <row r="20" spans="1:20" ht="15.75" customHeight="1" x14ac:dyDescent="0.3">
      <c r="A20">
        <f t="shared" si="0"/>
        <v>2019</v>
      </c>
      <c r="B20" s="1">
        <f t="shared" si="3"/>
        <v>4.4010909891067742</v>
      </c>
      <c r="C20" s="1">
        <f t="shared" si="4"/>
        <v>5.5013637363834684</v>
      </c>
      <c r="D20" s="1">
        <f t="shared" si="5"/>
        <v>8.2653553555503212</v>
      </c>
      <c r="E20" s="1">
        <f t="shared" si="6"/>
        <v>8.2653553555503212</v>
      </c>
      <c r="F20" s="148">
        <f>+F19</f>
        <v>0.80299441105000002</v>
      </c>
      <c r="G20" s="134">
        <f>+G19</f>
        <v>1.0000368857615001</v>
      </c>
      <c r="I20" s="130">
        <f t="shared" si="1"/>
        <v>17165</v>
      </c>
      <c r="J20" s="100">
        <f t="shared" si="2"/>
        <v>92989.566580202707</v>
      </c>
      <c r="K20" s="65">
        <f>(+(0.67*B20*(K$8)+(K$8*'Rate Projection'!$J$8))+(0.33*C20*(K$8)+K$8*'Rate Projection'!$J$8))</f>
        <v>383826.02449566044</v>
      </c>
      <c r="L20" s="65">
        <f>(+(0.67*D20*(L$8)+(L$8*'Rate Projection'!$J$8))+(0.33*E20*(L$8)+L$8*'Rate Projection'!$J$8))</f>
        <v>664122.79047841462</v>
      </c>
      <c r="M20" s="74"/>
      <c r="N20" s="67">
        <f t="shared" si="7"/>
        <v>80716.657375897921</v>
      </c>
      <c r="O20" s="143"/>
      <c r="P20" s="84">
        <f t="shared" si="8"/>
        <v>303109.36711976252</v>
      </c>
      <c r="Q20" s="89">
        <f>+Q19+P20</f>
        <v>613075.10001393221</v>
      </c>
      <c r="R20" s="84">
        <f t="shared" si="9"/>
        <v>583406.13310251664</v>
      </c>
      <c r="S20" s="89">
        <f>+S19+R20</f>
        <v>1179600.9332447515</v>
      </c>
      <c r="T20" s="194"/>
    </row>
    <row r="21" spans="1:20" ht="15.75" customHeight="1" x14ac:dyDescent="0.3">
      <c r="A21">
        <f t="shared" si="0"/>
        <v>2020</v>
      </c>
      <c r="B21" s="1">
        <f t="shared" si="3"/>
        <v>4.9316425078435957</v>
      </c>
      <c r="C21" s="1">
        <f t="shared" si="4"/>
        <v>6.1645531348044953</v>
      </c>
      <c r="D21" s="1">
        <f t="shared" si="5"/>
        <v>9.2617439436619122</v>
      </c>
      <c r="E21" s="1">
        <f t="shared" si="6"/>
        <v>9.2617439436619122</v>
      </c>
      <c r="F21" s="148">
        <f>+F20</f>
        <v>0.80299441105000002</v>
      </c>
      <c r="G21" s="134">
        <f>+G20</f>
        <v>1.0000368857615001</v>
      </c>
      <c r="I21" s="130">
        <f t="shared" si="1"/>
        <v>17393</v>
      </c>
      <c r="J21" s="100">
        <f t="shared" si="2"/>
        <v>94392.439681525153</v>
      </c>
      <c r="K21" s="65">
        <f>(+(0.67*B21*(K$8)+(K$8*'Rate Projection'!$J$8))+(0.33*C21*(K$8)+K$8*'Rate Projection'!$J$8))</f>
        <v>429805.05553562846</v>
      </c>
      <c r="L21" s="65">
        <f>(+(0.67*D21*(L$8)+(L$8*'Rate Projection'!$J$8))+(0.33*E21*(L$8)+L$8*'Rate Projection'!$J$8))</f>
        <v>743891.59665760363</v>
      </c>
      <c r="M21" s="74"/>
      <c r="N21" s="67">
        <f t="shared" si="7"/>
        <v>81934.377079577171</v>
      </c>
      <c r="O21" s="143"/>
      <c r="P21" s="84">
        <f t="shared" si="8"/>
        <v>347870.67845605128</v>
      </c>
      <c r="Q21" s="89">
        <f t="shared" ref="Q21:S84" si="10">+Q20+P21</f>
        <v>960945.77846998349</v>
      </c>
      <c r="R21" s="84">
        <f t="shared" si="9"/>
        <v>661957.21957802644</v>
      </c>
      <c r="S21" s="89">
        <f t="shared" si="10"/>
        <v>1841558.1528227781</v>
      </c>
      <c r="T21" s="194"/>
    </row>
    <row r="22" spans="1:20" ht="15.75" customHeight="1" x14ac:dyDescent="0.3">
      <c r="A22">
        <f t="shared" si="0"/>
        <v>2021</v>
      </c>
      <c r="B22" s="1">
        <f t="shared" si="3"/>
        <v>5.5261520121641414</v>
      </c>
      <c r="C22" s="1">
        <f t="shared" si="4"/>
        <v>6.9076900152051772</v>
      </c>
      <c r="D22" s="1">
        <f t="shared" si="5"/>
        <v>10.378247176070357</v>
      </c>
      <c r="E22" s="1">
        <f t="shared" si="6"/>
        <v>10.378247176070357</v>
      </c>
      <c r="F22" s="148">
        <f>(F21*$G$8)+F21</f>
        <v>0.86161300305665001</v>
      </c>
      <c r="G22" s="134">
        <f>(G21*$G$8)+G21</f>
        <v>1.0730395784220896</v>
      </c>
      <c r="I22" s="130">
        <f t="shared" si="1"/>
        <v>17621</v>
      </c>
      <c r="J22" s="100">
        <f t="shared" si="2"/>
        <v>95816.477016758901</v>
      </c>
      <c r="K22" s="65">
        <f>(+(0.67*B22*(K$8)+(K$8*'Rate Projection'!$J$8))+(0.33*C22*(K$8)+K$8*'Rate Projection'!$J$8))</f>
        <v>481326.85876746452</v>
      </c>
      <c r="L22" s="65">
        <f>(+(0.67*D22*(L$8)+(L$8*'Rate Projection'!$J$8))+(0.33*E22*(L$8)+L$8*'Rate Projection'!$J$8))</f>
        <v>833276.53242169367</v>
      </c>
      <c r="M22" s="74"/>
      <c r="N22" s="67">
        <f t="shared" si="7"/>
        <v>89241.911872465571</v>
      </c>
      <c r="O22" s="143"/>
      <c r="P22" s="84">
        <f t="shared" si="8"/>
        <v>392084.94689499895</v>
      </c>
      <c r="Q22" s="89">
        <f t="shared" si="10"/>
        <v>1353030.7253649824</v>
      </c>
      <c r="R22" s="84">
        <f t="shared" si="9"/>
        <v>744034.62054922804</v>
      </c>
      <c r="S22" s="89">
        <f t="shared" si="10"/>
        <v>2585592.7733720061</v>
      </c>
      <c r="T22" s="194"/>
    </row>
    <row r="23" spans="1:20" ht="15.75" customHeight="1" x14ac:dyDescent="0.3">
      <c r="A23">
        <f t="shared" si="0"/>
        <v>2022</v>
      </c>
      <c r="B23" s="1">
        <f t="shared" si="3"/>
        <v>6.1923296372305288</v>
      </c>
      <c r="C23" s="1">
        <f t="shared" si="4"/>
        <v>7.740412046538161</v>
      </c>
      <c r="D23" s="1">
        <f t="shared" si="5"/>
        <v>11.629344873145637</v>
      </c>
      <c r="E23" s="1">
        <f t="shared" si="6"/>
        <v>11.629344873145637</v>
      </c>
      <c r="F23" s="148">
        <f>+F22</f>
        <v>0.86161300305665001</v>
      </c>
      <c r="G23" s="134">
        <f>+G22</f>
        <v>1.0730395784220896</v>
      </c>
      <c r="I23" s="130">
        <f t="shared" si="1"/>
        <v>17849</v>
      </c>
      <c r="J23" s="100">
        <f t="shared" si="2"/>
        <v>97261.997876933659</v>
      </c>
      <c r="K23" s="65">
        <f>(+(0.67*B23*(K$8)+(K$8*'Rate Projection'!$J$8))+(0.33*C23*(K$8)+K$8*'Rate Projection'!$J$8))</f>
        <v>539059.61537889857</v>
      </c>
      <c r="L23" s="65">
        <f>(+(0.67*D23*(L$8)+(L$8*'Rate Projection'!$J$8))+(0.33*E23*(L$8)+L$8*'Rate Projection'!$J$8))</f>
        <v>933436.82219214505</v>
      </c>
      <c r="M23" s="74"/>
      <c r="N23" s="67">
        <f t="shared" si="7"/>
        <v>90588.246545060174</v>
      </c>
      <c r="O23" s="143"/>
      <c r="P23" s="84">
        <f t="shared" si="8"/>
        <v>448471.36883383838</v>
      </c>
      <c r="Q23" s="89">
        <f t="shared" si="10"/>
        <v>1801502.0941988206</v>
      </c>
      <c r="R23" s="84">
        <f t="shared" si="9"/>
        <v>842848.57564708486</v>
      </c>
      <c r="S23" s="89">
        <f t="shared" si="10"/>
        <v>3428441.3490190911</v>
      </c>
      <c r="T23" s="194"/>
    </row>
    <row r="24" spans="1:20" ht="15.75" customHeight="1" x14ac:dyDescent="0.3">
      <c r="A24">
        <f t="shared" si="0"/>
        <v>2023</v>
      </c>
      <c r="B24" s="1">
        <f t="shared" si="3"/>
        <v>6.9388149749986692</v>
      </c>
      <c r="C24" s="1">
        <f t="shared" si="4"/>
        <v>8.6735187187483369</v>
      </c>
      <c r="D24" s="1">
        <f t="shared" si="5"/>
        <v>13.031262397603344</v>
      </c>
      <c r="E24" s="1">
        <f t="shared" si="6"/>
        <v>13.031262397603344</v>
      </c>
      <c r="F24" s="148">
        <f>+F23</f>
        <v>0.86161300305665001</v>
      </c>
      <c r="G24" s="134">
        <f>+G23</f>
        <v>1.0730395784220896</v>
      </c>
      <c r="I24" s="130">
        <f t="shared" si="1"/>
        <v>18077</v>
      </c>
      <c r="J24" s="100">
        <f t="shared" si="2"/>
        <v>98729.326370015173</v>
      </c>
      <c r="K24" s="65">
        <f>(+(0.67*B24*(K$8)+(K$8*'Rate Projection'!$J$8))+(0.33*C24*(K$8)+K$8*'Rate Projection'!$J$8))</f>
        <v>603752.05579984072</v>
      </c>
      <c r="L24" s="65">
        <f>(+(0.67*D24*(L$8)+(L$8*'Rate Projection'!$J$8))+(0.33*E24*(L$8)+L$8*'Rate Projection'!$J$8))</f>
        <v>1045671.4348944242</v>
      </c>
      <c r="M24" s="74"/>
      <c r="N24" s="67">
        <f t="shared" si="7"/>
        <v>91954.892493070074</v>
      </c>
      <c r="O24" s="143"/>
      <c r="P24" s="84">
        <f t="shared" si="8"/>
        <v>511797.16330677061</v>
      </c>
      <c r="Q24" s="89">
        <f t="shared" si="10"/>
        <v>2313299.257505591</v>
      </c>
      <c r="R24" s="84">
        <f t="shared" si="9"/>
        <v>953716.54240135406</v>
      </c>
      <c r="S24" s="89">
        <f t="shared" si="10"/>
        <v>4382157.8914204454</v>
      </c>
      <c r="T24" s="194"/>
    </row>
    <row r="25" spans="1:20" ht="15.75" customHeight="1" x14ac:dyDescent="0.3">
      <c r="A25">
        <f t="shared" si="0"/>
        <v>2024</v>
      </c>
      <c r="B25" s="1">
        <f t="shared" si="3"/>
        <v>7.7752891202347589</v>
      </c>
      <c r="C25" s="1">
        <f t="shared" si="4"/>
        <v>9.7191114002934498</v>
      </c>
      <c r="D25" s="1">
        <f t="shared" si="5"/>
        <v>14.602181079634427</v>
      </c>
      <c r="E25" s="1">
        <f t="shared" si="6"/>
        <v>14.602181079634427</v>
      </c>
      <c r="F25" s="148">
        <f>(F24*$G$8)+F24</f>
        <v>0.92451075227978541</v>
      </c>
      <c r="G25" s="134">
        <f>(G24*$G$8)+G24</f>
        <v>1.1513714676469022</v>
      </c>
      <c r="I25" s="130">
        <f t="shared" si="1"/>
        <v>18305</v>
      </c>
      <c r="J25" s="100">
        <f t="shared" si="2"/>
        <v>100218.79149357525</v>
      </c>
      <c r="K25" s="65">
        <f>(+(0.67*B25*(K$8)+(K$8*'Rate Projection'!$J$8))+(0.33*C25*(K$8)+K$8*'Rate Projection'!$J$8))</f>
        <v>676243.16991352767</v>
      </c>
      <c r="L25" s="65">
        <f>(+(0.67*D25*(L$8)+(L$8*'Rate Projection'!$J$8))+(0.33*E25*(L$8)+L$8*'Rate Projection'!$J$8))</f>
        <v>1171435.930157963</v>
      </c>
      <c r="M25" s="74"/>
      <c r="N25" s="67">
        <f t="shared" si="7"/>
        <v>100156.13353767815</v>
      </c>
      <c r="O25" s="143"/>
      <c r="P25" s="84">
        <f t="shared" si="8"/>
        <v>576087.03637584951</v>
      </c>
      <c r="Q25" s="89">
        <f t="shared" si="10"/>
        <v>2889386.2938814405</v>
      </c>
      <c r="R25" s="84">
        <f t="shared" si="9"/>
        <v>1071279.7966202849</v>
      </c>
      <c r="S25" s="89">
        <f t="shared" si="10"/>
        <v>5453437.6880407305</v>
      </c>
      <c r="T25" s="194"/>
    </row>
    <row r="26" spans="1:20" ht="15.75" customHeight="1" x14ac:dyDescent="0.3">
      <c r="A26">
        <f t="shared" si="0"/>
        <v>2025</v>
      </c>
      <c r="B26" s="1">
        <f t="shared" si="3"/>
        <v>8.7126002236790594</v>
      </c>
      <c r="C26" s="1">
        <f t="shared" si="4"/>
        <v>10.890750279598825</v>
      </c>
      <c r="D26" s="1">
        <f t="shared" si="5"/>
        <v>16.362474008784357</v>
      </c>
      <c r="E26" s="1">
        <f t="shared" si="6"/>
        <v>16.362474008784357</v>
      </c>
      <c r="F26" s="148">
        <f>+F25</f>
        <v>0.92451075227978541</v>
      </c>
      <c r="G26" s="134">
        <f>+G25</f>
        <v>1.1513714676469022</v>
      </c>
      <c r="I26" s="130">
        <f t="shared" si="1"/>
        <v>18533</v>
      </c>
      <c r="J26" s="100">
        <f t="shared" si="2"/>
        <v>101730.72720855806</v>
      </c>
      <c r="K26" s="65">
        <f>(+(0.67*B26*(K$8)+(K$8*'Rate Projection'!$J$8))+(0.33*C26*(K$8)+K$8*'Rate Projection'!$J$8))</f>
        <v>757473.08783361968</v>
      </c>
      <c r="L26" s="65">
        <f>(+(0.67*D26*(L$8)+(L$8*'Rate Projection'!$J$8))+(0.33*E26*(L$8)+L$8*'Rate Projection'!$J$8))</f>
        <v>1312361.3353255214</v>
      </c>
      <c r="M26" s="74"/>
      <c r="N26" s="67">
        <f t="shared" si="7"/>
        <v>101667.12397283933</v>
      </c>
      <c r="O26" s="143"/>
      <c r="P26" s="84">
        <f t="shared" si="8"/>
        <v>655805.96386078035</v>
      </c>
      <c r="Q26" s="89">
        <f t="shared" si="10"/>
        <v>3545192.257742221</v>
      </c>
      <c r="R26" s="84">
        <f t="shared" si="9"/>
        <v>1210694.2113526822</v>
      </c>
      <c r="S26" s="89">
        <f t="shared" si="10"/>
        <v>6664131.8993934132</v>
      </c>
      <c r="T26" s="194"/>
    </row>
    <row r="27" spans="1:20" ht="15.75" customHeight="1" x14ac:dyDescent="0.3">
      <c r="A27">
        <f t="shared" si="0"/>
        <v>2026</v>
      </c>
      <c r="B27" s="1">
        <f t="shared" si="3"/>
        <v>9.7629041806435701</v>
      </c>
      <c r="C27" s="1">
        <f t="shared" si="4"/>
        <v>12.203630225804464</v>
      </c>
      <c r="D27" s="1">
        <f t="shared" si="5"/>
        <v>18.334970250543311</v>
      </c>
      <c r="E27" s="1">
        <f t="shared" si="6"/>
        <v>18.334970250543311</v>
      </c>
      <c r="F27" s="148">
        <f>+F26</f>
        <v>0.92451075227978541</v>
      </c>
      <c r="G27" s="134">
        <f>+G26</f>
        <v>1.1513714676469022</v>
      </c>
      <c r="I27" s="130">
        <f t="shared" si="1"/>
        <v>18761</v>
      </c>
      <c r="J27" s="100">
        <f t="shared" si="2"/>
        <v>103265.47251415928</v>
      </c>
      <c r="K27" s="65">
        <f>(+(0.67*B27*(K$8)+(K$8*'Rate Projection'!$J$8))+(0.33*C27*(K$8)+K$8*'Rate Projection'!$J$8))</f>
        <v>848495.2723589784</v>
      </c>
      <c r="L27" s="65">
        <f>(+(0.67*D27*(L$8)+(L$8*'Rate Projection'!$J$8))+(0.33*E27*(L$8)+L$8*'Rate Projection'!$J$8))</f>
        <v>1470275.2980860292</v>
      </c>
      <c r="M27" s="74"/>
      <c r="N27" s="67">
        <f t="shared" si="7"/>
        <v>103200.90973779713</v>
      </c>
      <c r="O27" s="143"/>
      <c r="P27" s="84">
        <f t="shared" si="8"/>
        <v>745294.3626211813</v>
      </c>
      <c r="Q27" s="89">
        <f t="shared" si="10"/>
        <v>4290486.6203634022</v>
      </c>
      <c r="R27" s="84">
        <f t="shared" si="9"/>
        <v>1367074.388348232</v>
      </c>
      <c r="S27" s="89">
        <f t="shared" si="10"/>
        <v>8031206.2877416452</v>
      </c>
      <c r="T27" s="194"/>
    </row>
    <row r="28" spans="1:20" ht="15.75" customHeight="1" x14ac:dyDescent="0.3">
      <c r="A28">
        <f t="shared" si="0"/>
        <v>2027</v>
      </c>
      <c r="B28" s="1">
        <f t="shared" si="3"/>
        <v>10.939822279620152</v>
      </c>
      <c r="C28" s="1">
        <f t="shared" si="4"/>
        <v>13.674777849525192</v>
      </c>
      <c r="D28" s="1">
        <f t="shared" si="5"/>
        <v>20.545250914246306</v>
      </c>
      <c r="E28" s="1">
        <f t="shared" si="6"/>
        <v>20.545250914246306</v>
      </c>
      <c r="F28" s="148">
        <f>(F27*$G$8)+F27</f>
        <v>0.99200003719620977</v>
      </c>
      <c r="G28" s="134">
        <f>(G27*$G$8)+G27</f>
        <v>1.2354215847851262</v>
      </c>
      <c r="I28" s="130">
        <f t="shared" si="1"/>
        <v>18989</v>
      </c>
      <c r="J28" s="100">
        <f t="shared" si="2"/>
        <v>104823.37152383494</v>
      </c>
      <c r="K28" s="65">
        <f>(+(0.67*B28*(K$8)+(K$8*'Rate Projection'!$J$8))+(0.33*C28*(K$8)+K$8*'Rate Projection'!$J$8))</f>
        <v>950490.18122886936</v>
      </c>
      <c r="L28" s="65">
        <f>(+(0.67*D28*(L$8)+(L$8*'Rate Projection'!$J$8))+(0.33*E28*(L$8)+L$8*'Rate Projection'!$J$8))</f>
        <v>1647225.7890573163</v>
      </c>
      <c r="M28" s="74"/>
      <c r="N28" s="67">
        <f t="shared" si="7"/>
        <v>112405.15666621692</v>
      </c>
      <c r="O28" s="143"/>
      <c r="P28" s="84">
        <f t="shared" si="8"/>
        <v>838085.02456265246</v>
      </c>
      <c r="Q28" s="89">
        <f t="shared" si="10"/>
        <v>5128571.6449260544</v>
      </c>
      <c r="R28" s="84">
        <f t="shared" si="9"/>
        <v>1534820.6323910994</v>
      </c>
      <c r="S28" s="89">
        <f t="shared" si="10"/>
        <v>9566026.9201327451</v>
      </c>
      <c r="T28" s="194"/>
    </row>
    <row r="29" spans="1:20" ht="15.75" customHeight="1" x14ac:dyDescent="0.3">
      <c r="A29">
        <f t="shared" si="0"/>
        <v>2028</v>
      </c>
      <c r="B29" s="1">
        <f t="shared" si="3"/>
        <v>12.258617855428362</v>
      </c>
      <c r="C29" s="1">
        <f t="shared" si="4"/>
        <v>15.323272319285454</v>
      </c>
      <c r="D29" s="1">
        <f t="shared" si="5"/>
        <v>23.0219809119587</v>
      </c>
      <c r="E29" s="1">
        <f t="shared" si="6"/>
        <v>23.0219809119587</v>
      </c>
      <c r="F29" s="148">
        <f>+F28</f>
        <v>0.99200003719620977</v>
      </c>
      <c r="G29" s="134">
        <f>+G28</f>
        <v>1.2354215847851262</v>
      </c>
      <c r="I29" s="130">
        <f t="shared" si="1"/>
        <v>19217</v>
      </c>
      <c r="J29" s="100">
        <f t="shared" si="2"/>
        <v>106404.77354245694</v>
      </c>
      <c r="K29" s="65">
        <f>(+(0.67*B29*(K$8)+(K$8*'Rate Projection'!$J$8))+(0.33*C29*(K$8)+K$8*'Rate Projection'!$J$8))</f>
        <v>1064780.5763630257</v>
      </c>
      <c r="L29" s="65">
        <f>(+(0.67*D29*(L$8)+(L$8*'Rate Projection'!$J$8))+(0.33*E29*(L$8)+L$8*'Rate Projection'!$J$8))</f>
        <v>1845507.6617151918</v>
      </c>
      <c r="M29" s="74"/>
      <c r="N29" s="67">
        <f t="shared" si="7"/>
        <v>114100.94014533407</v>
      </c>
      <c r="O29" s="143"/>
      <c r="P29" s="84">
        <f t="shared" si="8"/>
        <v>950679.63621769159</v>
      </c>
      <c r="Q29" s="89">
        <f t="shared" si="10"/>
        <v>6079251.2811437463</v>
      </c>
      <c r="R29" s="84">
        <f t="shared" si="9"/>
        <v>1731406.7215698578</v>
      </c>
      <c r="S29" s="91">
        <f t="shared" si="10"/>
        <v>11297433.641702604</v>
      </c>
      <c r="T29" s="195"/>
    </row>
    <row r="30" spans="1:20" ht="15.75" customHeight="1" x14ac:dyDescent="0.3">
      <c r="A30">
        <f t="shared" si="0"/>
        <v>2029</v>
      </c>
      <c r="B30" s="1">
        <f t="shared" si="3"/>
        <v>13.736394237900251</v>
      </c>
      <c r="C30" s="1">
        <f t="shared" si="4"/>
        <v>17.170492797375317</v>
      </c>
      <c r="D30" s="1">
        <f t="shared" si="5"/>
        <v>25.797280710895322</v>
      </c>
      <c r="E30" s="1">
        <f t="shared" si="6"/>
        <v>25.797280710895322</v>
      </c>
      <c r="F30" s="148">
        <f>+F29</f>
        <v>0.99200003719620977</v>
      </c>
      <c r="G30" s="134">
        <f>+G29</f>
        <v>1.2354215847851262</v>
      </c>
      <c r="I30" s="130">
        <f t="shared" si="1"/>
        <v>19445</v>
      </c>
      <c r="J30" s="100">
        <f t="shared" si="2"/>
        <v>108010.03314463256</v>
      </c>
      <c r="K30" s="65">
        <f>(+(0.67*B30*(K$8)+(K$8*'Rate Projection'!$J$8))+(0.33*C30*(K$8)+K$8*'Rate Projection'!$J$8))</f>
        <v>1192848.6786306046</v>
      </c>
      <c r="L30" s="65">
        <f>(+(0.67*D30*(L$8)+(L$8*'Rate Projection'!$J$8))+(0.33*E30*(L$8)+L$8*'Rate Projection'!$J$8))</f>
        <v>2067692.4141219743</v>
      </c>
      <c r="M30" s="74"/>
      <c r="N30" s="67">
        <f t="shared" si="7"/>
        <v>115822.30680669425</v>
      </c>
      <c r="O30" s="143"/>
      <c r="P30" s="84">
        <f t="shared" si="8"/>
        <v>1077026.3718239104</v>
      </c>
      <c r="Q30" s="89">
        <f t="shared" si="10"/>
        <v>7156277.652967657</v>
      </c>
      <c r="R30" s="84">
        <f t="shared" si="9"/>
        <v>1951870.10731528</v>
      </c>
      <c r="S30" s="89">
        <f t="shared" si="10"/>
        <v>13249303.749017883</v>
      </c>
      <c r="T30" s="194"/>
    </row>
    <row r="31" spans="1:20" ht="15.75" customHeight="1" x14ac:dyDescent="0.3">
      <c r="A31">
        <f t="shared" si="0"/>
        <v>2030</v>
      </c>
      <c r="B31" s="1">
        <f t="shared" si="3"/>
        <v>15.392316563279127</v>
      </c>
      <c r="C31" s="1">
        <f t="shared" si="4"/>
        <v>19.240395704098912</v>
      </c>
      <c r="D31" s="1">
        <f t="shared" si="5"/>
        <v>28.907142900593755</v>
      </c>
      <c r="E31" s="1">
        <f t="shared" si="6"/>
        <v>28.907142900593755</v>
      </c>
      <c r="F31" s="148">
        <f>(F30*$G$8)+F30</f>
        <v>1.064416039911533</v>
      </c>
      <c r="G31" s="134">
        <f>(G30*$G$8)+G30</f>
        <v>1.3256073604744405</v>
      </c>
      <c r="I31" s="130">
        <f t="shared" si="1"/>
        <v>19673</v>
      </c>
      <c r="J31" s="100">
        <f t="shared" si="2"/>
        <v>109639.51025420552</v>
      </c>
      <c r="K31" s="65">
        <f>(+(0.67*B31*(K$8)+(K$8*'Rate Projection'!$J$8))+(0.33*C31*(K$8)+K$8*'Rate Projection'!$J$8))</f>
        <v>1336355.3906265402</v>
      </c>
      <c r="L31" s="65">
        <f>(+(0.67*D31*(L$8)+(L$8*'Rate Projection'!$J$8))+(0.33*E31*(L$8)+L$8*'Rate Projection'!$J$8))</f>
        <v>2316661.5384313944</v>
      </c>
      <c r="M31" s="74"/>
      <c r="N31" s="67">
        <f t="shared" si="7"/>
        <v>126152.22651744628</v>
      </c>
      <c r="O31" s="143"/>
      <c r="P31" s="84">
        <f t="shared" si="8"/>
        <v>1210203.1641090938</v>
      </c>
      <c r="Q31" s="89">
        <f t="shared" si="10"/>
        <v>8366480.817076751</v>
      </c>
      <c r="R31" s="84">
        <f t="shared" si="9"/>
        <v>2190509.311913948</v>
      </c>
      <c r="S31" s="89">
        <f t="shared" si="10"/>
        <v>15439813.060931832</v>
      </c>
      <c r="T31" s="194"/>
    </row>
    <row r="32" spans="1:20" ht="15.75" customHeight="1" x14ac:dyDescent="0.3">
      <c r="A32">
        <f t="shared" si="0"/>
        <v>2031</v>
      </c>
      <c r="B32" s="1">
        <f t="shared" si="3"/>
        <v>17.247860324982426</v>
      </c>
      <c r="C32" s="1">
        <f t="shared" si="4"/>
        <v>21.559825406228036</v>
      </c>
      <c r="D32" s="1">
        <f t="shared" si="5"/>
        <v>32.391898977260333</v>
      </c>
      <c r="E32" s="1">
        <f t="shared" si="6"/>
        <v>32.391898977260333</v>
      </c>
      <c r="F32" s="148">
        <f>+F31</f>
        <v>1.064416039911533</v>
      </c>
      <c r="G32" s="134">
        <f>+G31</f>
        <v>1.3256073604744405</v>
      </c>
      <c r="I32" s="130">
        <f t="shared" si="1"/>
        <v>19901</v>
      </c>
      <c r="J32" s="100">
        <f t="shared" si="2"/>
        <v>111293.57022495646</v>
      </c>
      <c r="K32" s="65">
        <f>(+(0.67*B32*(K$8)+(K$8*'Rate Projection'!$J$8))+(0.33*C32*(K$8)+K$8*'Rate Projection'!$J$8))</f>
        <v>1497161.8367535856</v>
      </c>
      <c r="L32" s="65">
        <f>(+(0.67*D32*(L$8)+(L$8*'Rate Projection'!$J$8))+(0.33*E32*(L$8)+L$8*'Rate Projection'!$J$8))</f>
        <v>2595643.8906763154</v>
      </c>
      <c r="M32" s="74"/>
      <c r="N32" s="67">
        <f t="shared" si="7"/>
        <v>128055.4030969459</v>
      </c>
      <c r="O32" s="143"/>
      <c r="P32" s="84">
        <f t="shared" si="8"/>
        <v>1369106.4336566397</v>
      </c>
      <c r="Q32" s="89">
        <f t="shared" si="10"/>
        <v>9735587.2507333905</v>
      </c>
      <c r="R32" s="84">
        <f t="shared" si="9"/>
        <v>2467588.4875793695</v>
      </c>
      <c r="S32" s="89">
        <f t="shared" si="10"/>
        <v>17907401.5485112</v>
      </c>
      <c r="T32" s="194"/>
    </row>
    <row r="33" spans="1:20" ht="15.75" customHeight="1" x14ac:dyDescent="0.3">
      <c r="A33">
        <f t="shared" si="0"/>
        <v>2032</v>
      </c>
      <c r="B33" s="1">
        <f t="shared" si="3"/>
        <v>19.327089887159058</v>
      </c>
      <c r="C33" s="1">
        <f t="shared" si="4"/>
        <v>24.158862358948827</v>
      </c>
      <c r="D33" s="1">
        <f t="shared" si="5"/>
        <v>36.296742398969066</v>
      </c>
      <c r="E33" s="1">
        <f t="shared" si="6"/>
        <v>36.296742398969066</v>
      </c>
      <c r="F33" s="148">
        <f>+F32</f>
        <v>1.064416039911533</v>
      </c>
      <c r="G33" s="134">
        <f>+G32</f>
        <v>1.3256073604744405</v>
      </c>
      <c r="I33" s="130">
        <f t="shared" si="1"/>
        <v>20129</v>
      </c>
      <c r="J33" s="100">
        <f t="shared" si="2"/>
        <v>112972.58392252082</v>
      </c>
      <c r="K33" s="65">
        <f>(+(0.67*B33*(K$8)+(K$8*'Rate Projection'!$J$8))+(0.33*C33*(K$8)+K$8*'Rate Projection'!$J$8))</f>
        <v>1677353.4999612465</v>
      </c>
      <c r="L33" s="65">
        <f>(+(0.67*D33*(L$8)+(L$8*'Rate Projection'!$J$8))+(0.33*E33*(L$8)+L$8*'Rate Projection'!$J$8))</f>
        <v>2908257.5654843613</v>
      </c>
      <c r="M33" s="74"/>
      <c r="N33" s="67">
        <f t="shared" si="7"/>
        <v>129987.29166348488</v>
      </c>
      <c r="O33" s="143"/>
      <c r="P33" s="84">
        <f t="shared" si="8"/>
        <v>1547366.2082977616</v>
      </c>
      <c r="Q33" s="91">
        <f t="shared" si="10"/>
        <v>11282953.459031152</v>
      </c>
      <c r="R33" s="84">
        <f t="shared" si="9"/>
        <v>2778270.2738208761</v>
      </c>
      <c r="S33" s="89">
        <f t="shared" si="10"/>
        <v>20685671.822332077</v>
      </c>
      <c r="T33" s="194"/>
    </row>
    <row r="34" spans="1:20" ht="15.75" customHeight="1" x14ac:dyDescent="0.3">
      <c r="A34">
        <f t="shared" si="0"/>
        <v>2033</v>
      </c>
      <c r="B34" s="1">
        <f t="shared" si="3"/>
        <v>21.656970573056082</v>
      </c>
      <c r="C34" s="1">
        <f t="shared" si="4"/>
        <v>27.071213216320107</v>
      </c>
      <c r="D34" s="1">
        <f t="shared" si="5"/>
        <v>40.672314695164786</v>
      </c>
      <c r="E34" s="1">
        <f t="shared" si="6"/>
        <v>40.672314695164786</v>
      </c>
      <c r="F34" s="148">
        <f>(F33*$G$8)+F33</f>
        <v>1.1421184108250748</v>
      </c>
      <c r="G34" s="134">
        <f>(G33*$G$8)+G33</f>
        <v>1.4223766977890746</v>
      </c>
      <c r="I34" s="130">
        <f t="shared" si="1"/>
        <v>20357</v>
      </c>
      <c r="J34" s="100">
        <f t="shared" si="2"/>
        <v>114676.92780754264</v>
      </c>
      <c r="K34" s="65">
        <f>(+(0.67*B34*(K$8)+(K$8*'Rate Projection'!$J$8))+(0.33*C34*(K$8)+K$8*'Rate Projection'!$J$8))</f>
        <v>1879267.2681685905</v>
      </c>
      <c r="L34" s="65">
        <f>(+(0.67*D34*(L$8)+(L$8*'Rate Projection'!$J$8))+(0.33*E34*(L$8)+L$8*'Rate Projection'!$J$8))</f>
        <v>3258556.8187905168</v>
      </c>
      <c r="M34" s="74"/>
      <c r="N34" s="67">
        <f t="shared" si="7"/>
        <v>141580.55312859238</v>
      </c>
      <c r="O34" s="143"/>
      <c r="P34" s="84">
        <f t="shared" si="8"/>
        <v>1737686.7150399981</v>
      </c>
      <c r="Q34" s="89">
        <f t="shared" si="10"/>
        <v>13020640.17407115</v>
      </c>
      <c r="R34" s="84">
        <f t="shared" si="9"/>
        <v>3116976.2656619246</v>
      </c>
      <c r="S34" s="89">
        <f t="shared" si="10"/>
        <v>23802648.087994002</v>
      </c>
      <c r="T34" s="194"/>
    </row>
    <row r="35" spans="1:20" ht="15.75" customHeight="1" x14ac:dyDescent="0.3">
      <c r="A35">
        <f t="shared" si="0"/>
        <v>2034</v>
      </c>
      <c r="B35" s="1">
        <f t="shared" si="3"/>
        <v>24.267718375637994</v>
      </c>
      <c r="C35" s="1">
        <f t="shared" si="4"/>
        <v>30.334647969547497</v>
      </c>
      <c r="D35" s="1">
        <f t="shared" si="5"/>
        <v>45.575362231666901</v>
      </c>
      <c r="E35" s="1">
        <f t="shared" si="6"/>
        <v>45.575362231666901</v>
      </c>
      <c r="F35" s="148">
        <f>+F34</f>
        <v>1.1421184108250748</v>
      </c>
      <c r="G35" s="134">
        <f>+G34</f>
        <v>1.4223766977890746</v>
      </c>
      <c r="I35" s="130">
        <f t="shared" si="1"/>
        <v>20585</v>
      </c>
      <c r="J35" s="100">
        <f t="shared" si="2"/>
        <v>116406.98402008282</v>
      </c>
      <c r="K35" s="65">
        <f>(+(0.67*B35*(K$8)+(K$8*'Rate Projection'!$J$8))+(0.33*C35*(K$8)+K$8*'Rate Projection'!$J$8))</f>
        <v>2105521.7411333304</v>
      </c>
      <c r="L35" s="65">
        <f>(+(0.67*D35*(L$8)+(L$8*'Rate Projection'!$J$8))+(0.33*E35*(L$8)+L$8*'Rate Projection'!$J$8))</f>
        <v>3651084.6470827293</v>
      </c>
      <c r="M35" s="74"/>
      <c r="N35" s="67">
        <f t="shared" si="7"/>
        <v>143716.48683555453</v>
      </c>
      <c r="O35" s="143"/>
      <c r="P35" s="84">
        <f t="shared" si="8"/>
        <v>1961805.2542977759</v>
      </c>
      <c r="Q35" s="89">
        <f t="shared" si="10"/>
        <v>14982445.428368926</v>
      </c>
      <c r="R35" s="84">
        <f t="shared" si="9"/>
        <v>3507368.1602471746</v>
      </c>
      <c r="S35" s="89">
        <f t="shared" si="10"/>
        <v>27310016.248241175</v>
      </c>
      <c r="T35" s="194"/>
    </row>
    <row r="36" spans="1:20" ht="15.75" customHeight="1" x14ac:dyDescent="0.3">
      <c r="A36">
        <f t="shared" si="0"/>
        <v>2035</v>
      </c>
      <c r="B36" s="1">
        <f t="shared" si="3"/>
        <v>27.193191825821152</v>
      </c>
      <c r="C36" s="1">
        <f t="shared" si="4"/>
        <v>33.991489782276446</v>
      </c>
      <c r="D36" s="1">
        <f t="shared" si="5"/>
        <v>51.069472148694345</v>
      </c>
      <c r="E36" s="1">
        <f t="shared" si="6"/>
        <v>51.069472148694345</v>
      </c>
      <c r="F36" s="148">
        <f>+F35</f>
        <v>1.1421184108250748</v>
      </c>
      <c r="G36" s="134">
        <f>+G35</f>
        <v>1.4223766977890746</v>
      </c>
      <c r="I36" s="130">
        <f t="shared" si="1"/>
        <v>20813</v>
      </c>
      <c r="J36" s="100">
        <f t="shared" si="2"/>
        <v>118163.14046530076</v>
      </c>
      <c r="K36" s="65">
        <f>(+(0.67*B36*(K$8)+(K$8*'Rate Projection'!$J$8))+(0.33*C36*(K$8)+K$8*'Rate Projection'!$J$8))</f>
        <v>2359051.1908139698</v>
      </c>
      <c r="L36" s="65">
        <f>(+(0.67*D36*(L$8)+(L$8*'Rate Projection'!$J$8))+(0.33*E36*(L$8)+L$8*'Rate Projection'!$J$8))</f>
        <v>4090931.7050755685</v>
      </c>
      <c r="M36" s="74"/>
      <c r="N36" s="67">
        <f t="shared" si="7"/>
        <v>145884.64398492966</v>
      </c>
      <c r="O36" s="143"/>
      <c r="P36" s="84">
        <f t="shared" si="8"/>
        <v>2213166.5468290402</v>
      </c>
      <c r="Q36" s="89">
        <f t="shared" si="10"/>
        <v>17195611.975197967</v>
      </c>
      <c r="R36" s="84">
        <f t="shared" si="9"/>
        <v>3945047.0610906389</v>
      </c>
      <c r="S36" s="89">
        <f t="shared" si="10"/>
        <v>31255063.309331812</v>
      </c>
      <c r="T36" s="194"/>
    </row>
    <row r="37" spans="1:20" ht="15.75" customHeight="1" x14ac:dyDescent="0.3">
      <c r="A37">
        <f t="shared" si="0"/>
        <v>2036</v>
      </c>
      <c r="B37" s="1">
        <f t="shared" si="3"/>
        <v>30.471331100423892</v>
      </c>
      <c r="C37" s="1">
        <f t="shared" si="4"/>
        <v>38.08916387552987</v>
      </c>
      <c r="D37" s="1">
        <f t="shared" si="5"/>
        <v>57.225897016219449</v>
      </c>
      <c r="E37" s="1">
        <f t="shared" si="6"/>
        <v>57.225897016219449</v>
      </c>
      <c r="F37" s="148">
        <f>(F36*$G$8)+F36</f>
        <v>1.2254930548153053</v>
      </c>
      <c r="G37" s="134">
        <f>(G36*$G$8)+G36</f>
        <v>1.5262101967276771</v>
      </c>
      <c r="I37" s="130">
        <f t="shared" si="1"/>
        <v>21041</v>
      </c>
      <c r="J37" s="100">
        <f t="shared" si="2"/>
        <v>119945.79090042871</v>
      </c>
      <c r="K37" s="65">
        <f>(+(0.67*B37*(K$8)+(K$8*'Rate Projection'!$J$8))+(0.33*C37*(K$8)+K$8*'Rate Projection'!$J$8))</f>
        <v>2643143.6156536094</v>
      </c>
      <c r="L37" s="65">
        <f>(+(0.67*D37*(L$8)+(L$8*'Rate Projection'!$J$8))+(0.33*E37*(L$8)+L$8*'Rate Projection'!$J$8))</f>
        <v>4583802.3259094451</v>
      </c>
      <c r="M37" s="74"/>
      <c r="N37" s="67">
        <f t="shared" si="7"/>
        <v>158895.75299272288</v>
      </c>
      <c r="O37" s="143"/>
      <c r="P37" s="84">
        <f t="shared" si="8"/>
        <v>2484247.8626608867</v>
      </c>
      <c r="Q37" s="89">
        <f t="shared" si="10"/>
        <v>19679859.837858856</v>
      </c>
      <c r="R37" s="84">
        <f t="shared" si="9"/>
        <v>4424906.5729167219</v>
      </c>
      <c r="S37" s="89">
        <f t="shared" si="10"/>
        <v>35679969.882248536</v>
      </c>
      <c r="T37" s="194"/>
    </row>
    <row r="38" spans="1:20" ht="15.75" customHeight="1" x14ac:dyDescent="0.3">
      <c r="A38">
        <f t="shared" si="0"/>
        <v>2037</v>
      </c>
      <c r="B38" s="1">
        <f t="shared" si="3"/>
        <v>34.144650064579992</v>
      </c>
      <c r="C38" s="1">
        <f t="shared" si="4"/>
        <v>42.680812580724997</v>
      </c>
      <c r="D38" s="1">
        <f t="shared" si="5"/>
        <v>64.124478901524697</v>
      </c>
      <c r="E38" s="1">
        <f t="shared" si="6"/>
        <v>64.124478901524697</v>
      </c>
      <c r="F38" s="148">
        <f>+F37</f>
        <v>1.2254930548153053</v>
      </c>
      <c r="G38" s="134">
        <f>+G37</f>
        <v>1.5262101967276771</v>
      </c>
      <c r="I38" s="130">
        <f t="shared" si="1"/>
        <v>21269</v>
      </c>
      <c r="J38" s="100">
        <f t="shared" si="2"/>
        <v>121755.33502305808</v>
      </c>
      <c r="K38" s="65">
        <f>(+(0.67*B38*(K$8)+(K$8*'Rate Projection'!$J$8))+(0.33*C38*(K$8)+K$8*'Rate Projection'!$J$8))</f>
        <v>2961483.3823076682</v>
      </c>
      <c r="L38" s="65">
        <f>(+(0.67*D38*(L$8)+(L$8*'Rate Projection'!$J$8))+(0.33*E38*(L$8)+L$8*'Rate Projection'!$J$8))</f>
        <v>5136088.5000848435</v>
      </c>
      <c r="M38" s="74"/>
      <c r="N38" s="67">
        <f t="shared" si="7"/>
        <v>161292.90985650511</v>
      </c>
      <c r="O38" s="143"/>
      <c r="P38" s="84">
        <f t="shared" si="8"/>
        <v>2800190.472451163</v>
      </c>
      <c r="Q38" s="89">
        <f t="shared" si="10"/>
        <v>22480050.310310017</v>
      </c>
      <c r="R38" s="84">
        <f t="shared" si="9"/>
        <v>4974795.5902283387</v>
      </c>
      <c r="S38" s="89">
        <f t="shared" si="10"/>
        <v>40654765.472476877</v>
      </c>
      <c r="T38" s="194"/>
    </row>
    <row r="39" spans="1:20" ht="15.75" customHeight="1" x14ac:dyDescent="0.3">
      <c r="A39">
        <f t="shared" si="0"/>
        <v>2038</v>
      </c>
      <c r="B39" s="1">
        <f t="shared" si="3"/>
        <v>38.260787629865106</v>
      </c>
      <c r="C39" s="1">
        <f t="shared" si="4"/>
        <v>47.825984537331394</v>
      </c>
      <c r="D39" s="1">
        <f t="shared" si="5"/>
        <v>71.854684833103505</v>
      </c>
      <c r="E39" s="1">
        <f t="shared" si="6"/>
        <v>71.854684833103505</v>
      </c>
      <c r="F39" s="148">
        <f>+F38</f>
        <v>1.2254930548153053</v>
      </c>
      <c r="G39" s="134">
        <f>+G38</f>
        <v>1.5262101967276771</v>
      </c>
      <c r="I39" s="130">
        <f t="shared" si="1"/>
        <v>21497</v>
      </c>
      <c r="J39" s="100">
        <f t="shared" si="2"/>
        <v>123592.17856075789</v>
      </c>
      <c r="K39" s="65">
        <f>(+(0.67*B39*(K$8)+(K$8*'Rate Projection'!$J$8))+(0.33*C39*(K$8)+K$8*'Rate Projection'!$J$8))</f>
        <v>3318199.0078318734</v>
      </c>
      <c r="L39" s="65">
        <f>(+(0.67*D39*(L$8)+(L$8*'Rate Projection'!$J$8))+(0.33*E39*(L$8)+L$8*'Rate Projection'!$J$8))</f>
        <v>5754952.7725570882</v>
      </c>
      <c r="M39" s="74"/>
      <c r="N39" s="67">
        <f t="shared" si="7"/>
        <v>163726.23106654172</v>
      </c>
      <c r="O39" s="143"/>
      <c r="P39" s="84">
        <f t="shared" si="8"/>
        <v>3154472.7767653316</v>
      </c>
      <c r="Q39" s="89">
        <f t="shared" si="10"/>
        <v>25634523.087075349</v>
      </c>
      <c r="R39" s="84">
        <f t="shared" si="9"/>
        <v>5591226.5414905464</v>
      </c>
      <c r="S39" s="89">
        <f t="shared" si="10"/>
        <v>46245992.013967425</v>
      </c>
      <c r="T39" s="194"/>
    </row>
    <row r="40" spans="1:20" ht="15.75" customHeight="1" x14ac:dyDescent="0.3">
      <c r="A40">
        <f t="shared" si="0"/>
        <v>2039</v>
      </c>
      <c r="B40" s="1">
        <f t="shared" si="3"/>
        <v>42.873125578645343</v>
      </c>
      <c r="C40" s="1">
        <f t="shared" si="4"/>
        <v>53.59140697330669</v>
      </c>
      <c r="D40" s="1">
        <f t="shared" si="5"/>
        <v>80.516767089734131</v>
      </c>
      <c r="E40" s="1">
        <f t="shared" si="6"/>
        <v>80.516767089734131</v>
      </c>
      <c r="F40" s="148">
        <f>(F39*$G$8)+F39</f>
        <v>1.3149540478168227</v>
      </c>
      <c r="G40" s="134">
        <f>(G39*$G$8)+G39</f>
        <v>1.6376235410887976</v>
      </c>
      <c r="I40" s="130">
        <f t="shared" si="1"/>
        <v>21725</v>
      </c>
      <c r="J40" s="100">
        <f t="shared" si="2"/>
        <v>125456.73336204505</v>
      </c>
      <c r="K40" s="65">
        <f>(+(0.67*B40*(K$8)+(K$8*'Rate Projection'!$J$8))+(0.33*C40*(K$8)+K$8*'Rate Projection'!$J$8))</f>
        <v>3717916.7020130213</v>
      </c>
      <c r="L40" s="65">
        <f>(+(0.67*D40*(L$8)+(L$8*'Rate Projection'!$J$8))+(0.33*E40*(L$8)+L$8*'Rate Projection'!$J$8))</f>
        <v>6448421.1330758613</v>
      </c>
      <c r="M40" s="74"/>
      <c r="N40" s="67">
        <f t="shared" si="7"/>
        <v>178328.58935218811</v>
      </c>
      <c r="O40" s="143"/>
      <c r="P40" s="84">
        <f t="shared" si="8"/>
        <v>3539588.1126608332</v>
      </c>
      <c r="Q40" s="89">
        <f t="shared" si="10"/>
        <v>29174111.199736182</v>
      </c>
      <c r="R40" s="84">
        <f t="shared" si="9"/>
        <v>6270092.5437236736</v>
      </c>
      <c r="S40" s="89">
        <f t="shared" si="10"/>
        <v>52516084.557691097</v>
      </c>
      <c r="T40" s="194"/>
    </row>
    <row r="41" spans="1:20" ht="15.75" customHeight="1" x14ac:dyDescent="0.3">
      <c r="A41">
        <f t="shared" si="0"/>
        <v>2040</v>
      </c>
      <c r="B41" s="1">
        <f t="shared" si="3"/>
        <v>48.041480867151037</v>
      </c>
      <c r="C41" s="1">
        <f t="shared" si="4"/>
        <v>60.051851083938814</v>
      </c>
      <c r="D41" s="1">
        <f t="shared" si="5"/>
        <v>90.223063362401575</v>
      </c>
      <c r="E41" s="1">
        <f t="shared" si="6"/>
        <v>90.223063362401575</v>
      </c>
      <c r="F41" s="148">
        <f>+F40</f>
        <v>1.3149540478168227</v>
      </c>
      <c r="G41" s="134">
        <f>+G40</f>
        <v>1.6376235410887976</v>
      </c>
      <c r="I41" s="130">
        <f t="shared" si="1"/>
        <v>21953</v>
      </c>
      <c r="J41" s="100">
        <f t="shared" si="2"/>
        <v>127349.41748872714</v>
      </c>
      <c r="K41" s="65">
        <f>(+(0.67*B41*(K$8)+(K$8*'Rate Projection'!$J$8))+(0.33*C41*(K$8)+K$8*'Rate Projection'!$J$8))</f>
        <v>4165820.364227707</v>
      </c>
      <c r="L41" s="65">
        <f>(+(0.67*D41*(L$8)+(L$8*'Rate Projection'!$J$8))+(0.33*E41*(L$8)+L$8*'Rate Projection'!$J$8))</f>
        <v>7225487.1044551712</v>
      </c>
      <c r="M41" s="74"/>
      <c r="N41" s="67">
        <f t="shared" si="7"/>
        <v>181018.91677707393</v>
      </c>
      <c r="O41" s="143"/>
      <c r="P41" s="84">
        <f t="shared" si="8"/>
        <v>3984801.4474506332</v>
      </c>
      <c r="Q41" s="89">
        <f t="shared" si="10"/>
        <v>33158912.647186816</v>
      </c>
      <c r="R41" s="84">
        <f t="shared" si="9"/>
        <v>7044468.1876780968</v>
      </c>
      <c r="S41" s="89">
        <f t="shared" si="10"/>
        <v>59560552.745369196</v>
      </c>
      <c r="T41" s="194"/>
    </row>
    <row r="42" spans="1:20" ht="15.75" customHeight="1" x14ac:dyDescent="0.3">
      <c r="A42">
        <f t="shared" si="0"/>
        <v>2041</v>
      </c>
      <c r="B42" s="1">
        <f t="shared" si="3"/>
        <v>53.832881385686093</v>
      </c>
      <c r="C42" s="1">
        <f t="shared" si="4"/>
        <v>67.291101732107634</v>
      </c>
      <c r="D42" s="1">
        <f t="shared" si="5"/>
        <v>101.09945365073909</v>
      </c>
      <c r="E42" s="1">
        <f t="shared" si="6"/>
        <v>101.09945365073909</v>
      </c>
      <c r="F42" s="148">
        <f>+F41</f>
        <v>1.3149540478168227</v>
      </c>
      <c r="G42" s="134">
        <f>+G41</f>
        <v>1.6376235410887976</v>
      </c>
      <c r="I42" s="130">
        <f t="shared" si="1"/>
        <v>22181</v>
      </c>
      <c r="J42" s="100">
        <f t="shared" si="2"/>
        <v>129270.65530963826</v>
      </c>
      <c r="K42" s="65">
        <f>(+(0.67*B42*(K$8)+(K$8*'Rate Projection'!$J$8))+(0.33*C42*(K$8)+K$8*'Rate Projection'!$J$8))</f>
        <v>4667718.8129223734</v>
      </c>
      <c r="L42" s="65">
        <f>(+(0.67*D42*(L$8)+(L$8*'Rate Projection'!$J$8))+(0.33*E42*(L$8)+L$8*'Rate Projection'!$J$8))</f>
        <v>8096228.378684259</v>
      </c>
      <c r="M42" s="74"/>
      <c r="N42" s="67">
        <f t="shared" si="7"/>
        <v>183749.83142176212</v>
      </c>
      <c r="O42" s="143"/>
      <c r="P42" s="84">
        <f t="shared" si="8"/>
        <v>4483968.9815006116</v>
      </c>
      <c r="Q42" s="89">
        <f t="shared" si="10"/>
        <v>37642881.628687426</v>
      </c>
      <c r="R42" s="84">
        <f t="shared" si="9"/>
        <v>7912478.5472624972</v>
      </c>
      <c r="S42" s="89">
        <f t="shared" si="10"/>
        <v>67473031.292631686</v>
      </c>
      <c r="T42" s="194"/>
    </row>
    <row r="43" spans="1:20" ht="15.75" customHeight="1" x14ac:dyDescent="0.3">
      <c r="A43">
        <f t="shared" si="0"/>
        <v>2042</v>
      </c>
      <c r="B43" s="1">
        <f t="shared" si="3"/>
        <v>60.322435236730556</v>
      </c>
      <c r="C43" s="1">
        <f t="shared" si="4"/>
        <v>75.403044045913205</v>
      </c>
      <c r="D43" s="1">
        <f t="shared" si="5"/>
        <v>113.2869927883357</v>
      </c>
      <c r="E43" s="1">
        <f t="shared" si="6"/>
        <v>113.2869927883357</v>
      </c>
      <c r="F43" s="148">
        <f>(F42*$G$8)+F42</f>
        <v>1.4109456933074507</v>
      </c>
      <c r="G43" s="134">
        <f>(G42*$G$8)+G42</f>
        <v>1.7571700595882798</v>
      </c>
      <c r="I43" s="130">
        <f t="shared" si="1"/>
        <v>22409</v>
      </c>
      <c r="J43" s="100">
        <f t="shared" si="2"/>
        <v>131220.87759578909</v>
      </c>
      <c r="K43" s="65">
        <f>(+(0.67*B43*(K$8)+(K$8*'Rate Projection'!$J$8))+(0.33*C43*(K$8)+K$8*'Rate Projection'!$J$8))</f>
        <v>5230121.1196071813</v>
      </c>
      <c r="L43" s="65">
        <f>(+(0.67*D43*(L$8)+(L$8*'Rate Projection'!$J$8))+(0.33*E43*(L$8)+L$8*'Rate Projection'!$J$8))</f>
        <v>9071937.5135216638</v>
      </c>
      <c r="M43" s="74"/>
      <c r="N43" s="67">
        <f t="shared" si="7"/>
        <v>200138.04762798015</v>
      </c>
      <c r="O43" s="143"/>
      <c r="P43" s="84">
        <f t="shared" si="8"/>
        <v>5029983.0719792014</v>
      </c>
      <c r="Q43" s="89">
        <f t="shared" si="10"/>
        <v>42672864.700666629</v>
      </c>
      <c r="R43" s="84">
        <f t="shared" si="9"/>
        <v>8871799.465893684</v>
      </c>
      <c r="S43" s="89">
        <f t="shared" si="10"/>
        <v>76344830.758525372</v>
      </c>
      <c r="T43" s="194"/>
    </row>
    <row r="44" spans="1:20" ht="15.75" customHeight="1" x14ac:dyDescent="0.3">
      <c r="A44">
        <f t="shared" si="0"/>
        <v>2043</v>
      </c>
      <c r="B44" s="1">
        <f t="shared" ref="B44:B100" si="11">(B43*$C$8)+B43</f>
        <v>67.59430480451843</v>
      </c>
      <c r="C44" s="1">
        <f t="shared" ref="C44:C101" si="12">(C43*$C$8)+C43</f>
        <v>84.492881005648044</v>
      </c>
      <c r="D44" s="1">
        <f t="shared" si="5"/>
        <v>126.94373976896956</v>
      </c>
      <c r="E44" s="1">
        <f t="shared" si="6"/>
        <v>126.94373976896956</v>
      </c>
      <c r="F44" s="148">
        <f>+F43</f>
        <v>1.4109456933074507</v>
      </c>
      <c r="G44" s="134">
        <f>+G43</f>
        <v>1.7571700595882798</v>
      </c>
      <c r="I44" s="130">
        <f t="shared" ref="I44:I75" si="13">+I43+$I$8</f>
        <v>22637</v>
      </c>
      <c r="J44" s="100">
        <f t="shared" ref="J44:J75" si="14">(+J43)+(J43*$J$8)</f>
        <v>133200.52161695232</v>
      </c>
      <c r="K44" s="65">
        <f>(+(0.67*B44*(K$8)+(K$8*'Rate Projection'!$J$8))+(0.33*C44*(K$8)+K$8*'Rate Projection'!$J$8))</f>
        <v>5860321.0243628435</v>
      </c>
      <c r="L44" s="65">
        <f>(+(0.67*D44*(L$8)+(L$8*'Rate Projection'!$J$8))+(0.33*E44*(L$8)+L$8*'Rate Projection'!$J$8))</f>
        <v>10165268.384563716</v>
      </c>
      <c r="M44" s="74"/>
      <c r="N44" s="67">
        <f t="shared" si="7"/>
        <v>203157.40016282958</v>
      </c>
      <c r="O44" s="143"/>
      <c r="P44" s="84">
        <f t="shared" si="8"/>
        <v>5657163.6242000135</v>
      </c>
      <c r="Q44" s="89">
        <f t="shared" si="10"/>
        <v>48330028.324866645</v>
      </c>
      <c r="R44" s="84">
        <f t="shared" si="9"/>
        <v>9962110.984400887</v>
      </c>
      <c r="S44" s="89">
        <f t="shared" si="10"/>
        <v>86306941.742926255</v>
      </c>
      <c r="T44" s="194"/>
    </row>
    <row r="45" spans="1:20" ht="15.75" customHeight="1" x14ac:dyDescent="0.3">
      <c r="A45">
        <f t="shared" si="0"/>
        <v>2044</v>
      </c>
      <c r="B45" s="1">
        <f t="shared" si="11"/>
        <v>75.742798248703124</v>
      </c>
      <c r="C45" s="1">
        <f t="shared" si="12"/>
        <v>94.678497810878923</v>
      </c>
      <c r="D45" s="1">
        <f t="shared" si="5"/>
        <v>142.24680759811883</v>
      </c>
      <c r="E45" s="1">
        <f t="shared" si="6"/>
        <v>142.24680759811883</v>
      </c>
      <c r="F45" s="148">
        <f>+F44</f>
        <v>1.4109456933074507</v>
      </c>
      <c r="G45" s="134">
        <f>+G44</f>
        <v>1.7571700595882798</v>
      </c>
      <c r="I45" s="130">
        <f t="shared" si="13"/>
        <v>22865</v>
      </c>
      <c r="J45" s="100">
        <f t="shared" si="14"/>
        <v>135210.03123970525</v>
      </c>
      <c r="K45" s="65">
        <f>(+(0.67*B45*(K$8)+(K$8*'Rate Projection'!$J$8))+(0.33*C45*(K$8)+K$8*'Rate Projection'!$J$8))</f>
        <v>6566491.5276368009</v>
      </c>
      <c r="L45" s="65">
        <f>(+(0.67*D45*(L$8)+(L$8*'Rate Projection'!$J$8))+(0.33*E45*(L$8)+L$8*'Rate Projection'!$J$8))</f>
        <v>11390400.292109888</v>
      </c>
      <c r="M45" s="74"/>
      <c r="N45" s="67">
        <f t="shared" si="7"/>
        <v>206222.30370528478</v>
      </c>
      <c r="O45" s="143"/>
      <c r="P45" s="84">
        <f t="shared" si="8"/>
        <v>6360269.2239315165</v>
      </c>
      <c r="Q45" s="89">
        <f t="shared" si="10"/>
        <v>54690297.548798159</v>
      </c>
      <c r="R45" s="84">
        <f t="shared" si="9"/>
        <v>11184177.988404604</v>
      </c>
      <c r="S45" s="89">
        <f t="shared" si="10"/>
        <v>97491119.731330857</v>
      </c>
      <c r="T45" s="194"/>
    </row>
    <row r="46" spans="1:20" ht="15.75" customHeight="1" x14ac:dyDescent="0.3">
      <c r="A46">
        <f t="shared" si="0"/>
        <v>2045</v>
      </c>
      <c r="B46" s="1">
        <f t="shared" si="11"/>
        <v>84.87359257758429</v>
      </c>
      <c r="C46" s="1">
        <f t="shared" si="12"/>
        <v>106.09199072198038</v>
      </c>
      <c r="D46" s="1">
        <f t="shared" si="5"/>
        <v>159.39466025407205</v>
      </c>
      <c r="E46" s="1">
        <f t="shared" si="6"/>
        <v>159.39466025407205</v>
      </c>
      <c r="F46" s="148">
        <f>(F45*$G$8)+F45</f>
        <v>1.5139447289188945</v>
      </c>
      <c r="G46" s="134">
        <f>(G45*$G$8)+G45</f>
        <v>1.8854434739382242</v>
      </c>
      <c r="I46" s="130">
        <f t="shared" si="13"/>
        <v>23093</v>
      </c>
      <c r="J46" s="100">
        <f t="shared" si="14"/>
        <v>137249.8570269515</v>
      </c>
      <c r="K46" s="65">
        <f>(+(0.67*B46*(K$8)+(K$8*'Rate Projection'!$J$8))+(0.33*C46*(K$8)+K$8*'Rate Projection'!$J$8))</f>
        <v>7357790.8850804335</v>
      </c>
      <c r="L46" s="65">
        <f>(+(0.67*D46*(L$8)+(L$8*'Rate Projection'!$J$8))+(0.33*E46*(L$8)+L$8*'Rate Projection'!$J$8))</f>
        <v>12763221.851110751</v>
      </c>
      <c r="M46" s="74"/>
      <c r="N46" s="67">
        <f t="shared" si="7"/>
        <v>224614.78697189147</v>
      </c>
      <c r="O46" s="143"/>
      <c r="P46" s="84">
        <f t="shared" si="8"/>
        <v>7133176.0981085422</v>
      </c>
      <c r="Q46" s="89">
        <f t="shared" si="10"/>
        <v>61823473.646906704</v>
      </c>
      <c r="R46" s="84">
        <f t="shared" si="9"/>
        <v>12538607.06413886</v>
      </c>
      <c r="S46" s="89">
        <f t="shared" si="10"/>
        <v>110029726.79546972</v>
      </c>
      <c r="T46" s="194"/>
    </row>
    <row r="47" spans="1:20" ht="15.75" customHeight="1" x14ac:dyDescent="0.3">
      <c r="A47">
        <f t="shared" si="0"/>
        <v>2046</v>
      </c>
      <c r="B47" s="1">
        <f t="shared" si="11"/>
        <v>95.105104162812083</v>
      </c>
      <c r="C47" s="1">
        <f t="shared" si="12"/>
        <v>118.88138020351512</v>
      </c>
      <c r="D47" s="1">
        <f t="shared" si="5"/>
        <v>178.60968654770045</v>
      </c>
      <c r="E47" s="1">
        <f t="shared" si="6"/>
        <v>178.60968654770045</v>
      </c>
      <c r="F47" s="148">
        <f>+F46</f>
        <v>1.5139447289188945</v>
      </c>
      <c r="G47" s="134">
        <f>+G46</f>
        <v>1.8854434739382242</v>
      </c>
      <c r="I47" s="130">
        <f t="shared" si="13"/>
        <v>23321</v>
      </c>
      <c r="J47" s="100">
        <f t="shared" si="14"/>
        <v>139320.45633894415</v>
      </c>
      <c r="K47" s="65">
        <f>(+(0.67*B47*(K$8)+(K$8*'Rate Projection'!$J$8))+(0.33*C47*(K$8)+K$8*'Rate Projection'!$J$8))</f>
        <v>8244481.3800638951</v>
      </c>
      <c r="L47" s="65">
        <f>(+(0.67*D47*(L$8)+(L$8*'Rate Projection'!$J$8))+(0.33*E47*(L$8)+L$8*'Rate Projection'!$J$8))</f>
        <v>14301537.049049167</v>
      </c>
      <c r="M47" s="74"/>
      <c r="N47" s="67">
        <f t="shared" si="7"/>
        <v>228003.40415111405</v>
      </c>
      <c r="O47" s="143"/>
      <c r="P47" s="84">
        <f t="shared" si="8"/>
        <v>8016477.9759127814</v>
      </c>
      <c r="Q47" s="89">
        <f t="shared" si="10"/>
        <v>69839951.622819483</v>
      </c>
      <c r="R47" s="84">
        <f t="shared" si="9"/>
        <v>14073533.644898053</v>
      </c>
      <c r="S47" s="89">
        <f t="shared" si="10"/>
        <v>124103260.44036777</v>
      </c>
      <c r="T47" s="194"/>
    </row>
    <row r="48" spans="1:20" ht="15.75" customHeight="1" x14ac:dyDescent="0.3">
      <c r="A48">
        <f t="shared" si="0"/>
        <v>2047</v>
      </c>
      <c r="B48" s="1">
        <f t="shared" si="11"/>
        <v>106.57002446963908</v>
      </c>
      <c r="C48" s="1">
        <f t="shared" si="12"/>
        <v>133.21253058704886</v>
      </c>
      <c r="D48" s="1">
        <f t="shared" si="5"/>
        <v>200.14108426102575</v>
      </c>
      <c r="E48" s="1">
        <f t="shared" si="6"/>
        <v>200.14108426102575</v>
      </c>
      <c r="F48" s="148">
        <f>+F47</f>
        <v>1.5139447289188945</v>
      </c>
      <c r="G48" s="134">
        <f>+G47</f>
        <v>1.8854434739382242</v>
      </c>
      <c r="I48" s="130">
        <f t="shared" si="13"/>
        <v>23549</v>
      </c>
      <c r="J48" s="100">
        <f t="shared" si="14"/>
        <v>141422.29343583286</v>
      </c>
      <c r="K48" s="65">
        <f>(+(0.67*B48*(K$8)+(K$8*'Rate Projection'!$J$8))+(0.33*C48*(K$8)+K$8*'Rate Projection'!$J$8))</f>
        <v>9238062.4142176136</v>
      </c>
      <c r="L48" s="65">
        <f>(+(0.67*D48*(L$8)+(L$8*'Rate Projection'!$J$8))+(0.33*E48*(L$8)+L$8*'Rate Projection'!$J$8))</f>
        <v>16025296.144099064</v>
      </c>
      <c r="M48" s="74"/>
      <c r="N48" s="67">
        <f t="shared" si="7"/>
        <v>231443.14319342555</v>
      </c>
      <c r="O48" s="143"/>
      <c r="P48" s="84">
        <f t="shared" si="8"/>
        <v>9006619.271024188</v>
      </c>
      <c r="Q48" s="89">
        <f t="shared" si="10"/>
        <v>78846570.893843666</v>
      </c>
      <c r="R48" s="84">
        <f t="shared" si="9"/>
        <v>15793853.000905639</v>
      </c>
      <c r="S48" s="89">
        <f t="shared" si="10"/>
        <v>139897113.44127342</v>
      </c>
      <c r="T48" s="194"/>
    </row>
    <row r="49" spans="1:20" ht="15.75" customHeight="1" x14ac:dyDescent="0.3">
      <c r="A49">
        <f t="shared" si="0"/>
        <v>2048</v>
      </c>
      <c r="B49" s="1">
        <f t="shared" si="11"/>
        <v>119.41704091945407</v>
      </c>
      <c r="C49" s="1">
        <f t="shared" si="12"/>
        <v>149.27130114931759</v>
      </c>
      <c r="D49" s="1">
        <f t="shared" si="5"/>
        <v>224.2680919686924</v>
      </c>
      <c r="E49" s="1">
        <f t="shared" si="6"/>
        <v>224.2680919686924</v>
      </c>
      <c r="F49" s="148">
        <f>(F48*$G$8)+F48</f>
        <v>1.6244626941299738</v>
      </c>
      <c r="G49" s="134">
        <f>(G48*$G$8)+G48</f>
        <v>2.0230808475357147</v>
      </c>
      <c r="I49" s="130">
        <f t="shared" si="13"/>
        <v>23777</v>
      </c>
      <c r="J49" s="100">
        <f t="shared" si="14"/>
        <v>143555.83958175822</v>
      </c>
      <c r="K49" s="65">
        <f>(+(0.67*B49*(K$8)+(K$8*'Rate Projection'!$J$8))+(0.33*C49*(K$8)+K$8*'Rate Projection'!$J$8))</f>
        <v>10351419.642038563</v>
      </c>
      <c r="L49" s="65">
        <f>(+(0.67*D49*(L$8)+(L$8*'Rate Projection'!$J$8))+(0.33*E49*(L$8)+L$8*'Rate Projection'!$J$8))</f>
        <v>17956854.398057222</v>
      </c>
      <c r="M49" s="74"/>
      <c r="N49" s="67">
        <f t="shared" si="7"/>
        <v>252085.0139410214</v>
      </c>
      <c r="O49" s="143"/>
      <c r="P49" s="84">
        <f t="shared" si="8"/>
        <v>10099334.628097542</v>
      </c>
      <c r="Q49" s="89">
        <f t="shared" si="10"/>
        <v>88945905.521941215</v>
      </c>
      <c r="R49" s="84">
        <f t="shared" si="9"/>
        <v>17704769.384116203</v>
      </c>
      <c r="S49" s="89">
        <f t="shared" si="10"/>
        <v>157601882.82538962</v>
      </c>
      <c r="T49" s="194"/>
    </row>
    <row r="50" spans="1:20" ht="15.75" customHeight="1" x14ac:dyDescent="0.3">
      <c r="A50">
        <f t="shared" si="0"/>
        <v>2049</v>
      </c>
      <c r="B50" s="1">
        <f t="shared" si="11"/>
        <v>133.81276520229426</v>
      </c>
      <c r="C50" s="1">
        <f t="shared" si="12"/>
        <v>167.26595650286782</v>
      </c>
      <c r="D50" s="1">
        <f t="shared" si="5"/>
        <v>251.30361045551828</v>
      </c>
      <c r="E50" s="1">
        <f t="shared" si="6"/>
        <v>251.30361045551828</v>
      </c>
      <c r="F50" s="148">
        <f>+F49</f>
        <v>1.6244626941299738</v>
      </c>
      <c r="G50" s="134">
        <f>+G49</f>
        <v>2.0230808475357147</v>
      </c>
      <c r="I50" s="130">
        <f t="shared" si="13"/>
        <v>24005</v>
      </c>
      <c r="J50" s="100">
        <f t="shared" si="14"/>
        <v>145721.57315051631</v>
      </c>
      <c r="K50" s="65">
        <f>(+(0.67*B50*(K$8)+(K$8*'Rate Projection'!$J$8))+(0.33*C50*(K$8)+K$8*'Rate Projection'!$J$8))</f>
        <v>11598992.083673328</v>
      </c>
      <c r="L50" s="65">
        <f>(+(0.67*D50*(L$8)+(L$8*'Rate Projection'!$J$8))+(0.33*E50*(L$8)+L$8*'Rate Projection'!$J$8))</f>
        <v>20121261.999530032</v>
      </c>
      <c r="M50" s="74"/>
      <c r="N50" s="67">
        <f t="shared" si="7"/>
        <v>255888.05656515644</v>
      </c>
      <c r="O50" s="143"/>
      <c r="P50" s="84">
        <f t="shared" si="8"/>
        <v>11343104.027108172</v>
      </c>
      <c r="Q50" s="89">
        <f t="shared" si="10"/>
        <v>100289009.54904939</v>
      </c>
      <c r="R50" s="84">
        <f t="shared" si="9"/>
        <v>19865373.942964874</v>
      </c>
      <c r="S50" s="89">
        <f t="shared" si="10"/>
        <v>177467256.76835451</v>
      </c>
      <c r="T50" s="194"/>
    </row>
    <row r="51" spans="1:20" ht="15.75" customHeight="1" x14ac:dyDescent="0.3">
      <c r="A51">
        <f t="shared" si="0"/>
        <v>2050</v>
      </c>
      <c r="B51" s="1">
        <f t="shared" si="11"/>
        <v>149.94389404743083</v>
      </c>
      <c r="C51" s="1">
        <f t="shared" si="12"/>
        <v>187.42986755928854</v>
      </c>
      <c r="D51" s="1">
        <f t="shared" si="5"/>
        <v>281.598260695931</v>
      </c>
      <c r="E51" s="1">
        <f t="shared" si="6"/>
        <v>281.598260695931</v>
      </c>
      <c r="F51" s="148">
        <f>+F50</f>
        <v>1.6244626941299738</v>
      </c>
      <c r="G51" s="134">
        <f>+G50</f>
        <v>2.0230808475357147</v>
      </c>
      <c r="I51" s="130">
        <f t="shared" si="13"/>
        <v>24233</v>
      </c>
      <c r="J51" s="100">
        <f t="shared" si="14"/>
        <v>147919.9797328175</v>
      </c>
      <c r="K51" s="65">
        <f>(+(0.67*B51*(K$8)+(K$8*'Rate Projection'!$J$8))+(0.33*C51*(K$8)+K$8*'Rate Projection'!$J$8))</f>
        <v>12996959.383147165</v>
      </c>
      <c r="L51" s="65">
        <f>(+(0.67*D51*(L$8)+(L$8*'Rate Projection'!$J$8))+(0.33*E51*(L$8)+L$8*'Rate Projection'!$J$8))</f>
        <v>22546588.937360398</v>
      </c>
      <c r="M51" s="74"/>
      <c r="N51" s="67">
        <f t="shared" ref="N51:N82" si="15">(+J51*0.67*F51)+(J51*0.33*G51)</f>
        <v>259748.47321948427</v>
      </c>
      <c r="O51" s="143"/>
      <c r="P51" s="84">
        <f t="shared" ref="P51:P82" si="16">+K51-$N51</f>
        <v>12737210.909927681</v>
      </c>
      <c r="Q51" s="89">
        <f t="shared" si="10"/>
        <v>113026220.45897707</v>
      </c>
      <c r="R51" s="84">
        <f t="shared" ref="R51:R82" si="17">+L51-$N51</f>
        <v>22286840.464140914</v>
      </c>
      <c r="S51" s="89">
        <f t="shared" si="10"/>
        <v>199754097.23249543</v>
      </c>
      <c r="T51" s="194"/>
    </row>
    <row r="52" spans="1:20" ht="15.75" customHeight="1" x14ac:dyDescent="0.3">
      <c r="A52">
        <f t="shared" si="0"/>
        <v>2051</v>
      </c>
      <c r="B52" s="1">
        <f t="shared" si="11"/>
        <v>168.01963047484861</v>
      </c>
      <c r="C52" s="1">
        <f t="shared" si="12"/>
        <v>210.02453809356078</v>
      </c>
      <c r="D52" s="1">
        <f t="shared" si="5"/>
        <v>315.54493102282549</v>
      </c>
      <c r="E52" s="1">
        <f t="shared" si="6"/>
        <v>315.54493102282549</v>
      </c>
      <c r="F52" s="148">
        <f>(F51*$G$8)+F51</f>
        <v>1.743048470801462</v>
      </c>
      <c r="G52" s="134">
        <f>(G51*$G$8)+G51</f>
        <v>2.1707657494058217</v>
      </c>
      <c r="I52" s="130">
        <f t="shared" si="13"/>
        <v>24461</v>
      </c>
      <c r="J52" s="100">
        <f t="shared" si="14"/>
        <v>150151.55224516333</v>
      </c>
      <c r="K52" s="65">
        <f>(+(0.67*B52*(K$8)+(K$8*'Rate Projection'!$J$8))+(0.33*C52*(K$8)+K$8*'Rate Projection'!$J$8))</f>
        <v>14563451.640572572</v>
      </c>
      <c r="L52" s="65">
        <f>(+(0.67*D52*(L$8)+(L$8*'Rate Projection'!$J$8))+(0.33*E52*(L$8)+L$8*'Rate Projection'!$J$8))</f>
        <v>25264289.03754621</v>
      </c>
      <c r="M52" s="74"/>
      <c r="N52" s="67">
        <f t="shared" si="15"/>
        <v>282914.82991988992</v>
      </c>
      <c r="O52" s="143"/>
      <c r="P52" s="84">
        <f t="shared" si="16"/>
        <v>14280536.810652683</v>
      </c>
      <c r="Q52" s="89">
        <f t="shared" si="10"/>
        <v>127306757.26962976</v>
      </c>
      <c r="R52" s="84">
        <f t="shared" si="17"/>
        <v>24981374.20762632</v>
      </c>
      <c r="S52" s="89">
        <f t="shared" si="10"/>
        <v>224735471.44012174</v>
      </c>
      <c r="T52" s="194"/>
    </row>
    <row r="53" spans="1:20" ht="15.75" customHeight="1" x14ac:dyDescent="0.3">
      <c r="A53">
        <f t="shared" si="0"/>
        <v>2052</v>
      </c>
      <c r="B53" s="1">
        <f t="shared" si="11"/>
        <v>188.27439692859161</v>
      </c>
      <c r="C53" s="1">
        <f t="shared" si="12"/>
        <v>235.34299616073952</v>
      </c>
      <c r="D53" s="1">
        <f t="shared" si="5"/>
        <v>353.58387245762708</v>
      </c>
      <c r="E53" s="1">
        <f t="shared" si="6"/>
        <v>353.58387245762708</v>
      </c>
      <c r="F53" s="148">
        <f>+F52</f>
        <v>1.743048470801462</v>
      </c>
      <c r="G53" s="134">
        <f>+G52</f>
        <v>2.1707657494058217</v>
      </c>
      <c r="I53" s="130">
        <f t="shared" si="13"/>
        <v>24689</v>
      </c>
      <c r="J53" s="100">
        <f t="shared" si="14"/>
        <v>152416.79104036596</v>
      </c>
      <c r="K53" s="65">
        <f>(+(0.67*B53*(K$8)+(K$8*'Rate Projection'!$J$8))+(0.33*C53*(K$8)+K$8*'Rate Projection'!$J$8))</f>
        <v>16318784.53963061</v>
      </c>
      <c r="L53" s="65">
        <f>(+(0.67*D53*(L$8)+(L$8*'Rate Projection'!$J$8))+(0.33*E53*(L$8)+L$8*'Rate Projection'!$J$8))</f>
        <v>28309607.88480942</v>
      </c>
      <c r="M53" s="74"/>
      <c r="N53" s="67">
        <f t="shared" si="15"/>
        <v>287182.98192291614</v>
      </c>
      <c r="O53" s="143"/>
      <c r="P53" s="84">
        <f t="shared" si="16"/>
        <v>16031601.557707693</v>
      </c>
      <c r="Q53" s="89">
        <f t="shared" si="10"/>
        <v>143338358.82733744</v>
      </c>
      <c r="R53" s="84">
        <f t="shared" si="17"/>
        <v>28022424.902886502</v>
      </c>
      <c r="S53" s="89">
        <f t="shared" si="10"/>
        <v>252757896.34300825</v>
      </c>
      <c r="T53" s="194"/>
    </row>
    <row r="54" spans="1:20" ht="15.75" customHeight="1" x14ac:dyDescent="0.3">
      <c r="A54">
        <f t="shared" si="0"/>
        <v>2053</v>
      </c>
      <c r="B54" s="1">
        <f t="shared" si="11"/>
        <v>210.97087547833334</v>
      </c>
      <c r="C54" s="1">
        <f t="shared" si="12"/>
        <v>263.71359434791668</v>
      </c>
      <c r="D54" s="1">
        <f t="shared" si="5"/>
        <v>396.20840828239403</v>
      </c>
      <c r="E54" s="1">
        <f t="shared" si="6"/>
        <v>396.20840828239403</v>
      </c>
      <c r="F54" s="148">
        <f>+F53</f>
        <v>1.743048470801462</v>
      </c>
      <c r="G54" s="134">
        <f>+G53</f>
        <v>2.1707657494058217</v>
      </c>
      <c r="I54" s="130">
        <f t="shared" si="13"/>
        <v>24917</v>
      </c>
      <c r="J54" s="100">
        <f t="shared" si="14"/>
        <v>154716.20401973496</v>
      </c>
      <c r="K54" s="65">
        <f>(+(0.67*B54*(K$8)+(K$8*'Rate Projection'!$J$8))+(0.33*C54*(K$8)+K$8*'Rate Projection'!$J$8))</f>
        <v>18285722.8196701</v>
      </c>
      <c r="L54" s="65">
        <f>(+(0.67*D54*(L$8)+(L$8*'Rate Projection'!$J$8))+(0.33*E54*(L$8)+L$8*'Rate Projection'!$J$8))</f>
        <v>31722039.919110209</v>
      </c>
      <c r="M54" s="74"/>
      <c r="N54" s="67">
        <f t="shared" si="15"/>
        <v>291515.52475878096</v>
      </c>
      <c r="O54" s="143"/>
      <c r="P54" s="84">
        <f t="shared" si="16"/>
        <v>17994207.294911318</v>
      </c>
      <c r="Q54" s="89">
        <f t="shared" si="10"/>
        <v>161332566.12224877</v>
      </c>
      <c r="R54" s="84">
        <f t="shared" si="17"/>
        <v>31430524.394351427</v>
      </c>
      <c r="S54" s="89">
        <f t="shared" si="10"/>
        <v>284188420.7373597</v>
      </c>
      <c r="T54" s="194"/>
    </row>
    <row r="55" spans="1:20" ht="15.75" customHeight="1" x14ac:dyDescent="0.3">
      <c r="A55">
        <f t="shared" si="0"/>
        <v>2054</v>
      </c>
      <c r="B55" s="1">
        <f t="shared" si="11"/>
        <v>236.40341451724643</v>
      </c>
      <c r="C55" s="1">
        <f t="shared" si="12"/>
        <v>295.50426814655805</v>
      </c>
      <c r="D55" s="1">
        <f t="shared" si="5"/>
        <v>443.97133190083662</v>
      </c>
      <c r="E55" s="1">
        <f t="shared" si="6"/>
        <v>443.97133190083662</v>
      </c>
      <c r="F55" s="148">
        <f>(F54*$G$8)+F54</f>
        <v>1.8702910091699687</v>
      </c>
      <c r="G55" s="134">
        <f>(G54*$G$8)+G54</f>
        <v>2.3292316491124465</v>
      </c>
      <c r="I55" s="130">
        <f t="shared" si="13"/>
        <v>25145</v>
      </c>
      <c r="J55" s="100">
        <f t="shared" si="14"/>
        <v>157050.30674695651</v>
      </c>
      <c r="K55" s="65">
        <f>(+(0.67*B55*(K$8)+(K$8*'Rate Projection'!$J$8))+(0.33*C55*(K$8)+K$8*'Rate Projection'!$J$8))</f>
        <v>20489775.509368345</v>
      </c>
      <c r="L55" s="65">
        <f>(+(0.67*D55*(L$8)+(L$8*'Rate Projection'!$J$8))+(0.33*E55*(L$8)+L$8*'Rate Projection'!$J$8))</f>
        <v>35545840.635145962</v>
      </c>
      <c r="M55" s="74"/>
      <c r="N55" s="67">
        <f t="shared" si="15"/>
        <v>317515.11022914998</v>
      </c>
      <c r="O55" s="143"/>
      <c r="P55" s="84">
        <f t="shared" si="16"/>
        <v>20172260.399139196</v>
      </c>
      <c r="Q55" s="89">
        <f t="shared" si="10"/>
        <v>181504826.52138796</v>
      </c>
      <c r="R55" s="84">
        <f t="shared" si="17"/>
        <v>35228325.524916813</v>
      </c>
      <c r="S55" s="89">
        <f t="shared" si="10"/>
        <v>319416746.26227653</v>
      </c>
      <c r="T55" s="194"/>
    </row>
    <row r="56" spans="1:20" ht="15.75" customHeight="1" x14ac:dyDescent="0.3">
      <c r="A56">
        <f t="shared" si="0"/>
        <v>2055</v>
      </c>
      <c r="B56" s="1">
        <f t="shared" si="11"/>
        <v>264.90184613730048</v>
      </c>
      <c r="C56" s="1">
        <f t="shared" si="12"/>
        <v>331.1273076716256</v>
      </c>
      <c r="D56" s="1">
        <f t="shared" si="5"/>
        <v>497.49207596148244</v>
      </c>
      <c r="E56" s="1">
        <f t="shared" si="6"/>
        <v>497.49207596148244</v>
      </c>
      <c r="F56" s="148">
        <f>+F55</f>
        <v>1.8702910091699687</v>
      </c>
      <c r="G56" s="134">
        <f>+G55</f>
        <v>2.3292316491124465</v>
      </c>
      <c r="I56" s="130">
        <f t="shared" si="13"/>
        <v>25373</v>
      </c>
      <c r="J56" s="100">
        <f t="shared" si="14"/>
        <v>159419.62256369085</v>
      </c>
      <c r="K56" s="65">
        <f>(+(0.67*B56*(K$8)+(K$8*'Rate Projection'!$J$8))+(0.33*C56*(K$8)+K$8*'Rate Projection'!$J$8))</f>
        <v>22959526.750809714</v>
      </c>
      <c r="L56" s="65">
        <f>(+(0.67*D56*(L$8)+(L$8*'Rate Projection'!$J$8))+(0.33*E56*(L$8)+L$8*'Rate Projection'!$J$8))</f>
        <v>39830600.527499817</v>
      </c>
      <c r="M56" s="74"/>
      <c r="N56" s="67">
        <f t="shared" si="15"/>
        <v>322305.25415373454</v>
      </c>
      <c r="O56" s="143"/>
      <c r="P56" s="84">
        <f t="shared" si="16"/>
        <v>22637221.496655978</v>
      </c>
      <c r="Q56" s="89">
        <f t="shared" si="10"/>
        <v>204142048.01804394</v>
      </c>
      <c r="R56" s="84">
        <f t="shared" si="17"/>
        <v>39508295.273346081</v>
      </c>
      <c r="S56" s="89">
        <f t="shared" si="10"/>
        <v>358925041.5356226</v>
      </c>
      <c r="T56" s="194"/>
    </row>
    <row r="57" spans="1:20" ht="15.75" customHeight="1" x14ac:dyDescent="0.3">
      <c r="A57">
        <f t="shared" si="0"/>
        <v>2056</v>
      </c>
      <c r="B57" s="1">
        <f t="shared" si="11"/>
        <v>296.83576368915203</v>
      </c>
      <c r="C57" s="1">
        <f t="shared" si="12"/>
        <v>371.04470461144007</v>
      </c>
      <c r="D57" s="1">
        <f t="shared" si="5"/>
        <v>557.46474571863916</v>
      </c>
      <c r="E57" s="1">
        <f t="shared" si="6"/>
        <v>557.46474571863916</v>
      </c>
      <c r="F57" s="148">
        <f>+F56</f>
        <v>1.8702910091699687</v>
      </c>
      <c r="G57" s="134">
        <f>+G56</f>
        <v>2.3292316491124465</v>
      </c>
      <c r="I57" s="130">
        <f t="shared" si="13"/>
        <v>25601</v>
      </c>
      <c r="J57" s="100">
        <f t="shared" si="14"/>
        <v>161824.68270691333</v>
      </c>
      <c r="K57" s="65">
        <f>(+(0.67*B57*(K$8)+(K$8*'Rate Projection'!$J$8))+(0.33*C57*(K$8)+K$8*'Rate Projection'!$J$8))</f>
        <v>25727006.50440684</v>
      </c>
      <c r="L57" s="65">
        <f>(+(0.67*D57*(L$8)+(L$8*'Rate Projection'!$J$8))+(0.33*E57*(L$8)+L$8*'Rate Projection'!$J$8))</f>
        <v>44631888.22487694</v>
      </c>
      <c r="M57" s="74"/>
      <c r="N57" s="67">
        <f t="shared" si="15"/>
        <v>327167.66386372264</v>
      </c>
      <c r="O57" s="143"/>
      <c r="P57" s="84">
        <f t="shared" si="16"/>
        <v>25399838.840543117</v>
      </c>
      <c r="Q57" s="89">
        <f t="shared" si="10"/>
        <v>229541886.85858706</v>
      </c>
      <c r="R57" s="84">
        <f t="shared" si="17"/>
        <v>44304720.561013214</v>
      </c>
      <c r="S57" s="89">
        <f t="shared" si="10"/>
        <v>403229762.09663582</v>
      </c>
      <c r="T57" s="194"/>
    </row>
    <row r="58" spans="1:20" ht="15.75" customHeight="1" x14ac:dyDescent="0.3">
      <c r="A58">
        <f t="shared" si="0"/>
        <v>2057</v>
      </c>
      <c r="B58" s="1">
        <f t="shared" si="11"/>
        <v>332.61931500187933</v>
      </c>
      <c r="C58" s="1">
        <f t="shared" si="12"/>
        <v>415.77414375234918</v>
      </c>
      <c r="D58" s="1">
        <f t="shared" si="5"/>
        <v>624.66712081502112</v>
      </c>
      <c r="E58" s="1">
        <f t="shared" si="6"/>
        <v>624.66712081502112</v>
      </c>
      <c r="F58" s="148">
        <f>(F57*$G$8)+F57</f>
        <v>2.0068222528393767</v>
      </c>
      <c r="G58" s="134">
        <f>(G57*$G$8)+G57</f>
        <v>2.4992655594976552</v>
      </c>
      <c r="I58" s="130">
        <f t="shared" si="13"/>
        <v>25829</v>
      </c>
      <c r="J58" s="100">
        <f t="shared" si="14"/>
        <v>164266.02642802603</v>
      </c>
      <c r="K58" s="65">
        <f>(+(0.67*B58*(K$8)+(K$8*'Rate Projection'!$J$8))+(0.33*C58*(K$8)+K$8*'Rate Projection'!$J$8))</f>
        <v>28828105.942300104</v>
      </c>
      <c r="L58" s="65">
        <f>(+(0.67*D58*(L$8)+(L$8*'Rate Projection'!$J$8))+(0.33*E58*(L$8)+L$8*'Rate Projection'!$J$8))</f>
        <v>50011971.154172868</v>
      </c>
      <c r="M58" s="74"/>
      <c r="N58" s="67">
        <f t="shared" si="15"/>
        <v>356346.9799457888</v>
      </c>
      <c r="O58" s="143"/>
      <c r="P58" s="84">
        <f t="shared" si="16"/>
        <v>28471758.962354314</v>
      </c>
      <c r="Q58" s="89">
        <f t="shared" si="10"/>
        <v>258013645.82094136</v>
      </c>
      <c r="R58" s="84">
        <f t="shared" si="17"/>
        <v>49655624.174227081</v>
      </c>
      <c r="S58" s="89">
        <f t="shared" si="10"/>
        <v>452885386.27086288</v>
      </c>
      <c r="T58" s="194"/>
    </row>
    <row r="59" spans="1:20" ht="15.75" customHeight="1" x14ac:dyDescent="0.3">
      <c r="A59">
        <f t="shared" si="0"/>
        <v>2058</v>
      </c>
      <c r="B59" s="1">
        <f t="shared" si="11"/>
        <v>372.71657342535588</v>
      </c>
      <c r="C59" s="1">
        <f t="shared" si="12"/>
        <v>465.89571678169489</v>
      </c>
      <c r="D59" s="1">
        <f t="shared" si="5"/>
        <v>699.97074222927188</v>
      </c>
      <c r="E59" s="1">
        <f t="shared" si="6"/>
        <v>699.97074222927188</v>
      </c>
      <c r="F59" s="148">
        <f>+F58</f>
        <v>2.0068222528393767</v>
      </c>
      <c r="G59" s="134">
        <f>+G58</f>
        <v>2.4992655594976552</v>
      </c>
      <c r="I59" s="130">
        <f t="shared" si="13"/>
        <v>26057</v>
      </c>
      <c r="J59" s="100">
        <f t="shared" si="14"/>
        <v>166744.20111376612</v>
      </c>
      <c r="K59" s="65">
        <f>(+(0.67*B59*(K$8)+(K$8*'Rate Projection'!$J$8))+(0.33*C59*(K$8)+K$8*'Rate Projection'!$J$8))</f>
        <v>32303042.917431399</v>
      </c>
      <c r="L59" s="65">
        <f>(+(0.67*D59*(L$8)+(L$8*'Rate Projection'!$J$8))+(0.33*E59*(L$8)+L$8*'Rate Projection'!$J$8))</f>
        <v>56040623.080595419</v>
      </c>
      <c r="M59" s="74"/>
      <c r="N59" s="67">
        <f t="shared" si="15"/>
        <v>361722.95502867375</v>
      </c>
      <c r="O59" s="143"/>
      <c r="P59" s="84">
        <f t="shared" si="16"/>
        <v>31941319.962402724</v>
      </c>
      <c r="Q59" s="89">
        <f t="shared" si="10"/>
        <v>289954965.78334409</v>
      </c>
      <c r="R59" s="84">
        <f t="shared" si="17"/>
        <v>55678900.125566743</v>
      </c>
      <c r="S59" s="89">
        <f t="shared" si="10"/>
        <v>508564286.3964296</v>
      </c>
      <c r="T59" s="194"/>
    </row>
    <row r="60" spans="1:20" ht="15.75" customHeight="1" x14ac:dyDescent="0.3">
      <c r="A60">
        <f t="shared" si="0"/>
        <v>2059</v>
      </c>
      <c r="B60" s="1">
        <f t="shared" si="11"/>
        <v>417.64755635178255</v>
      </c>
      <c r="C60" s="1">
        <f t="shared" si="12"/>
        <v>522.05944543972817</v>
      </c>
      <c r="D60" s="1">
        <f t="shared" si="5"/>
        <v>784.35221520501057</v>
      </c>
      <c r="E60" s="1">
        <f t="shared" si="6"/>
        <v>784.35221520501057</v>
      </c>
      <c r="F60" s="148">
        <f>+F59</f>
        <v>2.0068222528393767</v>
      </c>
      <c r="G60" s="134">
        <f>+G59</f>
        <v>2.4992655594976552</v>
      </c>
      <c r="I60" s="130">
        <f t="shared" si="13"/>
        <v>26285</v>
      </c>
      <c r="J60" s="100">
        <f t="shared" si="14"/>
        <v>169259.7624089384</v>
      </c>
      <c r="K60" s="65">
        <f>(+(0.67*B60*(K$8)+(K$8*'Rate Projection'!$J$8))+(0.33*C60*(K$8)+K$8*'Rate Projection'!$J$8))</f>
        <v>36196883.544914767</v>
      </c>
      <c r="L60" s="65">
        <f>(+(0.67*D60*(L$8)+(L$8*'Rate Projection'!$J$8))+(0.33*E60*(L$8)+L$8*'Rate Projection'!$J$8))</f>
        <v>62796028.996748224</v>
      </c>
      <c r="M60" s="74"/>
      <c r="N60" s="67">
        <f t="shared" si="15"/>
        <v>367180.03395056468</v>
      </c>
      <c r="O60" s="143"/>
      <c r="P60" s="84">
        <f t="shared" si="16"/>
        <v>35829703.5109642</v>
      </c>
      <c r="Q60" s="89">
        <f t="shared" si="10"/>
        <v>325784669.2943083</v>
      </c>
      <c r="R60" s="84">
        <f t="shared" si="17"/>
        <v>62428848.962797657</v>
      </c>
      <c r="S60" s="89">
        <f t="shared" si="10"/>
        <v>570993135.3592273</v>
      </c>
      <c r="T60" s="194"/>
    </row>
    <row r="61" spans="1:20" ht="15.75" customHeight="1" x14ac:dyDescent="0.3">
      <c r="A61">
        <f t="shared" si="0"/>
        <v>2060</v>
      </c>
      <c r="B61" s="1">
        <f t="shared" si="11"/>
        <v>467.99496926998995</v>
      </c>
      <c r="C61" s="1">
        <f t="shared" si="12"/>
        <v>584.99371158748738</v>
      </c>
      <c r="D61" s="1">
        <f t="shared" si="5"/>
        <v>878.90587474797462</v>
      </c>
      <c r="E61" s="1">
        <f t="shared" si="6"/>
        <v>878.90587474797462</v>
      </c>
      <c r="F61" s="148">
        <f>(F60*$G$8)+F60</f>
        <v>2.1533202772966513</v>
      </c>
      <c r="G61" s="134">
        <f>(G60*$G$8)+G60</f>
        <v>2.6817119453409841</v>
      </c>
      <c r="I61" s="130">
        <f t="shared" si="13"/>
        <v>26513</v>
      </c>
      <c r="J61" s="100">
        <f t="shared" si="14"/>
        <v>171813.2743409994</v>
      </c>
      <c r="K61" s="65">
        <f>(+(0.67*B61*(K$8)+(K$8*'Rate Projection'!$J$8))+(0.33*C61*(K$8)+K$8*'Rate Projection'!$J$8))</f>
        <v>40560126.660041258</v>
      </c>
      <c r="L61" s="65">
        <f>(+(0.67*D61*(L$8)+(L$8*'Rate Projection'!$J$8))+(0.33*E61*(L$8)+L$8*'Rate Projection'!$J$8))</f>
        <v>70365799.096093237</v>
      </c>
      <c r="M61" s="74"/>
      <c r="N61" s="67">
        <f t="shared" si="15"/>
        <v>399927.95941220224</v>
      </c>
      <c r="O61" s="143"/>
      <c r="P61" s="84">
        <f t="shared" si="16"/>
        <v>40160198.700629056</v>
      </c>
      <c r="Q61" s="89">
        <f t="shared" si="10"/>
        <v>365944867.99493736</v>
      </c>
      <c r="R61" s="84">
        <f t="shared" si="17"/>
        <v>69965871.136681035</v>
      </c>
      <c r="S61" s="89">
        <f t="shared" si="10"/>
        <v>640959006.49590838</v>
      </c>
      <c r="T61" s="194"/>
    </row>
    <row r="62" spans="1:20" ht="15.75" customHeight="1" x14ac:dyDescent="0.3">
      <c r="A62">
        <f t="shared" si="0"/>
        <v>2061</v>
      </c>
      <c r="B62" s="1">
        <f t="shared" si="11"/>
        <v>524.41176281548724</v>
      </c>
      <c r="C62" s="1">
        <f t="shared" si="12"/>
        <v>655.51470351935905</v>
      </c>
      <c r="D62" s="1">
        <f t="shared" si="5"/>
        <v>984.85797794884297</v>
      </c>
      <c r="E62" s="1">
        <f t="shared" si="6"/>
        <v>984.85797794884297</v>
      </c>
      <c r="F62" s="148">
        <f>+F61</f>
        <v>2.1533202772966513</v>
      </c>
      <c r="G62" s="134">
        <f>+G61</f>
        <v>2.6817119453409841</v>
      </c>
      <c r="I62" s="130">
        <f t="shared" si="13"/>
        <v>26741</v>
      </c>
      <c r="J62" s="100">
        <f t="shared" si="14"/>
        <v>174405.30944652099</v>
      </c>
      <c r="K62" s="65">
        <f>(+(0.67*B62*(K$8)+(K$8*'Rate Projection'!$J$8))+(0.33*C62*(K$8)+K$8*'Rate Projection'!$J$8))</f>
        <v>45449358.73269625</v>
      </c>
      <c r="L62" s="65">
        <f>(+(0.67*D62*(L$8)+(L$8*'Rate Projection'!$J$8))+(0.33*E62*(L$8)+L$8*'Rate Projection'!$J$8))</f>
        <v>78848104.98091428</v>
      </c>
      <c r="M62" s="74"/>
      <c r="N62" s="67">
        <f t="shared" si="15"/>
        <v>405961.41238288849</v>
      </c>
      <c r="O62" s="143"/>
      <c r="P62" s="84">
        <f t="shared" si="16"/>
        <v>45043397.320313364</v>
      </c>
      <c r="Q62" s="89">
        <f t="shared" si="10"/>
        <v>410988265.31525075</v>
      </c>
      <c r="R62" s="84">
        <f t="shared" si="17"/>
        <v>78442143.568531394</v>
      </c>
      <c r="S62" s="89">
        <f t="shared" si="10"/>
        <v>719401150.06443977</v>
      </c>
      <c r="T62" s="194"/>
    </row>
    <row r="63" spans="1:20" ht="15.75" customHeight="1" x14ac:dyDescent="0.3">
      <c r="A63">
        <f t="shared" si="0"/>
        <v>2062</v>
      </c>
      <c r="B63" s="1">
        <f t="shared" si="11"/>
        <v>587.62960082289419</v>
      </c>
      <c r="C63" s="1">
        <f t="shared" si="12"/>
        <v>734.53700102861774</v>
      </c>
      <c r="D63" s="1">
        <f t="shared" si="5"/>
        <v>1103.582607190576</v>
      </c>
      <c r="E63" s="1">
        <f t="shared" si="6"/>
        <v>1103.582607190576</v>
      </c>
      <c r="F63" s="148">
        <f>+F62</f>
        <v>2.1533202772966513</v>
      </c>
      <c r="G63" s="134">
        <f>+G62</f>
        <v>2.6817119453409841</v>
      </c>
      <c r="I63" s="130">
        <f t="shared" si="13"/>
        <v>26969</v>
      </c>
      <c r="J63" s="100">
        <f t="shared" si="14"/>
        <v>177036.44889956186</v>
      </c>
      <c r="K63" s="65">
        <f>(+(0.67*B63*(K$8)+(K$8*'Rate Projection'!$J$8))+(0.33*C63*(K$8)+K$8*'Rate Projection'!$J$8))</f>
        <v>50927987.731709793</v>
      </c>
      <c r="L63" s="65">
        <f>(+(0.67*D63*(L$8)+(L$8*'Rate Projection'!$J$8))+(0.33*E63*(L$8)+L$8*'Rate Projection'!$J$8))</f>
        <v>88352952.84015052</v>
      </c>
      <c r="M63" s="74"/>
      <c r="N63" s="67">
        <f t="shared" si="15"/>
        <v>412085.88813378499</v>
      </c>
      <c r="O63" s="143"/>
      <c r="P63" s="84">
        <f t="shared" si="16"/>
        <v>50515901.843576007</v>
      </c>
      <c r="Q63" s="89">
        <f t="shared" si="10"/>
        <v>461504167.15882677</v>
      </c>
      <c r="R63" s="84">
        <f t="shared" si="17"/>
        <v>87940866.952016741</v>
      </c>
      <c r="S63" s="89">
        <f t="shared" si="10"/>
        <v>807342017.01645648</v>
      </c>
      <c r="T63" s="194"/>
    </row>
    <row r="64" spans="1:20" ht="15.75" customHeight="1" x14ac:dyDescent="0.3">
      <c r="A64">
        <f t="shared" si="0"/>
        <v>2063</v>
      </c>
      <c r="B64" s="1">
        <f t="shared" si="11"/>
        <v>658.46834920209403</v>
      </c>
      <c r="C64" s="1">
        <f t="shared" si="12"/>
        <v>823.08543650261765</v>
      </c>
      <c r="D64" s="1">
        <f t="shared" si="5"/>
        <v>1236.6194904874001</v>
      </c>
      <c r="E64" s="1">
        <f t="shared" si="6"/>
        <v>1236.6194904874001</v>
      </c>
      <c r="F64" s="148">
        <f>(F63*$G$8)+F63</f>
        <v>2.3105126575393067</v>
      </c>
      <c r="G64" s="134">
        <f>(G63*$G$8)+G63</f>
        <v>2.8774769173508759</v>
      </c>
      <c r="I64" s="130">
        <f t="shared" si="13"/>
        <v>27197</v>
      </c>
      <c r="J64" s="100">
        <f t="shared" si="14"/>
        <v>179707.28264197567</v>
      </c>
      <c r="K64" s="65">
        <f>(+(0.67*B64*(K$8)+(K$8*'Rate Projection'!$J$8))+(0.33*C64*(K$8)+K$8*'Rate Projection'!$J$8))</f>
        <v>57067065.456554428</v>
      </c>
      <c r="L64" s="65">
        <f>(+(0.67*D64*(L$8)+(L$8*'Rate Projection'!$J$8))+(0.33*E64*(L$8)+L$8*'Rate Projection'!$J$8))</f>
        <v>99003610.108817697</v>
      </c>
      <c r="M64" s="74"/>
      <c r="N64" s="67">
        <f t="shared" si="15"/>
        <v>448838.86133661109</v>
      </c>
      <c r="O64" s="143"/>
      <c r="P64" s="84">
        <f t="shared" si="16"/>
        <v>56618226.595217817</v>
      </c>
      <c r="Q64" s="89">
        <f t="shared" si="10"/>
        <v>518122393.75404459</v>
      </c>
      <c r="R64" s="84">
        <f t="shared" si="17"/>
        <v>98554771.247481093</v>
      </c>
      <c r="S64" s="89">
        <f t="shared" si="10"/>
        <v>905896788.26393759</v>
      </c>
      <c r="T64" s="194"/>
    </row>
    <row r="65" spans="1:20" ht="15.75" customHeight="1" x14ac:dyDescent="0.3">
      <c r="A65">
        <f t="shared" si="0"/>
        <v>2064</v>
      </c>
      <c r="B65" s="1">
        <f t="shared" si="11"/>
        <v>737.84670869840647</v>
      </c>
      <c r="C65" s="1">
        <f t="shared" si="12"/>
        <v>922.30838587300821</v>
      </c>
      <c r="D65" s="1">
        <f t="shared" si="5"/>
        <v>1385.6939700656562</v>
      </c>
      <c r="E65" s="1">
        <f t="shared" si="6"/>
        <v>1385.6939700656562</v>
      </c>
      <c r="F65" s="148">
        <f>+F64</f>
        <v>2.3105126575393067</v>
      </c>
      <c r="G65" s="134">
        <f>+G64</f>
        <v>2.8774769173508759</v>
      </c>
      <c r="I65" s="130">
        <f t="shared" si="13"/>
        <v>27425</v>
      </c>
      <c r="J65" s="100">
        <f t="shared" si="14"/>
        <v>182418.40951568508</v>
      </c>
      <c r="K65" s="65">
        <f>(+(0.67*B65*(K$8)+(K$8*'Rate Projection'!$J$8))+(0.33*C65*(K$8)+K$8*'Rate Projection'!$J$8))</f>
        <v>63946209.001129076</v>
      </c>
      <c r="L65" s="65">
        <f>(+(0.67*D65*(L$8)+(L$8*'Rate Projection'!$J$8))+(0.33*E65*(L$8)+L$8*'Rate Projection'!$J$8))</f>
        <v>110938204.11122268</v>
      </c>
      <c r="M65" s="74"/>
      <c r="N65" s="67">
        <f t="shared" si="15"/>
        <v>455610.20126811031</v>
      </c>
      <c r="O65" s="143"/>
      <c r="P65" s="84">
        <f t="shared" si="16"/>
        <v>63490598.799860969</v>
      </c>
      <c r="Q65" s="89">
        <f t="shared" si="10"/>
        <v>581612992.55390561</v>
      </c>
      <c r="R65" s="84">
        <f t="shared" si="17"/>
        <v>110482593.90995458</v>
      </c>
      <c r="S65" s="89">
        <f t="shared" si="10"/>
        <v>1016379382.1738921</v>
      </c>
      <c r="T65" s="194"/>
    </row>
    <row r="66" spans="1:20" ht="15.75" customHeight="1" x14ac:dyDescent="0.3">
      <c r="A66">
        <f t="shared" si="0"/>
        <v>2065</v>
      </c>
      <c r="B66" s="1">
        <f t="shared" si="11"/>
        <v>826.79412943199941</v>
      </c>
      <c r="C66" s="1">
        <f t="shared" si="12"/>
        <v>1033.4926617899994</v>
      </c>
      <c r="D66" s="1">
        <f t="shared" si="5"/>
        <v>1552.7393781570711</v>
      </c>
      <c r="E66" s="1">
        <f t="shared" si="6"/>
        <v>1552.7393781570711</v>
      </c>
      <c r="F66" s="148">
        <f>+F65</f>
        <v>2.3105126575393067</v>
      </c>
      <c r="G66" s="134">
        <f>+G65</f>
        <v>2.8774769173508759</v>
      </c>
      <c r="I66" s="130">
        <f t="shared" si="13"/>
        <v>27653</v>
      </c>
      <c r="J66" s="100">
        <f t="shared" si="14"/>
        <v>185170.43739695128</v>
      </c>
      <c r="K66" s="65">
        <f>(+(0.67*B66*(K$8)+(K$8*'Rate Projection'!$J$8))+(0.33*C66*(K$8)+K$8*'Rate Projection'!$J$8))</f>
        <v>71654633.300002202</v>
      </c>
      <c r="L66" s="65">
        <f>(+(0.67*D66*(L$8)+(L$8*'Rate Projection'!$J$8))+(0.33*E66*(L$8)+L$8*'Rate Projection'!$J$8))</f>
        <v>124311513.42061758</v>
      </c>
      <c r="M66" s="74"/>
      <c r="N66" s="67">
        <f t="shared" si="15"/>
        <v>462483.69600040221</v>
      </c>
      <c r="O66" s="143"/>
      <c r="P66" s="84">
        <f t="shared" si="16"/>
        <v>71192149.604001805</v>
      </c>
      <c r="Q66" s="89">
        <f t="shared" si="10"/>
        <v>652805142.15790737</v>
      </c>
      <c r="R66" s="84">
        <f t="shared" si="17"/>
        <v>123849029.72461718</v>
      </c>
      <c r="S66" s="89">
        <f t="shared" si="10"/>
        <v>1140228411.8985093</v>
      </c>
      <c r="T66" s="194"/>
    </row>
    <row r="67" spans="1:20" ht="15.75" customHeight="1" x14ac:dyDescent="0.3">
      <c r="A67">
        <f t="shared" si="0"/>
        <v>2066</v>
      </c>
      <c r="B67" s="1">
        <f t="shared" si="11"/>
        <v>926.46416173502689</v>
      </c>
      <c r="C67" s="1">
        <f t="shared" si="12"/>
        <v>1158.0802021687839</v>
      </c>
      <c r="D67" s="1">
        <f t="shared" si="5"/>
        <v>1739.9221101939061</v>
      </c>
      <c r="E67" s="1">
        <f t="shared" si="6"/>
        <v>1739.9221101939061</v>
      </c>
      <c r="F67" s="148">
        <f>(F66*$G$8)+F66</f>
        <v>2.4791800815396758</v>
      </c>
      <c r="G67" s="134">
        <f>(G66*$G$8)+G66</f>
        <v>3.0875327323174897</v>
      </c>
      <c r="I67" s="130">
        <f t="shared" si="13"/>
        <v>27881</v>
      </c>
      <c r="J67" s="100">
        <f t="shared" si="14"/>
        <v>187963.98333266919</v>
      </c>
      <c r="K67" s="65">
        <f>(+(0.67*B67*(K$8)+(K$8*'Rate Projection'!$J$8))+(0.33*C67*(K$8)+K$8*'Rate Projection'!$J$8))</f>
        <v>80292308.148104489</v>
      </c>
      <c r="L67" s="65">
        <f>(+(0.67*D67*(L$8)+(L$8*'Rate Projection'!$J$8))+(0.33*E67*(L$8)+L$8*'Rate Projection'!$J$8))</f>
        <v>139296975.16726005</v>
      </c>
      <c r="M67" s="74"/>
      <c r="N67" s="67">
        <f t="shared" si="15"/>
        <v>503731.53140390047</v>
      </c>
      <c r="O67" s="143"/>
      <c r="P67" s="84">
        <f t="shared" si="16"/>
        <v>79788576.61670059</v>
      </c>
      <c r="Q67" s="89">
        <f t="shared" si="10"/>
        <v>732593718.7746079</v>
      </c>
      <c r="R67" s="84">
        <f t="shared" si="17"/>
        <v>138793243.63585615</v>
      </c>
      <c r="S67" s="89">
        <f t="shared" si="10"/>
        <v>1279021655.5343654</v>
      </c>
      <c r="T67" s="194"/>
    </row>
    <row r="68" spans="1:20" ht="15.75" customHeight="1" x14ac:dyDescent="0.3">
      <c r="A68">
        <f t="shared" si="0"/>
        <v>2067</v>
      </c>
      <c r="B68" s="1">
        <f t="shared" si="11"/>
        <v>1038.1494164321844</v>
      </c>
      <c r="C68" s="1">
        <f t="shared" si="12"/>
        <v>1297.6867705402308</v>
      </c>
      <c r="D68" s="1">
        <f t="shared" si="5"/>
        <v>1949.6697205777814</v>
      </c>
      <c r="E68" s="1">
        <f t="shared" si="6"/>
        <v>1949.6697205777814</v>
      </c>
      <c r="F68" s="148">
        <f>+F67</f>
        <v>2.4791800815396758</v>
      </c>
      <c r="G68" s="134">
        <f>+G67</f>
        <v>3.0875327323174897</v>
      </c>
      <c r="I68" s="130">
        <f t="shared" si="13"/>
        <v>28109</v>
      </c>
      <c r="J68" s="100">
        <f t="shared" si="14"/>
        <v>190799.67367871886</v>
      </c>
      <c r="K68" s="65">
        <f>(+(0.67*B68*(K$8)+(K$8*'Rate Projection'!$J$8))+(0.33*C68*(K$8)+K$8*'Rate Projection'!$J$8))</f>
        <v>89971254.699145496</v>
      </c>
      <c r="L68" s="65">
        <f>(+(0.67*D68*(L$8)+(L$8*'Rate Projection'!$J$8))+(0.33*E68*(L$8)+L$8*'Rate Projection'!$J$8))</f>
        <v>156088934.32746029</v>
      </c>
      <c r="M68" s="74"/>
      <c r="N68" s="67">
        <f t="shared" si="15"/>
        <v>511331.00134104665</v>
      </c>
      <c r="O68" s="143"/>
      <c r="P68" s="84">
        <f t="shared" si="16"/>
        <v>89459923.697804451</v>
      </c>
      <c r="Q68" s="89">
        <f t="shared" si="10"/>
        <v>822053642.47241235</v>
      </c>
      <c r="R68" s="84">
        <f t="shared" si="17"/>
        <v>155577603.32611924</v>
      </c>
      <c r="S68" s="89">
        <f t="shared" si="10"/>
        <v>1434599258.8604846</v>
      </c>
      <c r="T68" s="194"/>
    </row>
    <row r="69" spans="1:20" ht="15.75" customHeight="1" x14ac:dyDescent="0.3">
      <c r="A69">
        <f t="shared" si="0"/>
        <v>2068</v>
      </c>
      <c r="B69" s="1">
        <f t="shared" si="11"/>
        <v>1163.2983285830842</v>
      </c>
      <c r="C69" s="1">
        <f t="shared" si="12"/>
        <v>1454.1229107288557</v>
      </c>
      <c r="D69" s="1">
        <f t="shared" si="5"/>
        <v>2184.7024053934329</v>
      </c>
      <c r="E69" s="1">
        <f t="shared" si="6"/>
        <v>2184.7024053934329</v>
      </c>
      <c r="F69" s="148">
        <f>+F68</f>
        <v>2.4791800815396758</v>
      </c>
      <c r="G69" s="134">
        <f>+G68</f>
        <v>3.0875327323174897</v>
      </c>
      <c r="I69" s="130">
        <f t="shared" si="13"/>
        <v>28337</v>
      </c>
      <c r="J69" s="100">
        <f t="shared" si="14"/>
        <v>193678.14424040401</v>
      </c>
      <c r="K69" s="65">
        <f>(+(0.67*B69*(K$8)+(K$8*'Rate Projection'!$J$8))+(0.33*C69*(K$8)+K$8*'Rate Projection'!$J$8))</f>
        <v>100816998.2569145</v>
      </c>
      <c r="L69" s="65">
        <f>(+(0.67*D69*(L$8)+(L$8*'Rate Projection'!$J$8))+(0.33*E69*(L$8)+L$8*'Rate Projection'!$J$8))</f>
        <v>174905164.16442263</v>
      </c>
      <c r="M69" s="74"/>
      <c r="N69" s="67">
        <f t="shared" si="15"/>
        <v>519045.11953768251</v>
      </c>
      <c r="O69" s="143"/>
      <c r="P69" s="84">
        <f t="shared" si="16"/>
        <v>100297953.13737682</v>
      </c>
      <c r="Q69" s="89">
        <f t="shared" si="10"/>
        <v>922351595.60978913</v>
      </c>
      <c r="R69" s="84">
        <f t="shared" si="17"/>
        <v>174386119.04488495</v>
      </c>
      <c r="S69" s="89">
        <f t="shared" si="10"/>
        <v>1608985377.9053695</v>
      </c>
      <c r="T69" s="194"/>
    </row>
    <row r="70" spans="1:20" ht="15.75" customHeight="1" x14ac:dyDescent="0.3">
      <c r="A70">
        <f t="shared" si="0"/>
        <v>2069</v>
      </c>
      <c r="B70" s="1">
        <f t="shared" si="11"/>
        <v>1303.5339420937751</v>
      </c>
      <c r="C70" s="1">
        <f t="shared" si="12"/>
        <v>1629.4174276172193</v>
      </c>
      <c r="D70" s="1">
        <f t="shared" si="5"/>
        <v>2448.0682803636114</v>
      </c>
      <c r="E70" s="1">
        <f t="shared" si="6"/>
        <v>2448.0682803636114</v>
      </c>
      <c r="F70" s="148">
        <f>(F69*$G$8)+F69</f>
        <v>2.6601602274920721</v>
      </c>
      <c r="G70" s="134">
        <f>(G69*$G$8)+G69</f>
        <v>3.3129226217766665</v>
      </c>
      <c r="I70" s="130">
        <f t="shared" si="13"/>
        <v>28565</v>
      </c>
      <c r="J70" s="100">
        <f t="shared" si="14"/>
        <v>196600.04041500945</v>
      </c>
      <c r="K70" s="65">
        <f>(+(0.67*B70*(K$8)+(K$8*'Rate Projection'!$J$8))+(0.33*C70*(K$8)+K$8*'Rate Projection'!$J$8))</f>
        <v>112970196.20057258</v>
      </c>
      <c r="L70" s="65">
        <f>(+(0.67*D70*(L$8)+(L$8*'Rate Projection'!$J$8))+(0.33*E70*(L$8)+L$8*'Rate Projection'!$J$8))</f>
        <v>195989690.50823081</v>
      </c>
      <c r="M70" s="74"/>
      <c r="N70" s="67">
        <f t="shared" si="15"/>
        <v>565337.53555759951</v>
      </c>
      <c r="O70" s="143"/>
      <c r="P70" s="84">
        <f t="shared" si="16"/>
        <v>112404858.66501498</v>
      </c>
      <c r="Q70" s="89">
        <f t="shared" si="10"/>
        <v>1034756454.2748041</v>
      </c>
      <c r="R70" s="84">
        <f t="shared" si="17"/>
        <v>195424352.97267321</v>
      </c>
      <c r="S70" s="89">
        <f t="shared" si="10"/>
        <v>1804409730.8780427</v>
      </c>
      <c r="T70" s="194"/>
    </row>
    <row r="71" spans="1:20" ht="15.75" customHeight="1" x14ac:dyDescent="0.3">
      <c r="A71">
        <f t="shared" si="0"/>
        <v>2070</v>
      </c>
      <c r="B71" s="1">
        <f t="shared" si="11"/>
        <v>1460.6749588131797</v>
      </c>
      <c r="C71" s="1">
        <f t="shared" si="12"/>
        <v>1825.8436985164751</v>
      </c>
      <c r="D71" s="1">
        <f t="shared" si="5"/>
        <v>2743.1829115614446</v>
      </c>
      <c r="E71" s="1">
        <f t="shared" si="6"/>
        <v>2743.1829115614446</v>
      </c>
      <c r="F71" s="148">
        <f>+F70</f>
        <v>2.6601602274920721</v>
      </c>
      <c r="G71" s="134">
        <f>+G70</f>
        <v>3.3129226217766665</v>
      </c>
      <c r="I71" s="130">
        <f t="shared" si="13"/>
        <v>28793</v>
      </c>
      <c r="J71" s="100">
        <f t="shared" si="14"/>
        <v>199566.01733650896</v>
      </c>
      <c r="K71" s="65">
        <f>(+(0.67*B71*(K$8)+(K$8*'Rate Projection'!$J$8))+(0.33*C71*(K$8)+K$8*'Rate Projection'!$J$8))</f>
        <v>126588462.15633862</v>
      </c>
      <c r="L71" s="65">
        <f>(+(0.67*D71*(L$8)+(L$8*'Rate Projection'!$J$8))+(0.33*E71*(L$8)+L$8*'Rate Projection'!$J$8))</f>
        <v>219615956.50278506</v>
      </c>
      <c r="M71" s="74"/>
      <c r="N71" s="67">
        <f t="shared" si="15"/>
        <v>573866.41520473326</v>
      </c>
      <c r="O71" s="143"/>
      <c r="P71" s="84">
        <f t="shared" si="16"/>
        <v>126014595.74113388</v>
      </c>
      <c r="Q71" s="89">
        <f t="shared" si="10"/>
        <v>1160771050.015938</v>
      </c>
      <c r="R71" s="84">
        <f t="shared" si="17"/>
        <v>219042090.08758032</v>
      </c>
      <c r="S71" s="89">
        <f t="shared" si="10"/>
        <v>2023451820.9656229</v>
      </c>
      <c r="T71" s="194"/>
    </row>
    <row r="72" spans="1:20" ht="15.75" customHeight="1" x14ac:dyDescent="0.3">
      <c r="A72">
        <f t="shared" si="0"/>
        <v>2071</v>
      </c>
      <c r="B72" s="1">
        <f t="shared" si="11"/>
        <v>1636.7593250981085</v>
      </c>
      <c r="C72" s="1">
        <f t="shared" si="12"/>
        <v>2045.9491563726363</v>
      </c>
      <c r="D72" s="1">
        <f t="shared" si="5"/>
        <v>3073.873611550177</v>
      </c>
      <c r="E72" s="1">
        <f t="shared" si="6"/>
        <v>3073.873611550177</v>
      </c>
      <c r="F72" s="148">
        <f>+F71</f>
        <v>2.6601602274920721</v>
      </c>
      <c r="G72" s="134">
        <f>+G71</f>
        <v>3.3129226217766665</v>
      </c>
      <c r="I72" s="130">
        <f t="shared" si="13"/>
        <v>29021</v>
      </c>
      <c r="J72" s="100">
        <f t="shared" si="14"/>
        <v>202576.74002245642</v>
      </c>
      <c r="K72" s="65">
        <f>(+(0.67*B72*(K$8)+(K$8*'Rate Projection'!$J$8))+(0.33*C72*(K$8)+K$8*'Rate Projection'!$J$8))</f>
        <v>141848410.07307225</v>
      </c>
      <c r="L72" s="65">
        <f>(+(0.67*D72*(L$8)+(L$8*'Rate Projection'!$J$8))+(0.33*E72*(L$8)+L$8*'Rate Projection'!$J$8))</f>
        <v>246090368.86298278</v>
      </c>
      <c r="M72" s="74"/>
      <c r="N72" s="67">
        <f t="shared" si="15"/>
        <v>582523.96451107075</v>
      </c>
      <c r="O72" s="143"/>
      <c r="P72" s="84">
        <f t="shared" si="16"/>
        <v>141265886.10856119</v>
      </c>
      <c r="Q72" s="89">
        <f t="shared" si="10"/>
        <v>1302036936.1244993</v>
      </c>
      <c r="R72" s="84">
        <f t="shared" si="17"/>
        <v>245507844.89847171</v>
      </c>
      <c r="S72" s="89">
        <f t="shared" si="10"/>
        <v>2268959665.8640947</v>
      </c>
      <c r="T72" s="194"/>
    </row>
    <row r="73" spans="1:20" ht="15.75" customHeight="1" x14ac:dyDescent="0.3">
      <c r="A73">
        <f t="shared" si="0"/>
        <v>2072</v>
      </c>
      <c r="B73" s="1">
        <f t="shared" si="11"/>
        <v>1834.0706617386854</v>
      </c>
      <c r="C73" s="1">
        <f t="shared" si="12"/>
        <v>2292.5883271733574</v>
      </c>
      <c r="D73" s="1">
        <f t="shared" si="5"/>
        <v>3444.4290754225508</v>
      </c>
      <c r="E73" s="1">
        <f t="shared" si="6"/>
        <v>3444.4290754225508</v>
      </c>
      <c r="F73" s="148">
        <f>(F72*$G$8)+F72</f>
        <v>2.8543519240989932</v>
      </c>
      <c r="G73" s="134">
        <f>(G72*$G$8)+G72</f>
        <v>3.5547659731663632</v>
      </c>
      <c r="I73" s="130">
        <f t="shared" si="13"/>
        <v>29249</v>
      </c>
      <c r="J73" s="100">
        <f t="shared" si="14"/>
        <v>205632.88352309295</v>
      </c>
      <c r="K73" s="65">
        <f>(+(0.67*B73*(K$8)+(K$8*'Rate Projection'!$J$8))+(0.33*C73*(K$8)+K$8*'Rate Projection'!$J$8))</f>
        <v>158947944.71116811</v>
      </c>
      <c r="L73" s="65">
        <f>(+(0.67*D73*(L$8)+(L$8*'Rate Projection'!$J$8))+(0.33*E73*(L$8)+L$8*'Rate Projection'!$J$8))</f>
        <v>275756271.63320243</v>
      </c>
      <c r="M73" s="74"/>
      <c r="N73" s="67">
        <f t="shared" si="15"/>
        <v>634477.90973020135</v>
      </c>
      <c r="O73" s="143"/>
      <c r="P73" s="84">
        <f t="shared" si="16"/>
        <v>158313466.80143791</v>
      </c>
      <c r="Q73" s="89">
        <f t="shared" si="10"/>
        <v>1460350402.9259372</v>
      </c>
      <c r="R73" s="84">
        <f t="shared" si="17"/>
        <v>275121793.72347224</v>
      </c>
      <c r="S73" s="89">
        <f t="shared" si="10"/>
        <v>2544081459.5875669</v>
      </c>
      <c r="T73" s="194"/>
    </row>
    <row r="74" spans="1:20" ht="15.75" customHeight="1" x14ac:dyDescent="0.3">
      <c r="A74">
        <f t="shared" si="0"/>
        <v>2073</v>
      </c>
      <c r="B74" s="1">
        <f t="shared" si="11"/>
        <v>2055.1678800112841</v>
      </c>
      <c r="C74" s="1">
        <f t="shared" si="12"/>
        <v>2568.9598500141055</v>
      </c>
      <c r="D74" s="1">
        <f t="shared" si="5"/>
        <v>3859.6550004647393</v>
      </c>
      <c r="E74" s="1">
        <f t="shared" si="6"/>
        <v>3859.6550004647393</v>
      </c>
      <c r="F74" s="148">
        <f>+F73</f>
        <v>2.8543519240989932</v>
      </c>
      <c r="G74" s="134">
        <f>+G73</f>
        <v>3.5547659731663632</v>
      </c>
      <c r="I74" s="130">
        <f t="shared" si="13"/>
        <v>29477</v>
      </c>
      <c r="J74" s="100">
        <f t="shared" si="14"/>
        <v>208735.13307270355</v>
      </c>
      <c r="K74" s="65">
        <f>(+(0.67*B74*(K$8)+(K$8*'Rate Projection'!$J$8))+(0.33*C74*(K$8)+K$8*'Rate Projection'!$J$8))</f>
        <v>178108828.24988645</v>
      </c>
      <c r="L74" s="65">
        <f>(+(0.67*D74*(L$8)+(L$8*'Rate Projection'!$J$8))+(0.33*E74*(L$8)+L$8*'Rate Projection'!$J$8))</f>
        <v>308998398.98237193</v>
      </c>
      <c r="M74" s="74"/>
      <c r="N74" s="67">
        <f t="shared" si="15"/>
        <v>644049.86522669345</v>
      </c>
      <c r="O74" s="143"/>
      <c r="P74" s="84">
        <f t="shared" si="16"/>
        <v>177464778.38465977</v>
      </c>
      <c r="Q74" s="89">
        <f t="shared" si="10"/>
        <v>1637815181.3105969</v>
      </c>
      <c r="R74" s="84">
        <f t="shared" si="17"/>
        <v>308354349.11714524</v>
      </c>
      <c r="S74" s="89">
        <f t="shared" si="10"/>
        <v>2852435808.7047119</v>
      </c>
      <c r="T74" s="194"/>
    </row>
    <row r="75" spans="1:20" ht="15.75" customHeight="1" x14ac:dyDescent="0.3">
      <c r="A75">
        <f t="shared" si="0"/>
        <v>2074</v>
      </c>
      <c r="B75" s="1">
        <f t="shared" si="11"/>
        <v>2302.9183679466441</v>
      </c>
      <c r="C75" s="1">
        <f t="shared" si="12"/>
        <v>2878.6479599333061</v>
      </c>
      <c r="D75" s="1">
        <f t="shared" si="5"/>
        <v>4324.9364107707634</v>
      </c>
      <c r="E75" s="1">
        <f t="shared" si="6"/>
        <v>4324.9364107707634</v>
      </c>
      <c r="F75" s="148">
        <f>+F74</f>
        <v>2.8543519240989932</v>
      </c>
      <c r="G75" s="134">
        <f>+G74</f>
        <v>3.5547659731663632</v>
      </c>
      <c r="I75" s="130">
        <f t="shared" si="13"/>
        <v>29705</v>
      </c>
      <c r="J75" s="100">
        <f t="shared" si="14"/>
        <v>211884.18424325716</v>
      </c>
      <c r="K75" s="65">
        <f>(+(0.67*B75*(K$8)+(K$8*'Rate Projection'!$J$8))+(0.33*C75*(K$8)+K$8*'Rate Projection'!$J$8))</f>
        <v>199579556.29919726</v>
      </c>
      <c r="L75" s="65">
        <f>(+(0.67*D75*(L$8)+(L$8*'Rate Projection'!$J$8))+(0.33*E75*(L$8)+L$8*'Rate Projection'!$J$8))</f>
        <v>346247864.78348386</v>
      </c>
      <c r="M75" s="74"/>
      <c r="N75" s="67">
        <f t="shared" si="15"/>
        <v>653766.22658920824</v>
      </c>
      <c r="O75" s="143"/>
      <c r="P75" s="84">
        <f t="shared" si="16"/>
        <v>198925790.07260805</v>
      </c>
      <c r="Q75" s="89">
        <f t="shared" si="10"/>
        <v>1836740971.3832049</v>
      </c>
      <c r="R75" s="84">
        <f t="shared" si="17"/>
        <v>345594098.55689466</v>
      </c>
      <c r="S75" s="89">
        <f t="shared" si="10"/>
        <v>3198029907.2616067</v>
      </c>
      <c r="T75" s="194"/>
    </row>
    <row r="76" spans="1:20" ht="15.75" customHeight="1" x14ac:dyDescent="0.3">
      <c r="A76">
        <f t="shared" ref="A76:A101" si="18">A75+1</f>
        <v>2075</v>
      </c>
      <c r="B76" s="1">
        <f t="shared" si="11"/>
        <v>2580.535177202612</v>
      </c>
      <c r="C76" s="1">
        <f t="shared" si="12"/>
        <v>3225.6689715032662</v>
      </c>
      <c r="D76" s="1">
        <f t="shared" si="5"/>
        <v>4846.3074950891787</v>
      </c>
      <c r="E76" s="1">
        <f t="shared" si="6"/>
        <v>4846.3074950891787</v>
      </c>
      <c r="F76" s="148">
        <f>(F75*$G$8)+F75</f>
        <v>3.0627196145582198</v>
      </c>
      <c r="G76" s="134">
        <f>(G75*$G$8)+G75</f>
        <v>3.8142638892075076</v>
      </c>
      <c r="I76" s="130">
        <f t="shared" ref="I76:I101" si="19">+I75+$I$8</f>
        <v>29933</v>
      </c>
      <c r="J76" s="100">
        <f t="shared" ref="J76:J101" si="20">(+J75)+(J75*$J$8)</f>
        <v>215080.74310036446</v>
      </c>
      <c r="K76" s="65">
        <f>(+(0.67*B76*(K$8)+(K$8*'Rate Projection'!$J$8))+(0.33*C76*(K$8)+K$8*'Rate Projection'!$J$8))</f>
        <v>223638580.61485255</v>
      </c>
      <c r="L76" s="65">
        <f>(+(0.67*D76*(L$8)+(L$8*'Rate Projection'!$J$8))+(0.33*E76*(L$8)+L$8*'Rate Projection'!$J$8))</f>
        <v>387987753.68691993</v>
      </c>
      <c r="M76" s="74"/>
      <c r="N76" s="67">
        <f t="shared" si="15"/>
        <v>712074.10195849347</v>
      </c>
      <c r="O76" s="143"/>
      <c r="P76" s="84">
        <f t="shared" si="16"/>
        <v>222926506.51289406</v>
      </c>
      <c r="Q76" s="89">
        <f t="shared" si="10"/>
        <v>2059667477.8960991</v>
      </c>
      <c r="R76" s="84">
        <f t="shared" si="17"/>
        <v>387275679.58496141</v>
      </c>
      <c r="S76" s="89">
        <f t="shared" si="10"/>
        <v>3585305586.8465681</v>
      </c>
      <c r="T76" s="194"/>
    </row>
    <row r="77" spans="1:20" ht="15.75" customHeight="1" x14ac:dyDescent="0.3">
      <c r="A77">
        <f t="shared" si="18"/>
        <v>2076</v>
      </c>
      <c r="B77" s="1">
        <f t="shared" si="11"/>
        <v>2891.618692814387</v>
      </c>
      <c r="C77" s="1">
        <f t="shared" si="12"/>
        <v>3614.5233660179852</v>
      </c>
      <c r="D77" s="1">
        <f t="shared" si="5"/>
        <v>5430.5298636221796</v>
      </c>
      <c r="E77" s="1">
        <f t="shared" si="6"/>
        <v>5430.5298636221796</v>
      </c>
      <c r="F77" s="148">
        <f>+F76</f>
        <v>3.0627196145582198</v>
      </c>
      <c r="G77" s="134">
        <f>+G76</f>
        <v>3.8142638892075076</v>
      </c>
      <c r="I77" s="130">
        <f t="shared" si="19"/>
        <v>30161</v>
      </c>
      <c r="J77" s="100">
        <f t="shared" si="20"/>
        <v>218325.52636158877</v>
      </c>
      <c r="K77" s="65">
        <f>(+(0.67*B77*(K$8)+(K$8*'Rate Projection'!$J$8))+(0.33*C77*(K$8)+K$8*'Rate Projection'!$J$8))</f>
        <v>250597920.31176007</v>
      </c>
      <c r="L77" s="65">
        <f>(+(0.67*D77*(L$8)+(L$8*'Rate Projection'!$J$8))+(0.33*E77*(L$8)+L$8*'Rate Projection'!$J$8))</f>
        <v>434759386.1976651</v>
      </c>
      <c r="M77" s="74"/>
      <c r="N77" s="67">
        <f t="shared" si="15"/>
        <v>722816.70073084417</v>
      </c>
      <c r="O77" s="143"/>
      <c r="P77" s="84">
        <f t="shared" si="16"/>
        <v>249875103.61102924</v>
      </c>
      <c r="Q77" s="89">
        <f t="shared" si="10"/>
        <v>2309542581.5071282</v>
      </c>
      <c r="R77" s="84">
        <f t="shared" si="17"/>
        <v>434036569.49693424</v>
      </c>
      <c r="S77" s="89">
        <f t="shared" si="10"/>
        <v>4019342156.3435025</v>
      </c>
      <c r="T77" s="194"/>
    </row>
    <row r="78" spans="1:20" ht="15.75" customHeight="1" x14ac:dyDescent="0.3">
      <c r="A78">
        <f t="shared" si="18"/>
        <v>2077</v>
      </c>
      <c r="B78" s="1">
        <f t="shared" si="11"/>
        <v>3240.2033262331615</v>
      </c>
      <c r="C78" s="1">
        <f t="shared" si="12"/>
        <v>4050.2541577914535</v>
      </c>
      <c r="D78" s="1">
        <f t="shared" si="5"/>
        <v>6085.1802386818335</v>
      </c>
      <c r="E78" s="1">
        <f t="shared" si="6"/>
        <v>6085.1802386818335</v>
      </c>
      <c r="F78" s="148">
        <f>+F77</f>
        <v>3.0627196145582198</v>
      </c>
      <c r="G78" s="134">
        <f>+G77</f>
        <v>3.8142638892075076</v>
      </c>
      <c r="I78" s="130">
        <f t="shared" si="19"/>
        <v>30389</v>
      </c>
      <c r="J78" s="100">
        <f t="shared" si="20"/>
        <v>221619.26155714507</v>
      </c>
      <c r="K78" s="65">
        <f>(+(0.67*B78*(K$8)+(K$8*'Rate Projection'!$J$8))+(0.33*C78*(K$8)+K$8*'Rate Projection'!$J$8))</f>
        <v>280807208.40912974</v>
      </c>
      <c r="L78" s="65">
        <f>(+(0.67*D78*(L$8)+(L$8*'Rate Projection'!$J$8))+(0.33*E78*(L$8)+L$8*'Rate Projection'!$J$8))</f>
        <v>487169339.00758064</v>
      </c>
      <c r="M78" s="74"/>
      <c r="N78" s="67">
        <f t="shared" si="15"/>
        <v>733721.36610281758</v>
      </c>
      <c r="O78" s="143"/>
      <c r="P78" s="84">
        <f t="shared" si="16"/>
        <v>280073487.04302692</v>
      </c>
      <c r="Q78" s="89">
        <f t="shared" si="10"/>
        <v>2589616068.5501552</v>
      </c>
      <c r="R78" s="84">
        <f t="shared" si="17"/>
        <v>486435617.64147782</v>
      </c>
      <c r="S78" s="89">
        <f t="shared" si="10"/>
        <v>4505777773.9849806</v>
      </c>
      <c r="T78" s="194"/>
    </row>
    <row r="79" spans="1:20" ht="15.75" customHeight="1" x14ac:dyDescent="0.3">
      <c r="A79">
        <f t="shared" si="18"/>
        <v>2078</v>
      </c>
      <c r="B79" s="1">
        <f t="shared" si="11"/>
        <v>3630.8098372105692</v>
      </c>
      <c r="C79" s="1">
        <f t="shared" si="12"/>
        <v>4538.5122965132132</v>
      </c>
      <c r="D79" s="1">
        <f t="shared" ref="D79:D101" si="21">(D78*$E$8)+D78</f>
        <v>6818.7487164549284</v>
      </c>
      <c r="E79" s="1">
        <f t="shared" ref="E79:E101" si="22">(E78*$E$8)+E78</f>
        <v>6818.7487164549284</v>
      </c>
      <c r="F79" s="148">
        <f>(F78*$G$8)+F78</f>
        <v>3.28629814642097</v>
      </c>
      <c r="G79" s="134">
        <f>(G78*$G$8)+G78</f>
        <v>4.0927051531196552</v>
      </c>
      <c r="I79" s="130">
        <f t="shared" si="19"/>
        <v>30617</v>
      </c>
      <c r="J79" s="100">
        <f t="shared" si="20"/>
        <v>224962.68719302339</v>
      </c>
      <c r="K79" s="65">
        <f>(+(0.67*B79*(K$8)+(K$8*'Rate Projection'!$J$8))+(0.33*C79*(K$8)+K$8*'Rate Projection'!$J$8))</f>
        <v>314658226.18663734</v>
      </c>
      <c r="L79" s="65">
        <f>(+(0.67*D79*(L$8)+(L$8*'Rate Projection'!$J$8))+(0.33*E79*(L$8)+L$8*'Rate Projection'!$J$8))</f>
        <v>545897311.62873161</v>
      </c>
      <c r="M79" s="74"/>
      <c r="N79" s="67">
        <f t="shared" si="15"/>
        <v>799160.25271172542</v>
      </c>
      <c r="O79" s="143"/>
      <c r="P79" s="84">
        <f t="shared" si="16"/>
        <v>313859065.93392563</v>
      </c>
      <c r="Q79" s="89">
        <f t="shared" si="10"/>
        <v>2903475134.4840808</v>
      </c>
      <c r="R79" s="84">
        <f t="shared" si="17"/>
        <v>545098151.37601984</v>
      </c>
      <c r="S79" s="89">
        <f t="shared" si="10"/>
        <v>5050875925.3610001</v>
      </c>
      <c r="T79" s="194"/>
    </row>
    <row r="80" spans="1:20" ht="15.75" customHeight="1" x14ac:dyDescent="0.3">
      <c r="A80">
        <f t="shared" si="18"/>
        <v>2079</v>
      </c>
      <c r="B80" s="1">
        <f t="shared" si="11"/>
        <v>4068.5039630863034</v>
      </c>
      <c r="C80" s="1">
        <f t="shared" si="12"/>
        <v>5085.6299538578814</v>
      </c>
      <c r="D80" s="1">
        <f t="shared" si="21"/>
        <v>7640.7488742235701</v>
      </c>
      <c r="E80" s="1">
        <f t="shared" si="22"/>
        <v>7640.7488742235701</v>
      </c>
      <c r="F80" s="148">
        <f>+F79</f>
        <v>3.28629814642097</v>
      </c>
      <c r="G80" s="134">
        <f>+G79</f>
        <v>4.0927051531196552</v>
      </c>
      <c r="I80" s="130">
        <f t="shared" si="19"/>
        <v>30845</v>
      </c>
      <c r="J80" s="100">
        <f t="shared" si="20"/>
        <v>228356.55291657327</v>
      </c>
      <c r="K80" s="65">
        <f>(+(0.67*B80*(K$8)+(K$8*'Rate Projection'!$J$8))+(0.33*C80*(K$8)+K$8*'Rate Projection'!$J$8))</f>
        <v>352589984.15722352</v>
      </c>
      <c r="L80" s="65">
        <f>(+(0.67*D80*(L$8)+(L$8*'Rate Projection'!$J$8))+(0.33*E80*(L$8)+L$8*'Rate Projection'!$J$8))</f>
        <v>611704941.34936213</v>
      </c>
      <c r="M80" s="74"/>
      <c r="N80" s="67">
        <f t="shared" si="15"/>
        <v>811216.66359098663</v>
      </c>
      <c r="O80" s="143"/>
      <c r="P80" s="84">
        <f t="shared" si="16"/>
        <v>351778767.49363256</v>
      </c>
      <c r="Q80" s="89">
        <f t="shared" si="10"/>
        <v>3255253901.9777136</v>
      </c>
      <c r="R80" s="84">
        <f t="shared" si="17"/>
        <v>610893724.68577111</v>
      </c>
      <c r="S80" s="89">
        <f t="shared" si="10"/>
        <v>5661769650.046771</v>
      </c>
      <c r="T80" s="194"/>
    </row>
    <row r="81" spans="1:20" ht="15.75" customHeight="1" x14ac:dyDescent="0.3">
      <c r="A81">
        <f t="shared" si="18"/>
        <v>2080</v>
      </c>
      <c r="B81" s="1">
        <f t="shared" si="11"/>
        <v>4558.962115836357</v>
      </c>
      <c r="C81" s="1">
        <f t="shared" si="12"/>
        <v>5698.7026447954486</v>
      </c>
      <c r="D81" s="1">
        <f t="shared" si="21"/>
        <v>8561.8411510112219</v>
      </c>
      <c r="E81" s="1">
        <f t="shared" si="22"/>
        <v>8561.8411510112219</v>
      </c>
      <c r="F81" s="148">
        <f>+F80</f>
        <v>3.28629814642097</v>
      </c>
      <c r="G81" s="134">
        <f>+G80</f>
        <v>4.0927051531196552</v>
      </c>
      <c r="I81" s="130">
        <f t="shared" si="19"/>
        <v>31073</v>
      </c>
      <c r="J81" s="100">
        <f t="shared" si="20"/>
        <v>231801.61968458616</v>
      </c>
      <c r="K81" s="65">
        <f>(+(0.67*B81*(K$8)+(K$8*'Rate Projection'!$J$8))+(0.33*C81*(K$8)+K$8*'Rate Projection'!$J$8))</f>
        <v>395094415.55116379</v>
      </c>
      <c r="L81" s="65">
        <f>(+(0.67*D81*(L$8)+(L$8*'Rate Projection'!$J$8))+(0.33*E81*(L$8)+L$8*'Rate Projection'!$J$8))</f>
        <v>685445680.83281481</v>
      </c>
      <c r="M81" s="74"/>
      <c r="N81" s="67">
        <f t="shared" si="15"/>
        <v>823454.96169849299</v>
      </c>
      <c r="O81" s="143"/>
      <c r="P81" s="84">
        <f t="shared" si="16"/>
        <v>394270960.58946532</v>
      </c>
      <c r="Q81" s="89">
        <f t="shared" si="10"/>
        <v>3649524862.5671787</v>
      </c>
      <c r="R81" s="84">
        <f t="shared" si="17"/>
        <v>684622225.87111628</v>
      </c>
      <c r="S81" s="89">
        <f t="shared" si="10"/>
        <v>6346391875.9178877</v>
      </c>
      <c r="T81" s="194"/>
    </row>
    <row r="82" spans="1:20" ht="15.75" customHeight="1" x14ac:dyDescent="0.3">
      <c r="A82">
        <f t="shared" si="18"/>
        <v>2081</v>
      </c>
      <c r="B82" s="1">
        <f t="shared" si="11"/>
        <v>5108.5449989004301</v>
      </c>
      <c r="C82" s="1">
        <f t="shared" si="12"/>
        <v>6385.6812486255403</v>
      </c>
      <c r="D82" s="1">
        <f t="shared" si="21"/>
        <v>9593.9711017656246</v>
      </c>
      <c r="E82" s="1">
        <f t="shared" si="22"/>
        <v>9593.9711017656246</v>
      </c>
      <c r="F82" s="148">
        <f>(F81*$G$8)+F81</f>
        <v>3.5261979111097008</v>
      </c>
      <c r="G82" s="134">
        <f>(G81*$G$8)+G81</f>
        <v>4.3914726292973896</v>
      </c>
      <c r="I82" s="130">
        <f t="shared" si="19"/>
        <v>31301</v>
      </c>
      <c r="J82" s="100">
        <f t="shared" si="20"/>
        <v>235298.65993391359</v>
      </c>
      <c r="K82" s="65">
        <f>(+(0.67*B82*(K$8)+(K$8*'Rate Projection'!$J$8))+(0.33*C82*(K$8)+K$8*'Rate Projection'!$J$8))</f>
        <v>442722756.1496436</v>
      </c>
      <c r="L82" s="65">
        <f>(+(0.67*D82*(L$8)+(L$8*'Rate Projection'!$J$8))+(0.33*E82*(L$8)+L$8*'Rate Projection'!$J$8))</f>
        <v>768075866.4609977</v>
      </c>
      <c r="M82" s="74"/>
      <c r="N82" s="67">
        <f t="shared" si="15"/>
        <v>896896.9770950831</v>
      </c>
      <c r="O82" s="143"/>
      <c r="P82" s="84">
        <f t="shared" si="16"/>
        <v>441825859.17254853</v>
      </c>
      <c r="Q82" s="89">
        <f t="shared" si="10"/>
        <v>4091350721.739727</v>
      </c>
      <c r="R82" s="84">
        <f t="shared" si="17"/>
        <v>767178969.48390257</v>
      </c>
      <c r="S82" s="89">
        <f t="shared" si="10"/>
        <v>7113570845.4017906</v>
      </c>
      <c r="T82" s="194"/>
    </row>
    <row r="83" spans="1:20" ht="15.75" customHeight="1" x14ac:dyDescent="0.3">
      <c r="A83">
        <f t="shared" si="18"/>
        <v>2082</v>
      </c>
      <c r="B83" s="1">
        <f t="shared" si="11"/>
        <v>5724.3800985178768</v>
      </c>
      <c r="C83" s="1">
        <f t="shared" si="12"/>
        <v>7155.4751231473492</v>
      </c>
      <c r="D83" s="1">
        <f t="shared" si="21"/>
        <v>10750.524318083471</v>
      </c>
      <c r="E83" s="1">
        <f t="shared" si="22"/>
        <v>10750.524318083471</v>
      </c>
      <c r="F83" s="148">
        <f>+F82</f>
        <v>3.5261979111097008</v>
      </c>
      <c r="G83" s="134">
        <f>+G82</f>
        <v>4.3914726292973896</v>
      </c>
      <c r="I83" s="130">
        <f t="shared" si="19"/>
        <v>31529</v>
      </c>
      <c r="J83" s="100">
        <f t="shared" si="20"/>
        <v>238848.45775465947</v>
      </c>
      <c r="K83" s="65">
        <f>(+(0.67*B83*(K$8)+(K$8*'Rate Projection'!$J$8))+(0.33*C83*(K$8)+K$8*'Rate Projection'!$J$8))</f>
        <v>496092693.20727015</v>
      </c>
      <c r="L83" s="65">
        <f>(+(0.67*D83*(L$8)+(L$8*'Rate Projection'!$J$8))+(0.33*E83*(L$8)+L$8*'Rate Projection'!$J$8))</f>
        <v>860667120.96665812</v>
      </c>
      <c r="M83" s="74"/>
      <c r="N83" s="67">
        <f t="shared" ref="N83:N101" si="23">(+J83*0.67*F83)+(J83*0.33*G83)</f>
        <v>910427.87835741881</v>
      </c>
      <c r="O83" s="143"/>
      <c r="P83" s="84">
        <f t="shared" ref="P83:P101" si="24">+K83-$N83</f>
        <v>495182265.32891273</v>
      </c>
      <c r="Q83" s="89">
        <f t="shared" si="10"/>
        <v>4586532987.0686398</v>
      </c>
      <c r="R83" s="84">
        <f t="shared" ref="R83:R101" si="25">+L83-$N83</f>
        <v>859756693.0883007</v>
      </c>
      <c r="S83" s="89">
        <f t="shared" si="10"/>
        <v>7973327538.4900913</v>
      </c>
      <c r="T83" s="194"/>
    </row>
    <row r="84" spans="1:20" ht="15.75" customHeight="1" x14ac:dyDescent="0.3">
      <c r="A84">
        <f t="shared" si="18"/>
        <v>2083</v>
      </c>
      <c r="B84" s="1">
        <f t="shared" si="11"/>
        <v>6414.4541193942068</v>
      </c>
      <c r="C84" s="1">
        <f t="shared" si="12"/>
        <v>8018.0676492427619</v>
      </c>
      <c r="D84" s="1">
        <f t="shared" si="21"/>
        <v>12046.500024628434</v>
      </c>
      <c r="E84" s="1">
        <f t="shared" si="22"/>
        <v>12046.500024628434</v>
      </c>
      <c r="F84" s="148">
        <f>+F83</f>
        <v>3.5261979111097008</v>
      </c>
      <c r="G84" s="134">
        <f>+G83</f>
        <v>4.3914726292973896</v>
      </c>
      <c r="I84" s="130">
        <f t="shared" si="19"/>
        <v>31757</v>
      </c>
      <c r="J84" s="100">
        <f t="shared" si="20"/>
        <v>242451.80906598497</v>
      </c>
      <c r="K84" s="65">
        <f>(+(0.67*B84*(K$8)+(K$8*'Rate Projection'!$J$8))+(0.33*C84*(K$8)+K$8*'Rate Projection'!$J$8))</f>
        <v>555896376.17719364</v>
      </c>
      <c r="L84" s="65">
        <f>(+(0.67*D84*(L$8)+(L$8*'Rate Projection'!$J$8))+(0.33*E84*(L$8)+L$8*'Rate Projection'!$J$8))</f>
        <v>964420251.20297575</v>
      </c>
      <c r="M84" s="74"/>
      <c r="N84" s="67">
        <f t="shared" si="23"/>
        <v>924162.9115252539</v>
      </c>
      <c r="O84" s="143"/>
      <c r="P84" s="84">
        <f t="shared" si="24"/>
        <v>554972213.26566839</v>
      </c>
      <c r="Q84" s="89">
        <f t="shared" si="10"/>
        <v>5141505200.3343086</v>
      </c>
      <c r="R84" s="84">
        <f t="shared" si="25"/>
        <v>963496088.2914505</v>
      </c>
      <c r="S84" s="89">
        <f t="shared" si="10"/>
        <v>8936823626.7815418</v>
      </c>
      <c r="T84" s="194"/>
    </row>
    <row r="85" spans="1:20" ht="15.75" customHeight="1" x14ac:dyDescent="0.3">
      <c r="A85">
        <f t="shared" si="18"/>
        <v>2084</v>
      </c>
      <c r="B85" s="1">
        <f t="shared" si="11"/>
        <v>7187.7165634871781</v>
      </c>
      <c r="C85" s="1">
        <f t="shared" si="12"/>
        <v>8984.6457043589762</v>
      </c>
      <c r="D85" s="1">
        <f t="shared" si="21"/>
        <v>13498.705602597392</v>
      </c>
      <c r="E85" s="1">
        <f t="shared" si="22"/>
        <v>13498.705602597392</v>
      </c>
      <c r="F85" s="148">
        <f>(F84*$G$8)+F84</f>
        <v>3.783610358620709</v>
      </c>
      <c r="G85" s="134">
        <f>(G84*$G$8)+G84</f>
        <v>4.7120501312360989</v>
      </c>
      <c r="I85" s="130">
        <f t="shared" si="19"/>
        <v>31985</v>
      </c>
      <c r="J85" s="100">
        <f t="shared" si="20"/>
        <v>246109.52179456595</v>
      </c>
      <c r="K85" s="65">
        <f>(+(0.67*B85*(K$8)+(K$8*'Rate Projection'!$J$8))+(0.33*C85*(K$8)+K$8*'Rate Projection'!$J$8))</f>
        <v>622909393.12914133</v>
      </c>
      <c r="L85" s="65">
        <f>(+(0.67*D85*(L$8)+(L$8*'Rate Projection'!$J$8))+(0.33*E85*(L$8)+L$8*'Rate Projection'!$J$8))</f>
        <v>1080680821.2892814</v>
      </c>
      <c r="M85" s="74"/>
      <c r="N85" s="67">
        <f t="shared" si="23"/>
        <v>1006586.8326067406</v>
      </c>
      <c r="O85" s="143"/>
      <c r="P85" s="84">
        <f t="shared" si="24"/>
        <v>621902806.29653454</v>
      </c>
      <c r="Q85" s="89">
        <f t="shared" ref="Q85:S101" si="26">+Q84+P85</f>
        <v>5763408006.6308432</v>
      </c>
      <c r="R85" s="84">
        <f t="shared" si="25"/>
        <v>1079674234.4566746</v>
      </c>
      <c r="S85" s="89">
        <f t="shared" si="26"/>
        <v>10016497861.238216</v>
      </c>
      <c r="T85" s="194"/>
    </row>
    <row r="86" spans="1:20" ht="15.75" customHeight="1" x14ac:dyDescent="0.3">
      <c r="A86">
        <f t="shared" si="18"/>
        <v>2085</v>
      </c>
      <c r="B86" s="1">
        <f t="shared" si="11"/>
        <v>8054.1957952155572</v>
      </c>
      <c r="C86" s="1">
        <f t="shared" si="12"/>
        <v>10067.74474401945</v>
      </c>
      <c r="D86" s="1">
        <f t="shared" si="21"/>
        <v>15125.974562990508</v>
      </c>
      <c r="E86" s="1">
        <f t="shared" si="22"/>
        <v>15125.974562990508</v>
      </c>
      <c r="F86" s="148">
        <f>+F85</f>
        <v>3.783610358620709</v>
      </c>
      <c r="G86" s="134">
        <f>+G85</f>
        <v>4.7120501312360989</v>
      </c>
      <c r="I86" s="130">
        <f t="shared" si="19"/>
        <v>32213</v>
      </c>
      <c r="J86" s="100">
        <f t="shared" si="20"/>
        <v>249822.41605574251</v>
      </c>
      <c r="K86" s="65">
        <f>(+(0.67*B86*(K$8)+(K$8*'Rate Projection'!$J$8))+(0.33*C86*(K$8)+K$8*'Rate Projection'!$J$8))</f>
        <v>698000829.27464628</v>
      </c>
      <c r="L86" s="65">
        <f>(+(0.67*D86*(L$8)+(L$8*'Rate Projection'!$J$8))+(0.33*E86*(L$8)+L$8*'Rate Projection'!$J$8))</f>
        <v>1210956603.0994916</v>
      </c>
      <c r="M86" s="74"/>
      <c r="N86" s="67">
        <f t="shared" si="23"/>
        <v>1021772.5533659768</v>
      </c>
      <c r="O86" s="143"/>
      <c r="P86" s="84">
        <f t="shared" si="24"/>
        <v>696979056.72128034</v>
      </c>
      <c r="Q86" s="89">
        <f t="shared" si="26"/>
        <v>6460387063.3521233</v>
      </c>
      <c r="R86" s="84">
        <f t="shared" si="25"/>
        <v>1209934830.5461257</v>
      </c>
      <c r="S86" s="89">
        <f t="shared" si="26"/>
        <v>11226432691.784342</v>
      </c>
      <c r="T86" s="194"/>
    </row>
    <row r="87" spans="1:20" ht="15.75" customHeight="1" x14ac:dyDescent="0.3">
      <c r="A87">
        <f t="shared" si="18"/>
        <v>2086</v>
      </c>
      <c r="B87" s="1">
        <f t="shared" si="11"/>
        <v>9025.1290983287927</v>
      </c>
      <c r="C87" s="1">
        <f t="shared" si="12"/>
        <v>11281.411372910996</v>
      </c>
      <c r="D87" s="1">
        <f t="shared" si="21"/>
        <v>16949.410796559016</v>
      </c>
      <c r="E87" s="1">
        <f t="shared" si="22"/>
        <v>16949.410796559016</v>
      </c>
      <c r="F87" s="148">
        <f>+F86</f>
        <v>3.783610358620709</v>
      </c>
      <c r="G87" s="134">
        <f>+G86</f>
        <v>4.7120501312360989</v>
      </c>
      <c r="I87" s="130">
        <f t="shared" si="19"/>
        <v>32441</v>
      </c>
      <c r="J87" s="100">
        <f t="shared" si="20"/>
        <v>253591.32433740128</v>
      </c>
      <c r="K87" s="65">
        <f>(+(0.67*B87*(K$8)+(K$8*'Rate Projection'!$J$8))+(0.33*C87*(K$8)+K$8*'Rate Projection'!$J$8))</f>
        <v>782144538.04749179</v>
      </c>
      <c r="L87" s="65">
        <f>(+(0.67*D87*(L$8)+(L$8*'Rate Projection'!$J$8))+(0.33*E87*(L$8)+L$8*'Rate Projection'!$J$8))</f>
        <v>1356937130.4069221</v>
      </c>
      <c r="M87" s="74"/>
      <c r="N87" s="67">
        <f t="shared" si="23"/>
        <v>1037187.3712160027</v>
      </c>
      <c r="O87" s="143"/>
      <c r="P87" s="84">
        <f t="shared" si="24"/>
        <v>781107350.67627573</v>
      </c>
      <c r="Q87" s="89">
        <f t="shared" si="26"/>
        <v>7241494414.0283985</v>
      </c>
      <c r="R87" s="84">
        <f t="shared" si="25"/>
        <v>1355899943.035706</v>
      </c>
      <c r="S87" s="89">
        <f t="shared" si="26"/>
        <v>12582332634.820047</v>
      </c>
      <c r="T87" s="194"/>
    </row>
    <row r="88" spans="1:20" ht="15.75" customHeight="1" x14ac:dyDescent="0.3">
      <c r="A88">
        <f t="shared" si="18"/>
        <v>2087</v>
      </c>
      <c r="B88" s="1">
        <f t="shared" si="11"/>
        <v>10113.108411132329</v>
      </c>
      <c r="C88" s="1">
        <f t="shared" si="12"/>
        <v>12641.385513915417</v>
      </c>
      <c r="D88" s="1">
        <f t="shared" si="21"/>
        <v>18992.662268084205</v>
      </c>
      <c r="E88" s="1">
        <f t="shared" si="22"/>
        <v>18992.662268084205</v>
      </c>
      <c r="F88" s="148">
        <f>(F87*$G$8)+F87</f>
        <v>4.0598139148000207</v>
      </c>
      <c r="G88" s="134">
        <f>(G87*$G$8)+G87</f>
        <v>5.0560297908163339</v>
      </c>
      <c r="I88" s="130">
        <f t="shared" si="19"/>
        <v>32669</v>
      </c>
      <c r="J88" s="100">
        <f t="shared" si="20"/>
        <v>257417.09168663225</v>
      </c>
      <c r="K88" s="65">
        <f>(+(0.67*B88*(K$8)+(K$8*'Rate Projection'!$J$8))+(0.33*C88*(K$8)+K$8*'Rate Projection'!$J$8))</f>
        <v>876431770.91290402</v>
      </c>
      <c r="L88" s="65">
        <f>(+(0.67*D88*(L$8)+(L$8*'Rate Projection'!$J$8))+(0.33*E88*(L$8)+L$8*'Rate Projection'!$J$8))</f>
        <v>1520515610.2812638</v>
      </c>
      <c r="M88" s="74"/>
      <c r="N88" s="67">
        <f t="shared" si="23"/>
        <v>1129691.6785904784</v>
      </c>
      <c r="O88" s="143"/>
      <c r="P88" s="84">
        <f t="shared" si="24"/>
        <v>875302079.23431349</v>
      </c>
      <c r="Q88" s="89">
        <f t="shared" si="26"/>
        <v>8116796493.2627125</v>
      </c>
      <c r="R88" s="84">
        <f t="shared" si="25"/>
        <v>1519385918.6026733</v>
      </c>
      <c r="S88" s="89">
        <f t="shared" si="26"/>
        <v>14101718553.42272</v>
      </c>
      <c r="T88" s="194"/>
    </row>
    <row r="89" spans="1:20" ht="15.75" customHeight="1" x14ac:dyDescent="0.3">
      <c r="A89">
        <f t="shared" si="18"/>
        <v>2088</v>
      </c>
      <c r="B89" s="1">
        <f t="shared" si="11"/>
        <v>11332.243630094332</v>
      </c>
      <c r="C89" s="1">
        <f t="shared" si="12"/>
        <v>14165.30453761792</v>
      </c>
      <c r="D89" s="1">
        <f t="shared" si="21"/>
        <v>21282.227704501754</v>
      </c>
      <c r="E89" s="1">
        <f t="shared" si="22"/>
        <v>21282.227704501754</v>
      </c>
      <c r="F89" s="148">
        <f>+F88</f>
        <v>4.0598139148000207</v>
      </c>
      <c r="G89" s="134">
        <f>+G88</f>
        <v>5.0560297908163339</v>
      </c>
      <c r="I89" s="130">
        <f t="shared" si="19"/>
        <v>32897</v>
      </c>
      <c r="J89" s="100">
        <f t="shared" si="20"/>
        <v>261300.57589920104</v>
      </c>
      <c r="K89" s="65">
        <f>(+(0.67*B89*(K$8)+(K$8*'Rate Projection'!$J$8))+(0.33*C89*(K$8)+K$8*'Rate Projection'!$J$8))</f>
        <v>982085329.7002418</v>
      </c>
      <c r="L89" s="65">
        <f>(+(0.67*D89*(L$8)+(L$8*'Rate Projection'!$J$8))+(0.33*E89*(L$8)+L$8*'Rate Projection'!$J$8))</f>
        <v>1703813475.9044571</v>
      </c>
      <c r="M89" s="74"/>
      <c r="N89" s="67">
        <f t="shared" si="23"/>
        <v>1146734.602081422</v>
      </c>
      <c r="O89" s="143"/>
      <c r="P89" s="84">
        <f t="shared" si="24"/>
        <v>980938595.09816039</v>
      </c>
      <c r="Q89" s="89">
        <f t="shared" si="26"/>
        <v>9097735088.3608723</v>
      </c>
      <c r="R89" s="84">
        <f t="shared" si="25"/>
        <v>1702666741.3023756</v>
      </c>
      <c r="S89" s="89">
        <f t="shared" si="26"/>
        <v>15804385294.725096</v>
      </c>
      <c r="T89" s="194"/>
    </row>
    <row r="90" spans="1:20" ht="15.75" customHeight="1" x14ac:dyDescent="0.3">
      <c r="A90">
        <f t="shared" si="18"/>
        <v>2089</v>
      </c>
      <c r="B90" s="1">
        <f t="shared" si="11"/>
        <v>12698.345599702203</v>
      </c>
      <c r="C90" s="1">
        <f t="shared" si="12"/>
        <v>15872.931999627759</v>
      </c>
      <c r="D90" s="1">
        <f t="shared" si="21"/>
        <v>23847.800254279442</v>
      </c>
      <c r="E90" s="1">
        <f t="shared" si="22"/>
        <v>23847.800254279442</v>
      </c>
      <c r="F90" s="148">
        <f>+F89</f>
        <v>4.0598139148000207</v>
      </c>
      <c r="G90" s="134">
        <f>+G89</f>
        <v>5.0560297908163339</v>
      </c>
      <c r="I90" s="130">
        <f t="shared" si="19"/>
        <v>33125</v>
      </c>
      <c r="J90" s="100">
        <f t="shared" si="20"/>
        <v>265242.64771188004</v>
      </c>
      <c r="K90" s="65">
        <f>(+(0.67*B90*(K$8)+(K$8*'Rate Projection'!$J$8))+(0.33*C90*(K$8)+K$8*'Rate Projection'!$J$8))</f>
        <v>1100475424.9993927</v>
      </c>
      <c r="L90" s="65">
        <f>(+(0.67*D90*(L$8)+(L$8*'Rate Projection'!$J$8))+(0.33*E90*(L$8)+L$8*'Rate Projection'!$J$8))</f>
        <v>1909207899.2285264</v>
      </c>
      <c r="M90" s="74"/>
      <c r="N90" s="67">
        <f t="shared" si="23"/>
        <v>1164034.6410726588</v>
      </c>
      <c r="O90" s="143"/>
      <c r="P90" s="84">
        <f t="shared" si="24"/>
        <v>1099311390.35832</v>
      </c>
      <c r="Q90" s="89">
        <f t="shared" si="26"/>
        <v>10197046478.719193</v>
      </c>
      <c r="R90" s="84">
        <f t="shared" si="25"/>
        <v>1908043864.5874536</v>
      </c>
      <c r="S90" s="89">
        <f t="shared" si="26"/>
        <v>17712429159.31255</v>
      </c>
      <c r="T90" s="194"/>
    </row>
    <row r="91" spans="1:20" ht="15.75" customHeight="1" x14ac:dyDescent="0.3">
      <c r="A91">
        <f t="shared" si="18"/>
        <v>2090</v>
      </c>
      <c r="B91" s="1">
        <f t="shared" si="11"/>
        <v>14229.131161746303</v>
      </c>
      <c r="C91" s="1">
        <f t="shared" si="12"/>
        <v>17786.413952182884</v>
      </c>
      <c r="D91" s="1">
        <f t="shared" si="21"/>
        <v>26722.652574932828</v>
      </c>
      <c r="E91" s="1">
        <f t="shared" si="22"/>
        <v>26722.652574932828</v>
      </c>
      <c r="F91" s="148">
        <f>(F90*$G$8)+F90</f>
        <v>4.3561803305804219</v>
      </c>
      <c r="G91" s="134">
        <f>(G90*$G$8)+G90</f>
        <v>5.4251199655459263</v>
      </c>
      <c r="I91" s="130">
        <f t="shared" si="19"/>
        <v>33353</v>
      </c>
      <c r="J91" s="100">
        <f t="shared" si="20"/>
        <v>269244.19099768094</v>
      </c>
      <c r="K91" s="65">
        <f>(+(0.67*B91*(K$8)+(K$8*'Rate Projection'!$J$8))+(0.33*C91*(K$8)+K$8*'Rate Projection'!$J$8))</f>
        <v>1233137446.2868567</v>
      </c>
      <c r="L91" s="65">
        <f>(+(0.67*D91*(L$8)+(L$8*'Rate Projection'!$J$8))+(0.33*E91*(L$8)+L$8*'Rate Projection'!$J$8))</f>
        <v>2139362620.284312</v>
      </c>
      <c r="M91" s="74"/>
      <c r="N91" s="67">
        <f t="shared" si="23"/>
        <v>1267852.1587368785</v>
      </c>
      <c r="O91" s="143"/>
      <c r="P91" s="84">
        <f t="shared" si="24"/>
        <v>1231869594.1281197</v>
      </c>
      <c r="Q91" s="89">
        <f t="shared" si="26"/>
        <v>11428916072.847313</v>
      </c>
      <c r="R91" s="84">
        <f t="shared" si="25"/>
        <v>2138094768.1255751</v>
      </c>
      <c r="S91" s="89">
        <f t="shared" si="26"/>
        <v>19850523927.438126</v>
      </c>
      <c r="T91" s="194"/>
    </row>
    <row r="92" spans="1:20" ht="15.75" customHeight="1" x14ac:dyDescent="0.3">
      <c r="A92">
        <f t="shared" si="18"/>
        <v>2091</v>
      </c>
      <c r="B92" s="1">
        <f t="shared" si="11"/>
        <v>15944.452923294821</v>
      </c>
      <c r="C92" s="1">
        <f t="shared" si="12"/>
        <v>19930.566154118529</v>
      </c>
      <c r="D92" s="1">
        <f t="shared" si="21"/>
        <v>29944.068342840983</v>
      </c>
      <c r="E92" s="1">
        <f t="shared" si="22"/>
        <v>29944.068342840983</v>
      </c>
      <c r="F92" s="148">
        <f>+F91</f>
        <v>4.3561803305804219</v>
      </c>
      <c r="G92" s="134">
        <f>+G91</f>
        <v>5.4251199655459263</v>
      </c>
      <c r="I92" s="130">
        <f t="shared" si="19"/>
        <v>33581</v>
      </c>
      <c r="J92" s="100">
        <f t="shared" si="20"/>
        <v>273306.1029640325</v>
      </c>
      <c r="K92" s="65">
        <f>(+(0.67*B92*(K$8)+(K$8*'Rate Projection'!$J$8))+(0.33*C92*(K$8)+K$8*'Rate Projection'!$J$8))</f>
        <v>1381791874.2405243</v>
      </c>
      <c r="L92" s="65">
        <f>(+(0.67*D92*(L$8)+(L$8*'Rate Projection'!$J$8))+(0.33*E92*(L$8)+L$8*'Rate Projection'!$J$8))</f>
        <v>2397262492.9633732</v>
      </c>
      <c r="M92" s="74"/>
      <c r="N92" s="67">
        <f t="shared" si="23"/>
        <v>1286979.4195184577</v>
      </c>
      <c r="O92" s="143"/>
      <c r="P92" s="84">
        <f t="shared" si="24"/>
        <v>1380504894.8210058</v>
      </c>
      <c r="Q92" s="89">
        <f t="shared" si="26"/>
        <v>12809420967.66832</v>
      </c>
      <c r="R92" s="84">
        <f t="shared" si="25"/>
        <v>2395975513.5438547</v>
      </c>
      <c r="S92" s="89">
        <f t="shared" si="26"/>
        <v>22246499440.981979</v>
      </c>
      <c r="T92" s="194"/>
    </row>
    <row r="93" spans="1:20" ht="15.75" customHeight="1" x14ac:dyDescent="0.3">
      <c r="A93">
        <f t="shared" si="18"/>
        <v>2092</v>
      </c>
      <c r="B93" s="1">
        <f t="shared" si="11"/>
        <v>17866.556723198013</v>
      </c>
      <c r="C93" s="1">
        <f t="shared" si="12"/>
        <v>22333.195903997519</v>
      </c>
      <c r="D93" s="1">
        <f t="shared" si="21"/>
        <v>33553.825781570464</v>
      </c>
      <c r="E93" s="1">
        <f t="shared" si="22"/>
        <v>33553.825781570464</v>
      </c>
      <c r="F93" s="148">
        <f>+F92</f>
        <v>4.3561803305804219</v>
      </c>
      <c r="G93" s="134">
        <f>+G92</f>
        <v>5.4251199655459263</v>
      </c>
      <c r="I93" s="130">
        <f t="shared" si="19"/>
        <v>33809</v>
      </c>
      <c r="J93" s="100">
        <f t="shared" si="20"/>
        <v>277429.29435394844</v>
      </c>
      <c r="K93" s="65">
        <f>(+(0.67*B93*(K$8)+(K$8*'Rate Projection'!$J$8))+(0.33*C93*(K$8)+K$8*'Rate Projection'!$J$8))</f>
        <v>1548366593.4840064</v>
      </c>
      <c r="L93" s="65">
        <f>(+(0.67*D93*(L$8)+(L$8*'Rate Projection'!$J$8))+(0.33*E93*(L$8)+L$8*'Rate Projection'!$J$8))</f>
        <v>2686252195.2938948</v>
      </c>
      <c r="M93" s="74"/>
      <c r="N93" s="67">
        <f t="shared" si="23"/>
        <v>1306395.240841174</v>
      </c>
      <c r="O93" s="143"/>
      <c r="P93" s="84">
        <f t="shared" si="24"/>
        <v>1547060198.2431653</v>
      </c>
      <c r="Q93" s="89">
        <f t="shared" si="26"/>
        <v>14356481165.911486</v>
      </c>
      <c r="R93" s="84">
        <f t="shared" si="25"/>
        <v>2684945800.0530534</v>
      </c>
      <c r="S93" s="89">
        <f t="shared" si="26"/>
        <v>24931445241.035034</v>
      </c>
      <c r="T93" s="194"/>
    </row>
    <row r="94" spans="1:20" ht="15.75" customHeight="1" x14ac:dyDescent="0.3">
      <c r="A94">
        <f t="shared" si="18"/>
        <v>2093</v>
      </c>
      <c r="B94" s="1">
        <f t="shared" si="11"/>
        <v>20020.370136179532</v>
      </c>
      <c r="C94" s="1">
        <f t="shared" si="12"/>
        <v>25025.46267022442</v>
      </c>
      <c r="D94" s="1">
        <f t="shared" si="21"/>
        <v>37598.739479538781</v>
      </c>
      <c r="E94" s="1">
        <f t="shared" si="22"/>
        <v>37598.739479538781</v>
      </c>
      <c r="F94" s="148">
        <f>(F93*$G$8)+F93</f>
        <v>4.6741814947127924</v>
      </c>
      <c r="G94" s="134">
        <f>(G93*$G$8)+G93</f>
        <v>5.821153723030779</v>
      </c>
      <c r="I94" s="130">
        <f t="shared" si="19"/>
        <v>34037</v>
      </c>
      <c r="J94" s="100">
        <f t="shared" si="20"/>
        <v>281614.68965022982</v>
      </c>
      <c r="K94" s="65">
        <f>(+(0.67*B94*(K$8)+(K$8*'Rate Projection'!$J$8))+(0.33*C94*(K$8)+K$8*'Rate Projection'!$J$8))</f>
        <v>1735021895.1322904</v>
      </c>
      <c r="L94" s="65">
        <f>(+(0.67*D94*(L$8)+(L$8*'Rate Projection'!$J$8))+(0.33*E94*(L$8)+L$8*'Rate Projection'!$J$8))</f>
        <v>3010079606.2403607</v>
      </c>
      <c r="M94" s="74"/>
      <c r="N94" s="67">
        <f t="shared" si="23"/>
        <v>1422909.5662804074</v>
      </c>
      <c r="O94" s="143"/>
      <c r="P94" s="84">
        <f t="shared" si="24"/>
        <v>1733598985.56601</v>
      </c>
      <c r="Q94" s="89">
        <f t="shared" si="26"/>
        <v>16090080151.477495</v>
      </c>
      <c r="R94" s="84">
        <f t="shared" si="25"/>
        <v>3008656696.6740804</v>
      </c>
      <c r="S94" s="89">
        <f t="shared" si="26"/>
        <v>27940101937.709114</v>
      </c>
      <c r="T94" s="194"/>
    </row>
    <row r="95" spans="1:20" ht="15.75" customHeight="1" x14ac:dyDescent="0.3">
      <c r="A95">
        <f t="shared" si="18"/>
        <v>2094</v>
      </c>
      <c r="B95" s="1">
        <f t="shared" si="11"/>
        <v>22433.825756095976</v>
      </c>
      <c r="C95" s="1">
        <f t="shared" si="12"/>
        <v>28042.282195119973</v>
      </c>
      <c r="D95" s="1">
        <f t="shared" si="21"/>
        <v>42131.267523797178</v>
      </c>
      <c r="E95" s="1">
        <f t="shared" si="22"/>
        <v>42131.267523797178</v>
      </c>
      <c r="F95" s="148">
        <f>+F94</f>
        <v>4.6741814947127924</v>
      </c>
      <c r="G95" s="134">
        <f>+G94</f>
        <v>5.821153723030779</v>
      </c>
      <c r="I95" s="130">
        <f t="shared" si="19"/>
        <v>34265</v>
      </c>
      <c r="J95" s="100">
        <f t="shared" si="20"/>
        <v>285863.22728274832</v>
      </c>
      <c r="K95" s="65">
        <f>(+(0.67*B95*(K$8)+(K$8*'Rate Projection'!$J$8))+(0.33*C95*(K$8)+K$8*'Rate Projection'!$J$8))</f>
        <v>1944178493.394275</v>
      </c>
      <c r="L95" s="65">
        <f>(+(0.67*D95*(L$8)+(L$8*'Rate Projection'!$J$8))+(0.33*E95*(L$8)+L$8*'Rate Projection'!$J$8))</f>
        <v>3372944411.5764227</v>
      </c>
      <c r="M95" s="74"/>
      <c r="N95" s="67">
        <f t="shared" si="23"/>
        <v>1444376.0773048187</v>
      </c>
      <c r="O95" s="143"/>
      <c r="P95" s="84">
        <f t="shared" si="24"/>
        <v>1942734117.3169701</v>
      </c>
      <c r="Q95" s="89">
        <f t="shared" si="26"/>
        <v>18032814268.794464</v>
      </c>
      <c r="R95" s="84">
        <f t="shared" si="25"/>
        <v>3371500035.4991179</v>
      </c>
      <c r="S95" s="89">
        <f t="shared" si="26"/>
        <v>31311601973.208233</v>
      </c>
      <c r="T95" s="194"/>
    </row>
    <row r="96" spans="1:20" ht="15.75" customHeight="1" x14ac:dyDescent="0.3">
      <c r="A96">
        <f t="shared" si="18"/>
        <v>2095</v>
      </c>
      <c r="B96" s="1">
        <f t="shared" si="11"/>
        <v>25138.223450993344</v>
      </c>
      <c r="C96" s="1">
        <f t="shared" si="12"/>
        <v>31422.779313741685</v>
      </c>
      <c r="D96" s="1">
        <f t="shared" si="21"/>
        <v>47210.191823790927</v>
      </c>
      <c r="E96" s="1">
        <f t="shared" si="22"/>
        <v>47210.191823790927</v>
      </c>
      <c r="F96" s="148">
        <f>+F95</f>
        <v>4.6741814947127924</v>
      </c>
      <c r="G96" s="134">
        <f>+G95</f>
        <v>5.821153723030779</v>
      </c>
      <c r="I96" s="130">
        <f t="shared" si="19"/>
        <v>34493</v>
      </c>
      <c r="J96" s="100">
        <f t="shared" si="20"/>
        <v>290175.85983885673</v>
      </c>
      <c r="K96" s="65">
        <f>(+(0.67*B96*(K$8)+(K$8*'Rate Projection'!$J$8))+(0.33*C96*(K$8)+K$8*'Rate Projection'!$J$8))</f>
        <v>2178548919.5767417</v>
      </c>
      <c r="L96" s="65">
        <f>(+(0.67*D96*(L$8)+(L$8*'Rate Projection'!$J$8))+(0.33*E96*(L$8)+L$8*'Rate Projection'!$J$8))</f>
        <v>3779552569.1957474</v>
      </c>
      <c r="M96" s="74"/>
      <c r="N96" s="67">
        <f t="shared" si="23"/>
        <v>1466166.4396170992</v>
      </c>
      <c r="O96" s="143"/>
      <c r="P96" s="84">
        <f t="shared" si="24"/>
        <v>2177082753.1371245</v>
      </c>
      <c r="Q96" s="89">
        <f t="shared" si="26"/>
        <v>20209897021.931587</v>
      </c>
      <c r="R96" s="84">
        <f t="shared" si="25"/>
        <v>3778086402.7561302</v>
      </c>
      <c r="S96" s="89">
        <f t="shared" si="26"/>
        <v>35089688375.964363</v>
      </c>
      <c r="T96" s="194"/>
    </row>
    <row r="97" spans="1:20" ht="15.75" customHeight="1" x14ac:dyDescent="0.3">
      <c r="A97">
        <f t="shared" si="18"/>
        <v>2096</v>
      </c>
      <c r="B97" s="1">
        <f t="shared" si="11"/>
        <v>28168.636288010592</v>
      </c>
      <c r="C97" s="1">
        <f t="shared" si="12"/>
        <v>35210.795360013246</v>
      </c>
      <c r="D97" s="1">
        <f t="shared" si="21"/>
        <v>52901.380448148921</v>
      </c>
      <c r="E97" s="1">
        <f t="shared" si="22"/>
        <v>52901.380448148921</v>
      </c>
      <c r="F97" s="148">
        <f>(F96*$G$8)+F96</f>
        <v>5.0153967438268259</v>
      </c>
      <c r="G97" s="134">
        <f>(G96*$G$8)+G96</f>
        <v>6.2460979448120257</v>
      </c>
      <c r="I97" s="130">
        <f t="shared" si="19"/>
        <v>34721</v>
      </c>
      <c r="J97" s="100">
        <f t="shared" si="20"/>
        <v>294553.55427697353</v>
      </c>
      <c r="K97" s="65">
        <f>(+(0.67*B97*(K$8)+(K$8*'Rate Projection'!$J$8))+(0.33*C97*(K$8)+K$8*'Rate Projection'!$J$8))</f>
        <v>2441172700.6355047</v>
      </c>
      <c r="L97" s="65">
        <f>(+(0.67*D97*(L$8)+(L$8*'Rate Projection'!$J$8))+(0.33*E97*(L$8)+L$8*'Rate Projection'!$J$8))</f>
        <v>4235177340.2160816</v>
      </c>
      <c r="M97" s="74"/>
      <c r="N97" s="67">
        <f t="shared" si="23"/>
        <v>1596930.3832943845</v>
      </c>
      <c r="O97" s="143"/>
      <c r="P97" s="84">
        <f t="shared" si="24"/>
        <v>2439575770.2522101</v>
      </c>
      <c r="Q97" s="89">
        <f t="shared" si="26"/>
        <v>22649472792.183796</v>
      </c>
      <c r="R97" s="84">
        <f t="shared" si="25"/>
        <v>4233580409.832787</v>
      </c>
      <c r="S97" s="89">
        <f t="shared" si="26"/>
        <v>39323268785.79715</v>
      </c>
      <c r="T97" s="194"/>
    </row>
    <row r="98" spans="1:20" ht="15.75" customHeight="1" x14ac:dyDescent="0.3">
      <c r="A98">
        <f t="shared" si="18"/>
        <v>2097</v>
      </c>
      <c r="B98" s="1">
        <f t="shared" si="11"/>
        <v>31564.365392530268</v>
      </c>
      <c r="C98" s="1">
        <f t="shared" si="12"/>
        <v>39455.456740662841</v>
      </c>
      <c r="D98" s="1">
        <f t="shared" si="21"/>
        <v>59278.641861173273</v>
      </c>
      <c r="E98" s="1">
        <f t="shared" si="22"/>
        <v>59278.641861173273</v>
      </c>
      <c r="F98" s="148">
        <f>+F97</f>
        <v>5.0153967438268259</v>
      </c>
      <c r="G98" s="134">
        <f>+G97</f>
        <v>6.2460979448120257</v>
      </c>
      <c r="I98" s="130">
        <f t="shared" si="19"/>
        <v>34949</v>
      </c>
      <c r="J98" s="100">
        <f t="shared" si="20"/>
        <v>298997.29214338987</v>
      </c>
      <c r="K98" s="65">
        <f>(+(0.67*B98*(K$8)+(K$8*'Rate Projection'!$J$8))+(0.33*C98*(K$8)+K$8*'Rate Projection'!$J$8))</f>
        <v>2735455778.5009022</v>
      </c>
      <c r="L98" s="65">
        <f>(+(0.67*D98*(L$8)+(L$8*'Rate Projection'!$J$8))+(0.33*E98*(L$8)+L$8*'Rate Projection'!$J$8))</f>
        <v>4745727677.3829174</v>
      </c>
      <c r="M98" s="74"/>
      <c r="N98" s="67">
        <f t="shared" si="23"/>
        <v>1621022.2331846193</v>
      </c>
      <c r="O98" s="143"/>
      <c r="P98" s="84">
        <f t="shared" si="24"/>
        <v>2733834756.2677174</v>
      </c>
      <c r="Q98" s="89">
        <f t="shared" si="26"/>
        <v>25383307548.451515</v>
      </c>
      <c r="R98" s="84">
        <f t="shared" si="25"/>
        <v>4744106655.1497326</v>
      </c>
      <c r="S98" s="89">
        <f t="shared" si="26"/>
        <v>44067375440.946884</v>
      </c>
      <c r="T98" s="194"/>
    </row>
    <row r="99" spans="1:20" ht="15.75" customHeight="1" x14ac:dyDescent="0.3">
      <c r="A99">
        <f t="shared" si="18"/>
        <v>2098</v>
      </c>
      <c r="B99" s="1">
        <f t="shared" si="11"/>
        <v>35369.449640599792</v>
      </c>
      <c r="C99" s="1">
        <f t="shared" si="12"/>
        <v>44211.812050749744</v>
      </c>
      <c r="D99" s="1">
        <f t="shared" si="21"/>
        <v>66424.682137537719</v>
      </c>
      <c r="E99" s="1">
        <f t="shared" si="22"/>
        <v>66424.682137537719</v>
      </c>
      <c r="F99" s="148">
        <f>+F98</f>
        <v>5.0153967438268259</v>
      </c>
      <c r="G99" s="134">
        <f>+G98</f>
        <v>6.2460979448120257</v>
      </c>
      <c r="I99" s="130">
        <f t="shared" si="19"/>
        <v>35177</v>
      </c>
      <c r="J99" s="100">
        <f t="shared" si="20"/>
        <v>303508.06979234726</v>
      </c>
      <c r="K99" s="65">
        <f>(+(0.67*B99*(K$8)+(K$8*'Rate Projection'!$J$8))+(0.33*C99*(K$8)+K$8*'Rate Projection'!$J$8))</f>
        <v>3065214681.4029727</v>
      </c>
      <c r="L99" s="65">
        <f>(+(0.67*D99*(L$8)+(L$8*'Rate Projection'!$J$8))+(0.33*E99*(L$8)+L$8*'Rate Projection'!$J$8))</f>
        <v>5317824857.6952152</v>
      </c>
      <c r="M99" s="74"/>
      <c r="N99" s="67">
        <f t="shared" si="23"/>
        <v>1645477.5411424104</v>
      </c>
      <c r="O99" s="143"/>
      <c r="P99" s="84">
        <f t="shared" si="24"/>
        <v>3063569203.8618302</v>
      </c>
      <c r="Q99" s="89">
        <f t="shared" si="26"/>
        <v>28446876752.313347</v>
      </c>
      <c r="R99" s="84">
        <f t="shared" si="25"/>
        <v>5316179380.1540728</v>
      </c>
      <c r="S99" s="89">
        <f t="shared" si="26"/>
        <v>49383554821.10096</v>
      </c>
      <c r="T99" s="194"/>
    </row>
    <row r="100" spans="1:20" ht="15.75" customHeight="1" x14ac:dyDescent="0.3">
      <c r="A100">
        <f t="shared" si="18"/>
        <v>2099</v>
      </c>
      <c r="B100" s="1">
        <f t="shared" si="11"/>
        <v>39633.2367947741</v>
      </c>
      <c r="C100" s="1">
        <f t="shared" si="12"/>
        <v>49541.545993467626</v>
      </c>
      <c r="D100" s="1">
        <f t="shared" si="21"/>
        <v>74432.177569217893</v>
      </c>
      <c r="E100" s="1">
        <f t="shared" si="22"/>
        <v>74432.177569217893</v>
      </c>
      <c r="F100" s="148">
        <f>(F99*$G$8)+F99</f>
        <v>5.3815207061261843</v>
      </c>
      <c r="G100" s="134">
        <f>(G99*$G$8)+G99</f>
        <v>6.7020630947833038</v>
      </c>
      <c r="I100" s="130">
        <f t="shared" si="19"/>
        <v>35405</v>
      </c>
      <c r="J100" s="100">
        <f t="shared" si="20"/>
        <v>308086.89860943554</v>
      </c>
      <c r="K100" s="65">
        <f>(+(0.67*B100*(K$8)+(K$8*'Rate Projection'!$J$8))+(0.33*C100*(K$8)+K$8*'Rate Projection'!$J$8))</f>
        <v>3434726020.0498886</v>
      </c>
      <c r="L100" s="65">
        <f>(+(0.67*D100*(L$8)+(L$8*'Rate Projection'!$J$8))+(0.33*E100*(L$8)+L$8*'Rate Projection'!$J$8))</f>
        <v>5958888353.094161</v>
      </c>
      <c r="M100" s="74"/>
      <c r="N100" s="67">
        <f t="shared" si="23"/>
        <v>1792233.8211240862</v>
      </c>
      <c r="O100" s="143"/>
      <c r="P100" s="84">
        <f t="shared" si="24"/>
        <v>3432933786.2287645</v>
      </c>
      <c r="Q100" s="89">
        <f t="shared" si="26"/>
        <v>31879810538.54211</v>
      </c>
      <c r="R100" s="84">
        <f t="shared" si="25"/>
        <v>5957096119.273037</v>
      </c>
      <c r="S100" s="89">
        <f t="shared" si="26"/>
        <v>55340650940.373993</v>
      </c>
      <c r="T100" s="194"/>
    </row>
    <row r="101" spans="1:20" ht="15.75" customHeight="1" x14ac:dyDescent="0.3">
      <c r="A101">
        <f t="shared" si="18"/>
        <v>2100</v>
      </c>
      <c r="B101" s="1">
        <f>(B100*$C$8)+B100</f>
        <v>44411.023490384119</v>
      </c>
      <c r="C101" s="1">
        <f t="shared" si="12"/>
        <v>55513.779362980145</v>
      </c>
      <c r="D101" s="1">
        <f t="shared" si="21"/>
        <v>83404.976575187116</v>
      </c>
      <c r="E101" s="1">
        <f t="shared" si="22"/>
        <v>83404.976575187116</v>
      </c>
      <c r="F101" s="148">
        <f>+F100</f>
        <v>5.3815207061261843</v>
      </c>
      <c r="G101" s="134">
        <f>+G100</f>
        <v>6.7020630947833038</v>
      </c>
      <c r="I101" s="130">
        <f t="shared" si="19"/>
        <v>35633</v>
      </c>
      <c r="J101" s="100">
        <f t="shared" si="20"/>
        <v>312734.80523836106</v>
      </c>
      <c r="K101" s="65">
        <f>(+(0.67*B101*(K$8)+(K$8*'Rate Projection'!$J$8))+(0.33*C101*(K$8)+K$8*'Rate Projection'!$J$8))</f>
        <v>3848781950.5706892</v>
      </c>
      <c r="L101" s="65">
        <f>(+(0.67*D101*(L$8)+(L$8*'Rate Projection'!$J$8))+(0.33*E101*(L$8)+L$8*'Rate Projection'!$J$8))</f>
        <v>6677232052.8634491</v>
      </c>
      <c r="M101" s="74"/>
      <c r="N101" s="67">
        <f t="shared" si="23"/>
        <v>1819272.0869360557</v>
      </c>
      <c r="O101" s="143"/>
      <c r="P101" s="84">
        <f t="shared" si="24"/>
        <v>3846962678.4837532</v>
      </c>
      <c r="Q101" s="89">
        <f t="shared" si="26"/>
        <v>35726773217.025864</v>
      </c>
      <c r="R101" s="84">
        <f t="shared" si="25"/>
        <v>6675412780.7765131</v>
      </c>
      <c r="S101" s="89">
        <f t="shared" si="26"/>
        <v>62016063721.150505</v>
      </c>
      <c r="T101" s="194"/>
    </row>
    <row r="102" spans="1:20" ht="15.75" customHeight="1" x14ac:dyDescent="0.3">
      <c r="F102" s="136"/>
      <c r="G102" s="136"/>
      <c r="Q102" s="73"/>
    </row>
    <row r="103" spans="1:20" ht="15.75" customHeight="1" x14ac:dyDescent="0.3">
      <c r="Q103" s="73"/>
    </row>
    <row r="104" spans="1:20" ht="15.75" customHeight="1" x14ac:dyDescent="0.3">
      <c r="Q104" s="73"/>
    </row>
    <row r="105" spans="1:20" ht="15.75" customHeight="1" x14ac:dyDescent="0.3">
      <c r="Q105" s="73"/>
    </row>
    <row r="106" spans="1:20" ht="15.75" customHeight="1" x14ac:dyDescent="0.3">
      <c r="Q106" s="73"/>
    </row>
    <row r="107" spans="1:20" ht="15.75" customHeight="1" x14ac:dyDescent="0.3">
      <c r="Q107" s="73"/>
    </row>
    <row r="108" spans="1:20" ht="15.75" customHeight="1" x14ac:dyDescent="0.3">
      <c r="Q108" s="73"/>
    </row>
    <row r="109" spans="1:20" ht="15.75" customHeight="1" x14ac:dyDescent="0.3">
      <c r="Q109" s="73"/>
    </row>
  </sheetData>
  <mergeCells count="12">
    <mergeCell ref="B6:E6"/>
    <mergeCell ref="F6:G6"/>
    <mergeCell ref="B7:C7"/>
    <mergeCell ref="D7:E7"/>
    <mergeCell ref="K6:L6"/>
    <mergeCell ref="K9:N9"/>
    <mergeCell ref="P9:S9"/>
    <mergeCell ref="J9:J10"/>
    <mergeCell ref="I9:I10"/>
    <mergeCell ref="I7:J7"/>
    <mergeCell ref="P10:Q10"/>
    <mergeCell ref="R10:S10"/>
  </mergeCells>
  <pageMargins left="0.7" right="0.7" top="0.75" bottom="0.75" header="0.3" footer="0.3"/>
  <pageSetup scale="55" fitToHeight="3" orientation="landscape" r:id="rId1"/>
  <headerFooter>
    <oddFooter>&amp;C&amp;F / 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2"/>
  <sheetViews>
    <sheetView zoomScale="80" zoomScaleNormal="80" workbookViewId="0">
      <selection activeCell="A2" sqref="A2:A3"/>
    </sheetView>
  </sheetViews>
  <sheetFormatPr defaultColWidth="10.109375" defaultRowHeight="14.4" x14ac:dyDescent="0.3"/>
  <cols>
    <col min="1" max="1" width="10" bestFit="1" customWidth="1"/>
    <col min="2" max="2" width="5.5546875" bestFit="1" customWidth="1"/>
    <col min="3" max="3" width="12" bestFit="1" customWidth="1"/>
    <col min="4" max="4" width="10.5546875" bestFit="1" customWidth="1"/>
    <col min="5" max="5" width="13.44140625" bestFit="1" customWidth="1"/>
    <col min="6" max="7" width="15.109375" bestFit="1" customWidth="1"/>
    <col min="8" max="8" width="13.44140625" bestFit="1" customWidth="1"/>
    <col min="9" max="9" width="12.33203125" bestFit="1" customWidth="1"/>
    <col min="10" max="24" width="10.6640625" bestFit="1" customWidth="1"/>
    <col min="26" max="26" width="13.44140625" bestFit="1" customWidth="1"/>
    <col min="27" max="27" width="10.6640625" bestFit="1" customWidth="1"/>
  </cols>
  <sheetData>
    <row r="1" spans="1:27" x14ac:dyDescent="0.3">
      <c r="A1" t="e">
        <f>+#REF!</f>
        <v>#REF!</v>
      </c>
    </row>
    <row r="2" spans="1:27" x14ac:dyDescent="0.3">
      <c r="A2" t="e">
        <f>+#REF!</f>
        <v>#REF!</v>
      </c>
    </row>
    <row r="3" spans="1:27" x14ac:dyDescent="0.3">
      <c r="A3" t="e">
        <f>+#REF!</f>
        <v>#REF!</v>
      </c>
    </row>
    <row r="4" spans="1:27" x14ac:dyDescent="0.3">
      <c r="E4" s="180" t="s">
        <v>109</v>
      </c>
      <c r="F4" s="181"/>
      <c r="G4" s="49" t="e">
        <f>#REF!</f>
        <v>#REF!</v>
      </c>
      <c r="I4" s="3"/>
    </row>
    <row r="6" spans="1:27" ht="15" customHeight="1" x14ac:dyDescent="0.3">
      <c r="A6" s="50"/>
      <c r="B6" s="44"/>
      <c r="C6" s="44"/>
      <c r="D6" s="44"/>
      <c r="E6" s="42" t="s">
        <v>1</v>
      </c>
      <c r="F6" s="42" t="s">
        <v>2</v>
      </c>
      <c r="G6" s="42" t="s">
        <v>3</v>
      </c>
      <c r="H6" s="42" t="s">
        <v>4</v>
      </c>
      <c r="I6" s="42" t="s">
        <v>5</v>
      </c>
      <c r="J6" s="164" t="s">
        <v>112</v>
      </c>
      <c r="K6" s="165"/>
      <c r="L6" s="165"/>
      <c r="M6" s="165"/>
      <c r="N6" s="166"/>
      <c r="O6" s="184" t="s">
        <v>107</v>
      </c>
      <c r="P6" s="184"/>
      <c r="Q6" s="184"/>
      <c r="R6" s="184"/>
      <c r="S6" s="184"/>
      <c r="T6" s="174" t="s">
        <v>106</v>
      </c>
      <c r="U6" s="174"/>
      <c r="V6" s="174"/>
      <c r="W6" s="174"/>
      <c r="X6" s="175"/>
    </row>
    <row r="7" spans="1:27" ht="15" customHeight="1" x14ac:dyDescent="0.3">
      <c r="A7" s="51"/>
      <c r="B7" s="45"/>
      <c r="C7" s="45"/>
      <c r="D7" s="45"/>
      <c r="E7" s="43">
        <v>31</v>
      </c>
      <c r="F7" s="43">
        <v>30</v>
      </c>
      <c r="G7" s="43">
        <v>31</v>
      </c>
      <c r="H7" s="43">
        <v>31</v>
      </c>
      <c r="I7" s="43">
        <v>30</v>
      </c>
      <c r="J7" s="167"/>
      <c r="K7" s="168"/>
      <c r="L7" s="168"/>
      <c r="M7" s="168"/>
      <c r="N7" s="169"/>
      <c r="O7" s="185"/>
      <c r="P7" s="185"/>
      <c r="Q7" s="185"/>
      <c r="R7" s="185"/>
      <c r="S7" s="185"/>
      <c r="T7" s="176"/>
      <c r="U7" s="176"/>
      <c r="V7" s="176"/>
      <c r="W7" s="176"/>
      <c r="X7" s="177"/>
    </row>
    <row r="8" spans="1:27" ht="15" customHeight="1" x14ac:dyDescent="0.3">
      <c r="A8" s="182" t="s">
        <v>103</v>
      </c>
      <c r="B8" s="183"/>
      <c r="C8" s="183"/>
      <c r="D8" s="183"/>
      <c r="E8" s="2">
        <f>(2000000*E7)*0.133680556</f>
        <v>8288194.4720000001</v>
      </c>
      <c r="F8" s="2">
        <f>(2000000*F7)*0.133680556</f>
        <v>8020833.3600000003</v>
      </c>
      <c r="G8" s="2">
        <f>(2000000*G7)*0.133680556</f>
        <v>8288194.4720000001</v>
      </c>
      <c r="H8" s="2">
        <f>(2000000*H7)*0.133680556</f>
        <v>8288194.4720000001</v>
      </c>
      <c r="I8" s="2">
        <f>(2000000*I7)*0.133680556</f>
        <v>8020833.3600000003</v>
      </c>
      <c r="J8" s="167"/>
      <c r="K8" s="168"/>
      <c r="L8" s="168"/>
      <c r="M8" s="168"/>
      <c r="N8" s="169"/>
      <c r="O8" s="185"/>
      <c r="P8" s="185"/>
      <c r="Q8" s="185"/>
      <c r="R8" s="185"/>
      <c r="S8" s="185"/>
      <c r="T8" s="176"/>
      <c r="U8" s="176"/>
      <c r="V8" s="176"/>
      <c r="W8" s="176"/>
      <c r="X8" s="177"/>
    </row>
    <row r="9" spans="1:27" x14ac:dyDescent="0.3">
      <c r="A9" s="182" t="s">
        <v>104</v>
      </c>
      <c r="B9" s="183"/>
      <c r="C9" s="183"/>
      <c r="D9" s="183"/>
      <c r="E9" s="2">
        <f>(1470000*E7)*0.133680556</f>
        <v>6091822.9369200002</v>
      </c>
      <c r="F9" s="2">
        <f>(1470000*F7)*0.133680556</f>
        <v>5895312.5196000002</v>
      </c>
      <c r="G9" s="2">
        <f>(1470000*G7)*0.133680556</f>
        <v>6091822.9369200002</v>
      </c>
      <c r="H9" s="2">
        <f>(1470000*H7)*0.133680556</f>
        <v>6091822.9369200002</v>
      </c>
      <c r="I9" s="2">
        <f>(1470000*I7)*0.133680556</f>
        <v>5895312.5196000002</v>
      </c>
      <c r="J9" s="170"/>
      <c r="K9" s="171"/>
      <c r="L9" s="171"/>
      <c r="M9" s="171"/>
      <c r="N9" s="172"/>
      <c r="O9" s="186"/>
      <c r="P9" s="186"/>
      <c r="Q9" s="186"/>
      <c r="R9" s="186"/>
      <c r="S9" s="186"/>
      <c r="T9" s="178"/>
      <c r="U9" s="178"/>
      <c r="V9" s="178"/>
      <c r="W9" s="178"/>
      <c r="X9" s="179"/>
      <c r="Z9" s="173" t="s">
        <v>113</v>
      </c>
      <c r="AA9" s="173"/>
    </row>
    <row r="10" spans="1:27" x14ac:dyDescent="0.3">
      <c r="A10" s="162" t="s">
        <v>108</v>
      </c>
      <c r="B10" s="39" t="s">
        <v>0</v>
      </c>
      <c r="C10" s="39" t="s">
        <v>76</v>
      </c>
      <c r="D10" s="39" t="s">
        <v>98</v>
      </c>
      <c r="E10" s="39" t="s">
        <v>1</v>
      </c>
      <c r="F10" s="39" t="s">
        <v>11</v>
      </c>
      <c r="G10" s="39" t="s">
        <v>10</v>
      </c>
      <c r="H10" s="39" t="s">
        <v>9</v>
      </c>
      <c r="I10" s="39" t="s">
        <v>12</v>
      </c>
      <c r="J10" s="38" t="s">
        <v>1</v>
      </c>
      <c r="K10" s="39" t="s">
        <v>11</v>
      </c>
      <c r="L10" s="39" t="s">
        <v>10</v>
      </c>
      <c r="M10" s="39" t="s">
        <v>9</v>
      </c>
      <c r="N10" s="40" t="s">
        <v>12</v>
      </c>
      <c r="O10" s="38" t="s">
        <v>1</v>
      </c>
      <c r="P10" s="39" t="s">
        <v>11</v>
      </c>
      <c r="Q10" s="39" t="s">
        <v>10</v>
      </c>
      <c r="R10" s="39" t="s">
        <v>9</v>
      </c>
      <c r="S10" s="40" t="s">
        <v>12</v>
      </c>
      <c r="T10" s="38" t="s">
        <v>1</v>
      </c>
      <c r="U10" s="39" t="s">
        <v>11</v>
      </c>
      <c r="V10" s="39" t="s">
        <v>10</v>
      </c>
      <c r="W10" s="39" t="s">
        <v>9</v>
      </c>
      <c r="X10" s="40" t="s">
        <v>12</v>
      </c>
      <c r="Z10" s="56" t="e">
        <f xml:space="preserve"> IF(#REF!&lt;=0, 0.25%,#REF!)</f>
        <v>#REF!</v>
      </c>
      <c r="AA10" s="56"/>
    </row>
    <row r="11" spans="1:27" x14ac:dyDescent="0.3">
      <c r="A11" s="163"/>
      <c r="B11" s="41">
        <v>2009</v>
      </c>
      <c r="C11" s="6">
        <f>'RV ERU Connections'!F34</f>
        <v>43374</v>
      </c>
      <c r="D11" s="6">
        <f>'RV ERU Connections'!F37</f>
        <v>15510</v>
      </c>
      <c r="E11" s="6">
        <v>90500</v>
      </c>
      <c r="F11" s="6">
        <v>881000</v>
      </c>
      <c r="G11" s="6">
        <v>2763500</v>
      </c>
      <c r="H11" s="6">
        <v>120500</v>
      </c>
      <c r="I11" s="6">
        <v>3000</v>
      </c>
      <c r="J11" s="48"/>
      <c r="K11" s="6"/>
      <c r="L11" s="6"/>
      <c r="M11" s="6"/>
      <c r="N11" s="37"/>
      <c r="O11" s="48"/>
      <c r="P11" s="6"/>
      <c r="Q11" s="6"/>
      <c r="R11" s="6"/>
      <c r="S11" s="37"/>
      <c r="T11" s="48"/>
      <c r="U11" s="6"/>
      <c r="V11" s="6"/>
      <c r="W11" s="6"/>
      <c r="X11" s="37"/>
      <c r="Z11" s="6">
        <v>2100000</v>
      </c>
      <c r="AA11" s="6"/>
    </row>
    <row r="12" spans="1:27" x14ac:dyDescent="0.3">
      <c r="A12" s="28">
        <f>'Rate Projection'!J8</f>
        <v>1.5086349500430094E-2</v>
      </c>
      <c r="B12" s="61">
        <v>2010</v>
      </c>
      <c r="C12" s="5" t="e">
        <f>IF($A$13&gt;0, (+C11*$A$13)+C11,  (+C11*$A$12)+C11)</f>
        <v>#REF!</v>
      </c>
      <c r="D12" s="5" t="e">
        <f>IF($A$13&gt;0, (+D11*A$13)+D11,  (+D11*$A$12)+D11)</f>
        <v>#REF!</v>
      </c>
      <c r="E12" s="46" t="e">
        <f>E11+(E11*$G$4)</f>
        <v>#REF!</v>
      </c>
      <c r="F12" s="46" t="e">
        <f>F11+(F11*$G$4)</f>
        <v>#REF!</v>
      </c>
      <c r="G12" s="46" t="e">
        <f>G11+(G11*$G$4)</f>
        <v>#REF!</v>
      </c>
      <c r="H12" s="46" t="e">
        <f>H11+(H11*$G$4)</f>
        <v>#REF!</v>
      </c>
      <c r="I12" s="46" t="e">
        <f>I11+(I11*$G$4)</f>
        <v>#REF!</v>
      </c>
      <c r="J12" s="53" t="e">
        <f>IF(AND(E12&gt;E$9, $D12&gt;'RV ERU Connections'!$F$37),J11,(VLOOKUP($B12,'Rate Projection'!$A$11:$G$101,2)*(E12/100)))</f>
        <v>#REF!</v>
      </c>
      <c r="K12" s="53" t="e">
        <f>IF(AND(F12&gt;F$9, $D12&gt;'RV ERU Connections'!$F$37),K11,(VLOOKUP($B12,'Rate Projection'!$A$11:$G$101,3)*(F12/100)))</f>
        <v>#REF!</v>
      </c>
      <c r="L12" s="53" t="e">
        <f>IF(AND(G12&gt;G$9, $D12&gt;'RV ERU Connections'!$F$37),L11,(VLOOKUP($B12,'Rate Projection'!$A$11:$G$101,3)*(G12/100)))</f>
        <v>#REF!</v>
      </c>
      <c r="M12" s="53" t="e">
        <f>IF(AND(H12&gt;H$9, $D12&gt;'RV ERU Connections'!$F$37),M11,(VLOOKUP($B12,'Rate Projection'!$A$11:$G$101,3)*(H12/100)))</f>
        <v>#REF!</v>
      </c>
      <c r="N12" s="53" t="e">
        <f>IF(AND(I12&gt;I$9, $D12&gt;'RV ERU Connections'!$F$37),N11,(VLOOKUP($B12,'Rate Projection'!$A$11:$G$101,3)*(I12/100)))</f>
        <v>#REF!</v>
      </c>
      <c r="O12" s="54" t="e">
        <f>IF(AND(E12&gt;E$9, E12&gt;(E$9+E$8),$D12&gt;'RV ERU Connections'!$F$38),O11,IF(E12&gt;E$9,((('Rate Projection'!$C$6+(VLOOKUP($B12,'Rate Projection'!$A$11:$G$101,4)))*(E12-E$9)/100)+(VLOOKUP($B12,'Rate Projection'!$A$11:$G$101,2)*'Monthly Revenue-Usage'!E$9/100)),(VLOOKUP($B12,'Rate Projection'!$A$11:$G$101,2)*('Monthly Revenue-Usage'!E12/100))))</f>
        <v>#REF!</v>
      </c>
      <c r="P12" s="54" t="e">
        <f>IF(AND(F12&gt;F$9, F12&gt;(F$9+F$8),$D12&gt;'RV ERU Connections'!$F$38),P11,IF(F12&gt;F$9,((('Rate Projection'!$C$6+(VLOOKUP($B12,'Rate Projection'!$A$11:$G$101,5)))*(F12-F$9)/100)+(VLOOKUP($B12,'Rate Projection'!$A$11:$G$101,3)*'Monthly Revenue-Usage'!F$9/100)),(VLOOKUP($B12,'Rate Projection'!$A$11:$G$101,3)*('Monthly Revenue-Usage'!F12/100))))</f>
        <v>#REF!</v>
      </c>
      <c r="Q12" s="54" t="e">
        <f>IF(AND(G12&gt;G$9, G12&gt;(G$9+G$8),$D12&gt;'RV ERU Connections'!$F$38),Q11,IF(G12&gt;G$9,((('Rate Projection'!$C$6+(VLOOKUP($B12,'Rate Projection'!$A$11:$G$101,5)))*(G12-G$9)/100)+(VLOOKUP($B12,'Rate Projection'!$A$11:$G$101,3)*'Monthly Revenue-Usage'!G$9/100)),(VLOOKUP($B12,'Rate Projection'!$A$11:$G$101,3)*('Monthly Revenue-Usage'!G12/100))))</f>
        <v>#REF!</v>
      </c>
      <c r="R12" s="54" t="e">
        <f>IF(AND(H12&gt;H$9, H12&gt;(H$9+H$8),$D12&gt;'RV ERU Connections'!$F$38),R11,IF(H12&gt;H$9,((('Rate Projection'!$C$6+(VLOOKUP($B12,'Rate Projection'!$A$11:$G$101,5)))*(H12-H$9)/100)+(VLOOKUP($B12,'Rate Projection'!$A$11:$G$101,3)*'Monthly Revenue-Usage'!H$9/100)),(VLOOKUP($B12,'Rate Projection'!$A$11:$G$101,3)*('Monthly Revenue-Usage'!H12/100))))</f>
        <v>#REF!</v>
      </c>
      <c r="S12" s="54" t="e">
        <f>IF(AND(I12&gt;I$9, I12&gt;(I$9+I$8),$D12&gt;'RV ERU Connections'!$F$38),S11,IF(I12&gt;I$9,((('Rate Projection'!$C$6+(VLOOKUP($B12,'Rate Projection'!$A$11:$G$101,5)))*(I12-I$9)/100)+(VLOOKUP($B12,'Rate Projection'!$A$11:$G$101,3)*'Monthly Revenue-Usage'!I$9/100)),(VLOOKUP($B12,'Rate Projection'!$A$11:$G$101,3)*('Monthly Revenue-Usage'!I12/100))))</f>
        <v>#REF!</v>
      </c>
      <c r="T12" s="52" t="e">
        <f>IF(AND(E12&gt;E$9, E12&gt;(E$9+E$8),$D12&gt;'RV ERU Connections'!$F$38),T11,IF(E12&gt;E$8,((('Rate Projection'!$C$6+(VLOOKUP($B12,'Rate Projection'!$A$11:$G$101,2)))*(E12-E$8)/100)+(VLOOKUP($B12,'Rate Projection'!$A$11:$G$101,2)*'Monthly Revenue-Usage'!E$8/100)),(VLOOKUP($B12,'Rate Projection'!$A$11:$G$101,2)*('Monthly Revenue-Usage'!E12/100))))</f>
        <v>#REF!</v>
      </c>
      <c r="U12" s="52" t="e">
        <f>IF(AND(F12&gt;F$9, F12&gt;(F$9+F$8),$D12&gt;'RV ERU Connections'!$F$38),U11,IF(F12&gt;F$8,((('Rate Projection'!$C$6+(VLOOKUP($B12,'Rate Projection'!$A$11:$G$101,3)))*(F12-F$8)/100)+(VLOOKUP($B12,'Rate Projection'!$A$11:$G$101,3)*'Monthly Revenue-Usage'!F$8/100)),(VLOOKUP($B12,'Rate Projection'!$A$11:$G$101,3)*('Monthly Revenue-Usage'!F12/100))))</f>
        <v>#REF!</v>
      </c>
      <c r="V12" s="52" t="e">
        <f>IF(AND(G12&gt;G$9, G12&gt;(G$9+G$8),$D12&gt;'RV ERU Connections'!$F$38),V11,IF(G12&gt;G$8,((('Rate Projection'!$C$6+(VLOOKUP($B12,'Rate Projection'!$A$11:$G$101,3)))*(G12-G$8)/100)+(VLOOKUP($B12,'Rate Projection'!$A$11:$G$101,3)*'Monthly Revenue-Usage'!G$8/100)),(VLOOKUP($B12,'Rate Projection'!$A$11:$G$101,3)*('Monthly Revenue-Usage'!G12/100))))</f>
        <v>#REF!</v>
      </c>
      <c r="W12" s="52" t="e">
        <f>IF(AND(H12&gt;H$9, H12&gt;(H$9+H$8),$D12&gt;'RV ERU Connections'!$F$38),W11,IF(H12&gt;H$8,((('Rate Projection'!$C$6+(VLOOKUP($B12,'Rate Projection'!$A$11:$G$101,3)))*(H12-H$8)/100)+(VLOOKUP($B12,'Rate Projection'!$A$11:$G$101,3)*'Monthly Revenue-Usage'!H$8/100)),(VLOOKUP($B12,'Rate Projection'!$A$11:$G$101,3)*('Monthly Revenue-Usage'!H12/100))))</f>
        <v>#REF!</v>
      </c>
      <c r="X12" s="52" t="e">
        <f>IF(AND(I12&gt;I$9, I12&gt;(I$9+I$8),$D12&gt;'RV ERU Connections'!$F$38),X11,IF(I12&gt;I$8,((('Rate Projection'!$C$6+(VLOOKUP($B12,'Rate Projection'!$A$11:$G$101,3)))*(I12-I$8)/100)+(VLOOKUP($B12,'Rate Projection'!$A$11:$G$101,3)*'Monthly Revenue-Usage'!I$8/100)),(VLOOKUP($B12,'Rate Projection'!$A$11:$G$101,3)*('Monthly Revenue-Usage'!I12/100))))</f>
        <v>#REF!</v>
      </c>
      <c r="Z12" s="53" t="e">
        <f>(-ISPMT('Monthly Revenue-Usage'!$Z$10/12, 1,1*12, Z11)*12)+Z11</f>
        <v>#REF!</v>
      </c>
      <c r="AA12" s="53" t="e">
        <f>Z12-Z11</f>
        <v>#REF!</v>
      </c>
    </row>
    <row r="13" spans="1:27" x14ac:dyDescent="0.3">
      <c r="A13" s="29" t="e">
        <f>#REF!</f>
        <v>#REF!</v>
      </c>
      <c r="B13" s="61">
        <f t="shared" ref="B13:B76" si="0">B12+1</f>
        <v>2011</v>
      </c>
      <c r="C13" s="5" t="e">
        <f t="shared" ref="C13:C76" si="1">IF($A$13&gt;0, (+C12*$A$13)+C12,  (+C12*$A$12)+C12)</f>
        <v>#REF!</v>
      </c>
      <c r="D13" s="5" t="e">
        <f>IF($A$13&gt;0, (+D12*A$13)+D12,  (+D12*$A$12)+D12)</f>
        <v>#REF!</v>
      </c>
      <c r="E13" s="46" t="e">
        <f t="shared" ref="E13:E40" si="2">E12+(E12*$G$4)</f>
        <v>#REF!</v>
      </c>
      <c r="F13" s="46" t="e">
        <f t="shared" ref="F13:F41" si="3">F12+(F12*$G$4)</f>
        <v>#REF!</v>
      </c>
      <c r="G13" s="46" t="e">
        <f t="shared" ref="G13:G41" si="4">G12+(G12*$G$4)</f>
        <v>#REF!</v>
      </c>
      <c r="H13" s="46" t="e">
        <f t="shared" ref="H13:H41" si="5">H12+(H12*$G$4)</f>
        <v>#REF!</v>
      </c>
      <c r="I13" s="46" t="e">
        <f t="shared" ref="I13:I41" si="6">I12+(I12*$G$4)</f>
        <v>#REF!</v>
      </c>
      <c r="J13" s="53" t="e">
        <f>IF(AND(E13&gt;E$9, $D13&gt;'RV ERU Connections'!$F$37),J12,(VLOOKUP($B13,'Rate Projection'!$A$11:$G$101,2)*(E13/100)))</f>
        <v>#REF!</v>
      </c>
      <c r="K13" s="53" t="e">
        <f>IF(AND(F13&gt;F$9, $D13&gt;'RV ERU Connections'!$F$37),K12,(VLOOKUP($B13,'Rate Projection'!$A$11:$G$101,3)*(F13/100)))</f>
        <v>#REF!</v>
      </c>
      <c r="L13" s="53" t="e">
        <f>IF(AND(G13&gt;G$9, $D13&gt;'RV ERU Connections'!$F$37),L12,(VLOOKUP($B13,'Rate Projection'!$A$11:$G$101,3)*(G13/100)))</f>
        <v>#REF!</v>
      </c>
      <c r="M13" s="53" t="e">
        <f>IF(AND(H13&gt;H$9, $D13&gt;'RV ERU Connections'!$F$37),M12,(VLOOKUP($B13,'Rate Projection'!$A$11:$G$101,3)*(H13/100)))</f>
        <v>#REF!</v>
      </c>
      <c r="N13" s="53" t="e">
        <f>IF(AND(I13&gt;I$9, $D13&gt;'RV ERU Connections'!$F$37),N12,(VLOOKUP($B13,'Rate Projection'!$A$11:$G$101,3)*(I13/100)))</f>
        <v>#REF!</v>
      </c>
      <c r="O13" s="54" t="e">
        <f>IF(AND(E13&gt;E$9, E13&gt;(E$9+E$8),$D13&gt;'RV ERU Connections'!$F$38),O12,IF(E13&gt;E$9,((('Rate Projection'!$C$6+(VLOOKUP($B13,'Rate Projection'!$A$11:$G$101,4)))*(E13-E$9)/100)+(VLOOKUP($B13,'Rate Projection'!$A$11:$G$101,2)*'Monthly Revenue-Usage'!E$9/100)),(VLOOKUP($B13,'Rate Projection'!$A$11:$G$101,2)*('Monthly Revenue-Usage'!E13/100))))</f>
        <v>#REF!</v>
      </c>
      <c r="P13" s="54" t="e">
        <f>IF(AND(F13&gt;F$9, F13&gt;(F$9+F$8),$D13&gt;'RV ERU Connections'!$F$38),P12,IF(F13&gt;F$9,((('Rate Projection'!$C$6+(VLOOKUP($B13,'Rate Projection'!$A$11:$G$101,5)))*(F13-F$9)/100)+(VLOOKUP($B13,'Rate Projection'!$A$11:$G$101,3)*'Monthly Revenue-Usage'!F$9/100)),(VLOOKUP($B13,'Rate Projection'!$A$11:$G$101,3)*('Monthly Revenue-Usage'!F13/100))))</f>
        <v>#REF!</v>
      </c>
      <c r="Q13" s="54" t="e">
        <f>IF(AND(G13&gt;G$9, G13&gt;(G$9+G$8),$D13&gt;'RV ERU Connections'!$F$38),Q12,IF(G13&gt;G$9,((('Rate Projection'!$C$6+(VLOOKUP($B13,'Rate Projection'!$A$11:$G$101,5)))*(G13-G$9)/100)+(VLOOKUP($B13,'Rate Projection'!$A$11:$G$101,3)*'Monthly Revenue-Usage'!G$9/100)),(VLOOKUP($B13,'Rate Projection'!$A$11:$G$101,3)*('Monthly Revenue-Usage'!G13/100))))</f>
        <v>#REF!</v>
      </c>
      <c r="R13" s="54" t="e">
        <f>IF(AND(H13&gt;H$9, H13&gt;(H$9+H$8),$D13&gt;'RV ERU Connections'!$F$38),R12,IF(H13&gt;H$9,((('Rate Projection'!$C$6+(VLOOKUP($B13,'Rate Projection'!$A$11:$G$101,5)))*(H13-H$9)/100)+(VLOOKUP($B13,'Rate Projection'!$A$11:$G$101,3)*'Monthly Revenue-Usage'!H$9/100)),(VLOOKUP($B13,'Rate Projection'!$A$11:$G$101,3)*('Monthly Revenue-Usage'!H13/100))))</f>
        <v>#REF!</v>
      </c>
      <c r="S13" s="54" t="e">
        <f>IF(AND(I13&gt;I$9, I13&gt;(I$9+I$8),$D13&gt;'RV ERU Connections'!$F$38),S12,IF(I13&gt;I$9,((('Rate Projection'!$C$6+(VLOOKUP($B13,'Rate Projection'!$A$11:$G$101,5)))*(I13-I$9)/100)+(VLOOKUP($B13,'Rate Projection'!$A$11:$G$101,3)*'Monthly Revenue-Usage'!I$9/100)),(VLOOKUP($B13,'Rate Projection'!$A$11:$G$101,3)*('Monthly Revenue-Usage'!I13/100))))</f>
        <v>#REF!</v>
      </c>
      <c r="T13" s="52" t="e">
        <f>IF(AND(E13&gt;E$9, E13&gt;(E$9+E$8),$D13&gt;'RV ERU Connections'!$F$38),T12,IF(E13&gt;E$8,((('Rate Projection'!$C$6+(VLOOKUP($B13,'Rate Projection'!$A$11:$G$101,2)))*(E13-E$8)/100)+(VLOOKUP($B13,'Rate Projection'!$A$11:$G$101,2)*'Monthly Revenue-Usage'!E$8/100)),(VLOOKUP($B13,'Rate Projection'!$A$11:$G$101,2)*('Monthly Revenue-Usage'!E13/100))))</f>
        <v>#REF!</v>
      </c>
      <c r="U13" s="52" t="e">
        <f>IF(AND(F13&gt;F$9, F13&gt;(F$9+F$8),$D13&gt;'RV ERU Connections'!$F$38),U12,IF(F13&gt;F$8,((('Rate Projection'!$C$6+(VLOOKUP($B13,'Rate Projection'!$A$11:$G$101,3)))*(F13-F$8)/100)+(VLOOKUP($B13,'Rate Projection'!$A$11:$G$101,3)*'Monthly Revenue-Usage'!F$8/100)),(VLOOKUP($B13,'Rate Projection'!$A$11:$G$101,3)*('Monthly Revenue-Usage'!F13/100))))</f>
        <v>#REF!</v>
      </c>
      <c r="V13" s="52" t="e">
        <f>IF(AND(G13&gt;G$9, G13&gt;(G$9+G$8),$D13&gt;'RV ERU Connections'!$F$38),V12,IF(G13&gt;G$8,((('Rate Projection'!$C$6+(VLOOKUP($B13,'Rate Projection'!$A$11:$G$101,3)))*(G13-G$8)/100)+(VLOOKUP($B13,'Rate Projection'!$A$11:$G$101,3)*'Monthly Revenue-Usage'!G$8/100)),(VLOOKUP($B13,'Rate Projection'!$A$11:$G$101,3)*('Monthly Revenue-Usage'!G13/100))))</f>
        <v>#REF!</v>
      </c>
      <c r="W13" s="52" t="e">
        <f>IF(AND(H13&gt;H$9, H13&gt;(H$9+H$8),$D13&gt;'RV ERU Connections'!$F$38),W12,IF(H13&gt;H$8,((('Rate Projection'!$C$6+(VLOOKUP($B13,'Rate Projection'!$A$11:$G$101,3)))*(H13-H$8)/100)+(VLOOKUP($B13,'Rate Projection'!$A$11:$G$101,3)*'Monthly Revenue-Usage'!H$8/100)),(VLOOKUP($B13,'Rate Projection'!$A$11:$G$101,3)*('Monthly Revenue-Usage'!H13/100))))</f>
        <v>#REF!</v>
      </c>
      <c r="X13" s="52" t="e">
        <f>IF(AND(I13&gt;I$9, I13&gt;(I$9+I$8),$D13&gt;'RV ERU Connections'!$F$38),X12,IF(I13&gt;I$8,((('Rate Projection'!$C$6+(VLOOKUP($B13,'Rate Projection'!$A$11:$G$101,3)))*(I13-I$8)/100)+(VLOOKUP($B13,'Rate Projection'!$A$11:$G$101,3)*'Monthly Revenue-Usage'!I$8/100)),(VLOOKUP($B13,'Rate Projection'!$A$11:$G$101,3)*('Monthly Revenue-Usage'!I13/100))))</f>
        <v>#REF!</v>
      </c>
      <c r="Z13" s="53" t="e">
        <f>(-ISPMT('Monthly Revenue-Usage'!$Z$10/12, 1,1*12, Z12)*12)+Z12</f>
        <v>#REF!</v>
      </c>
      <c r="AA13" s="53" t="e">
        <f t="shared" ref="AA13:AA62" si="7">Z13-Z12</f>
        <v>#REF!</v>
      </c>
    </row>
    <row r="14" spans="1:27" x14ac:dyDescent="0.3">
      <c r="B14" s="61">
        <f t="shared" si="0"/>
        <v>2012</v>
      </c>
      <c r="C14" s="5" t="e">
        <f t="shared" si="1"/>
        <v>#REF!</v>
      </c>
      <c r="D14" s="5" t="e">
        <f t="shared" ref="D14:D62" si="8">IF($A$13&gt;0, (+D13*A$13)+D13,  (+D13*$A$12)+D13)</f>
        <v>#REF!</v>
      </c>
      <c r="E14" s="46" t="e">
        <f t="shared" si="2"/>
        <v>#REF!</v>
      </c>
      <c r="F14" s="46" t="e">
        <f t="shared" si="3"/>
        <v>#REF!</v>
      </c>
      <c r="G14" s="46" t="e">
        <f t="shared" si="4"/>
        <v>#REF!</v>
      </c>
      <c r="H14" s="46" t="e">
        <f t="shared" si="5"/>
        <v>#REF!</v>
      </c>
      <c r="I14" s="46" t="e">
        <f t="shared" si="6"/>
        <v>#REF!</v>
      </c>
      <c r="J14" s="53" t="e">
        <f>IF(AND(E14&gt;E$9, $D14&gt;'RV ERU Connections'!$F$37),J13,(VLOOKUP($B14,'Rate Projection'!$A$11:$G$101,2)*(E14/100)))</f>
        <v>#REF!</v>
      </c>
      <c r="K14" s="53" t="e">
        <f>IF(AND(F14&gt;F$9, $D14&gt;'RV ERU Connections'!$F$37),K13,(VLOOKUP($B14,'Rate Projection'!$A$11:$G$101,3)*(F14/100)))</f>
        <v>#REF!</v>
      </c>
      <c r="L14" s="53" t="e">
        <f>IF(AND(G14&gt;G$9, $D14&gt;'RV ERU Connections'!$F$37),L13,(VLOOKUP($B14,'Rate Projection'!$A$11:$G$101,3)*(G14/100)))</f>
        <v>#REF!</v>
      </c>
      <c r="M14" s="53" t="e">
        <f>IF(AND(H14&gt;H$9, $D14&gt;'RV ERU Connections'!$F$37),M13,(VLOOKUP($B14,'Rate Projection'!$A$11:$G$101,3)*(H14/100)))</f>
        <v>#REF!</v>
      </c>
      <c r="N14" s="53" t="e">
        <f>IF(AND(I14&gt;I$9, $D14&gt;'RV ERU Connections'!$F$37),N13,(VLOOKUP($B14,'Rate Projection'!$A$11:$G$101,3)*(I14/100)))</f>
        <v>#REF!</v>
      </c>
      <c r="O14" s="54" t="e">
        <f>IF(AND(E14&gt;E$9, E14&gt;(E$9+E$8),$D14&gt;'RV ERU Connections'!$F$38),O13,IF(E14&gt;E$9,((('Rate Projection'!$C$6+(VLOOKUP($B14,'Rate Projection'!$A$11:$G$101,4)))*(E14-E$9)/100)+(VLOOKUP($B14,'Rate Projection'!$A$11:$G$101,2)*'Monthly Revenue-Usage'!E$9/100)),(VLOOKUP($B14,'Rate Projection'!$A$11:$G$101,2)*('Monthly Revenue-Usage'!E14/100))))</f>
        <v>#REF!</v>
      </c>
      <c r="P14" s="54" t="e">
        <f>IF(AND(F14&gt;F$9, F14&gt;(F$9+F$8),$D14&gt;'RV ERU Connections'!$F$38),P13,IF(F14&gt;F$9,((('Rate Projection'!$C$6+(VLOOKUP($B14,'Rate Projection'!$A$11:$G$101,5)))*(F14-F$9)/100)+(VLOOKUP($B14,'Rate Projection'!$A$11:$G$101,3)*'Monthly Revenue-Usage'!F$9/100)),(VLOOKUP($B14,'Rate Projection'!$A$11:$G$101,3)*('Monthly Revenue-Usage'!F14/100))))</f>
        <v>#REF!</v>
      </c>
      <c r="Q14" s="54" t="e">
        <f>IF(AND(G14&gt;G$9, G14&gt;(G$9+G$8),$D14&gt;'RV ERU Connections'!$F$38),Q13,IF(G14&gt;G$9,((('Rate Projection'!$C$6+(VLOOKUP($B14,'Rate Projection'!$A$11:$G$101,5)))*(G14-G$9)/100)+(VLOOKUP($B14,'Rate Projection'!$A$11:$G$101,3)*'Monthly Revenue-Usage'!G$9/100)),(VLOOKUP($B14,'Rate Projection'!$A$11:$G$101,3)*('Monthly Revenue-Usage'!G14/100))))</f>
        <v>#REF!</v>
      </c>
      <c r="R14" s="54" t="e">
        <f>IF(AND(H14&gt;H$9, H14&gt;(H$9+H$8),$D14&gt;'RV ERU Connections'!$F$38),R13,IF(H14&gt;H$9,((('Rate Projection'!$C$6+(VLOOKUP($B14,'Rate Projection'!$A$11:$G$101,5)))*(H14-H$9)/100)+(VLOOKUP($B14,'Rate Projection'!$A$11:$G$101,3)*'Monthly Revenue-Usage'!H$9/100)),(VLOOKUP($B14,'Rate Projection'!$A$11:$G$101,3)*('Monthly Revenue-Usage'!H14/100))))</f>
        <v>#REF!</v>
      </c>
      <c r="S14" s="54" t="e">
        <f>IF(AND(I14&gt;I$9, I14&gt;(I$9+I$8),$D14&gt;'RV ERU Connections'!$F$38),S13,IF(I14&gt;I$9,((('Rate Projection'!$C$6+(VLOOKUP($B14,'Rate Projection'!$A$11:$G$101,5)))*(I14-I$9)/100)+(VLOOKUP($B14,'Rate Projection'!$A$11:$G$101,3)*'Monthly Revenue-Usage'!I$9/100)),(VLOOKUP($B14,'Rate Projection'!$A$11:$G$101,3)*('Monthly Revenue-Usage'!I14/100))))</f>
        <v>#REF!</v>
      </c>
      <c r="T14" s="52" t="e">
        <f>IF(AND(E14&gt;E$9, E14&gt;(E$9+E$8),$D14&gt;'RV ERU Connections'!$F$38),T13,IF(E14&gt;E$8,((('Rate Projection'!$C$6+(VLOOKUP($B14,'Rate Projection'!$A$11:$G$101,2)))*(E14-E$8)/100)+(VLOOKUP($B14,'Rate Projection'!$A$11:$G$101,2)*'Monthly Revenue-Usage'!E$8/100)),(VLOOKUP($B14,'Rate Projection'!$A$11:$G$101,2)*('Monthly Revenue-Usage'!E14/100))))</f>
        <v>#REF!</v>
      </c>
      <c r="U14" s="52" t="e">
        <f>IF(AND(F14&gt;F$9, F14&gt;(F$9+F$8),$D14&gt;'RV ERU Connections'!$F$38),U13,IF(F14&gt;F$8,((('Rate Projection'!$C$6+(VLOOKUP($B14,'Rate Projection'!$A$11:$G$101,3)))*(F14-F$8)/100)+(VLOOKUP($B14,'Rate Projection'!$A$11:$G$101,3)*'Monthly Revenue-Usage'!F$8/100)),(VLOOKUP($B14,'Rate Projection'!$A$11:$G$101,3)*('Monthly Revenue-Usage'!F14/100))))</f>
        <v>#REF!</v>
      </c>
      <c r="V14" s="52" t="e">
        <f>IF(AND(G14&gt;G$9, G14&gt;(G$9+G$8),$D14&gt;'RV ERU Connections'!$F$38),V13,IF(G14&gt;G$8,((('Rate Projection'!$C$6+(VLOOKUP($B14,'Rate Projection'!$A$11:$G$101,3)))*(G14-G$8)/100)+(VLOOKUP($B14,'Rate Projection'!$A$11:$G$101,3)*'Monthly Revenue-Usage'!G$8/100)),(VLOOKUP($B14,'Rate Projection'!$A$11:$G$101,3)*('Monthly Revenue-Usage'!G14/100))))</f>
        <v>#REF!</v>
      </c>
      <c r="W14" s="52" t="e">
        <f>IF(AND(H14&gt;H$9, H14&gt;(H$9+H$8),$D14&gt;'RV ERU Connections'!$F$38),W13,IF(H14&gt;H$8,((('Rate Projection'!$C$6+(VLOOKUP($B14,'Rate Projection'!$A$11:$G$101,3)))*(H14-H$8)/100)+(VLOOKUP($B14,'Rate Projection'!$A$11:$G$101,3)*'Monthly Revenue-Usage'!H$8/100)),(VLOOKUP($B14,'Rate Projection'!$A$11:$G$101,3)*('Monthly Revenue-Usage'!H14/100))))</f>
        <v>#REF!</v>
      </c>
      <c r="X14" s="52" t="e">
        <f>IF(AND(I14&gt;I$9, I14&gt;(I$9+I$8),$D14&gt;'RV ERU Connections'!$F$38),X13,IF(I14&gt;I$8,((('Rate Projection'!$C$6+(VLOOKUP($B14,'Rate Projection'!$A$11:$G$101,3)))*(I14-I$8)/100)+(VLOOKUP($B14,'Rate Projection'!$A$11:$G$101,3)*'Monthly Revenue-Usage'!I$8/100)),(VLOOKUP($B14,'Rate Projection'!$A$11:$G$101,3)*('Monthly Revenue-Usage'!I14/100))))</f>
        <v>#REF!</v>
      </c>
      <c r="Z14" s="53" t="e">
        <f>(-ISPMT('Monthly Revenue-Usage'!$Z$10/12, 1,1*12, Z13)*12)+Z13</f>
        <v>#REF!</v>
      </c>
      <c r="AA14" s="53" t="e">
        <f t="shared" si="7"/>
        <v>#REF!</v>
      </c>
    </row>
    <row r="15" spans="1:27" x14ac:dyDescent="0.3">
      <c r="B15" s="61">
        <f t="shared" si="0"/>
        <v>2013</v>
      </c>
      <c r="C15" s="5" t="e">
        <f t="shared" si="1"/>
        <v>#REF!</v>
      </c>
      <c r="D15" s="5" t="e">
        <f t="shared" si="8"/>
        <v>#REF!</v>
      </c>
      <c r="E15" s="46" t="e">
        <f t="shared" si="2"/>
        <v>#REF!</v>
      </c>
      <c r="F15" s="46" t="e">
        <f t="shared" si="3"/>
        <v>#REF!</v>
      </c>
      <c r="G15" s="46" t="e">
        <f t="shared" si="4"/>
        <v>#REF!</v>
      </c>
      <c r="H15" s="46" t="e">
        <f t="shared" si="5"/>
        <v>#REF!</v>
      </c>
      <c r="I15" s="46" t="e">
        <f t="shared" si="6"/>
        <v>#REF!</v>
      </c>
      <c r="J15" s="53" t="e">
        <f>IF(AND(E15&gt;E$9, $D15&gt;'RV ERU Connections'!$F$37),J14,(VLOOKUP($B15,'Rate Projection'!$A$11:$G$101,2)*(E15/100)))</f>
        <v>#REF!</v>
      </c>
      <c r="K15" s="53" t="e">
        <f>IF(AND(F15&gt;F$9, $D15&gt;'RV ERU Connections'!$F$37),K14,(VLOOKUP($B15,'Rate Projection'!$A$11:$G$101,3)*(F15/100)))</f>
        <v>#REF!</v>
      </c>
      <c r="L15" s="53" t="e">
        <f>IF(AND(G15&gt;G$9, $D15&gt;'RV ERU Connections'!$F$37),L14,(VLOOKUP($B15,'Rate Projection'!$A$11:$G$101,3)*(G15/100)))</f>
        <v>#REF!</v>
      </c>
      <c r="M15" s="53" t="e">
        <f>IF(AND(H15&gt;H$9, $D15&gt;'RV ERU Connections'!$F$37),M14,(VLOOKUP($B15,'Rate Projection'!$A$11:$G$101,3)*(H15/100)))</f>
        <v>#REF!</v>
      </c>
      <c r="N15" s="53" t="e">
        <f>IF(AND(I15&gt;I$9, $D15&gt;'RV ERU Connections'!$F$37),N14,(VLOOKUP($B15,'Rate Projection'!$A$11:$G$101,3)*(I15/100)))</f>
        <v>#REF!</v>
      </c>
      <c r="O15" s="54" t="e">
        <f>IF(AND(E15&gt;E$9, E15&gt;(E$9+E$8),$D15&gt;'RV ERU Connections'!$F$38),O14,IF(E15&gt;E$9,((('Rate Projection'!$C$6+(VLOOKUP($B15,'Rate Projection'!$A$11:$G$101,4)))*(E15-E$9)/100)+(VLOOKUP($B15,'Rate Projection'!$A$11:$G$101,2)*'Monthly Revenue-Usage'!E$9/100)),(VLOOKUP($B15,'Rate Projection'!$A$11:$G$101,2)*('Monthly Revenue-Usage'!E15/100))))</f>
        <v>#REF!</v>
      </c>
      <c r="P15" s="54" t="e">
        <f>IF(AND(F15&gt;F$9, F15&gt;(F$9+F$8),$D15&gt;'RV ERU Connections'!$F$38),P14,IF(F15&gt;F$9,((('Rate Projection'!$C$6+(VLOOKUP($B15,'Rate Projection'!$A$11:$G$101,5)))*(F15-F$9)/100)+(VLOOKUP($B15,'Rate Projection'!$A$11:$G$101,3)*'Monthly Revenue-Usage'!F$9/100)),(VLOOKUP($B15,'Rate Projection'!$A$11:$G$101,3)*('Monthly Revenue-Usage'!F15/100))))</f>
        <v>#REF!</v>
      </c>
      <c r="Q15" s="54" t="e">
        <f>IF(AND(G15&gt;G$9, G15&gt;(G$9+G$8),$D15&gt;'RV ERU Connections'!$F$38),Q14,IF(G15&gt;G$9,((('Rate Projection'!$C$6+(VLOOKUP($B15,'Rate Projection'!$A$11:$G$101,5)))*(G15-G$9)/100)+(VLOOKUP($B15,'Rate Projection'!$A$11:$G$101,3)*'Monthly Revenue-Usage'!G$9/100)),(VLOOKUP($B15,'Rate Projection'!$A$11:$G$101,3)*('Monthly Revenue-Usage'!G15/100))))</f>
        <v>#REF!</v>
      </c>
      <c r="R15" s="54" t="e">
        <f>IF(AND(H15&gt;H$9, H15&gt;(H$9+H$8),$D15&gt;'RV ERU Connections'!$F$38),R14,IF(H15&gt;H$9,((('Rate Projection'!$C$6+(VLOOKUP($B15,'Rate Projection'!$A$11:$G$101,5)))*(H15-H$9)/100)+(VLOOKUP($B15,'Rate Projection'!$A$11:$G$101,3)*'Monthly Revenue-Usage'!H$9/100)),(VLOOKUP($B15,'Rate Projection'!$A$11:$G$101,3)*('Monthly Revenue-Usage'!H15/100))))</f>
        <v>#REF!</v>
      </c>
      <c r="S15" s="54" t="e">
        <f>IF(AND(I15&gt;I$9, I15&gt;(I$9+I$8),$D15&gt;'RV ERU Connections'!$F$38),S14,IF(I15&gt;I$9,((('Rate Projection'!$C$6+(VLOOKUP($B15,'Rate Projection'!$A$11:$G$101,5)))*(I15-I$9)/100)+(VLOOKUP($B15,'Rate Projection'!$A$11:$G$101,3)*'Monthly Revenue-Usage'!I$9/100)),(VLOOKUP($B15,'Rate Projection'!$A$11:$G$101,3)*('Monthly Revenue-Usage'!I15/100))))</f>
        <v>#REF!</v>
      </c>
      <c r="T15" s="52" t="e">
        <f>IF(AND(E15&gt;E$9, E15&gt;(E$9+E$8),$D15&gt;'RV ERU Connections'!$F$38),T14,IF(E15&gt;E$8,((('Rate Projection'!$C$6+(VLOOKUP($B15,'Rate Projection'!$A$11:$G$101,2)))*(E15-E$8)/100)+(VLOOKUP($B15,'Rate Projection'!$A$11:$G$101,2)*'Monthly Revenue-Usage'!E$8/100)),(VLOOKUP($B15,'Rate Projection'!$A$11:$G$101,2)*('Monthly Revenue-Usage'!E15/100))))</f>
        <v>#REF!</v>
      </c>
      <c r="U15" s="52" t="e">
        <f>IF(AND(F15&gt;F$9, F15&gt;(F$9+F$8),$D15&gt;'RV ERU Connections'!$F$38),U14,IF(F15&gt;F$8,((('Rate Projection'!$C$6+(VLOOKUP($B15,'Rate Projection'!$A$11:$G$101,3)))*(F15-F$8)/100)+(VLOOKUP($B15,'Rate Projection'!$A$11:$G$101,3)*'Monthly Revenue-Usage'!F$8/100)),(VLOOKUP($B15,'Rate Projection'!$A$11:$G$101,3)*('Monthly Revenue-Usage'!F15/100))))</f>
        <v>#REF!</v>
      </c>
      <c r="V15" s="52" t="e">
        <f>IF(AND(G15&gt;G$9, G15&gt;(G$9+G$8),$D15&gt;'RV ERU Connections'!$F$38),V14,IF(G15&gt;G$8,((('Rate Projection'!$C$6+(VLOOKUP($B15,'Rate Projection'!$A$11:$G$101,3)))*(G15-G$8)/100)+(VLOOKUP($B15,'Rate Projection'!$A$11:$G$101,3)*'Monthly Revenue-Usage'!G$8/100)),(VLOOKUP($B15,'Rate Projection'!$A$11:$G$101,3)*('Monthly Revenue-Usage'!G15/100))))</f>
        <v>#REF!</v>
      </c>
      <c r="W15" s="52" t="e">
        <f>IF(AND(H15&gt;H$9, H15&gt;(H$9+H$8),$D15&gt;'RV ERU Connections'!$F$38),W14,IF(H15&gt;H$8,((('Rate Projection'!$C$6+(VLOOKUP($B15,'Rate Projection'!$A$11:$G$101,3)))*(H15-H$8)/100)+(VLOOKUP($B15,'Rate Projection'!$A$11:$G$101,3)*'Monthly Revenue-Usage'!H$8/100)),(VLOOKUP($B15,'Rate Projection'!$A$11:$G$101,3)*('Monthly Revenue-Usage'!H15/100))))</f>
        <v>#REF!</v>
      </c>
      <c r="X15" s="52" t="e">
        <f>IF(AND(I15&gt;I$9, I15&gt;(I$9+I$8),$D15&gt;'RV ERU Connections'!$F$38),X14,IF(I15&gt;I$8,((('Rate Projection'!$C$6+(VLOOKUP($B15,'Rate Projection'!$A$11:$G$101,3)))*(I15-I$8)/100)+(VLOOKUP($B15,'Rate Projection'!$A$11:$G$101,3)*'Monthly Revenue-Usage'!I$8/100)),(VLOOKUP($B15,'Rate Projection'!$A$11:$G$101,3)*('Monthly Revenue-Usage'!I15/100))))</f>
        <v>#REF!</v>
      </c>
      <c r="Z15" s="53" t="e">
        <f>(-ISPMT('Monthly Revenue-Usage'!$Z$10/12, 1,1*12, Z14)*12)+Z14</f>
        <v>#REF!</v>
      </c>
      <c r="AA15" s="53" t="e">
        <f t="shared" si="7"/>
        <v>#REF!</v>
      </c>
    </row>
    <row r="16" spans="1:27" x14ac:dyDescent="0.3">
      <c r="B16" s="61">
        <f t="shared" si="0"/>
        <v>2014</v>
      </c>
      <c r="C16" s="5" t="e">
        <f t="shared" si="1"/>
        <v>#REF!</v>
      </c>
      <c r="D16" s="5" t="e">
        <f t="shared" si="8"/>
        <v>#REF!</v>
      </c>
      <c r="E16" s="46" t="e">
        <f>E15+(E15*$G$4)</f>
        <v>#REF!</v>
      </c>
      <c r="F16" s="46" t="e">
        <f t="shared" si="3"/>
        <v>#REF!</v>
      </c>
      <c r="G16" s="46" t="e">
        <f t="shared" si="4"/>
        <v>#REF!</v>
      </c>
      <c r="H16" s="46" t="e">
        <f t="shared" si="5"/>
        <v>#REF!</v>
      </c>
      <c r="I16" s="46" t="e">
        <f t="shared" si="6"/>
        <v>#REF!</v>
      </c>
      <c r="J16" s="53" t="e">
        <f>IF(AND(E16&gt;E$9, $D16&gt;'RV ERU Connections'!$F$37),J15,(VLOOKUP($B16,'Rate Projection'!$A$11:$G$101,2)*(E16/100)))</f>
        <v>#REF!</v>
      </c>
      <c r="K16" s="53" t="e">
        <f>IF(AND(F16&gt;F$9, $D16&gt;'RV ERU Connections'!$F$37),K15,(VLOOKUP($B16,'Rate Projection'!$A$11:$G$101,3)*(F16/100)))</f>
        <v>#REF!</v>
      </c>
      <c r="L16" s="53" t="e">
        <f>IF(AND(G16&gt;G$9, $D16&gt;'RV ERU Connections'!$F$37),L15,(VLOOKUP($B16,'Rate Projection'!$A$11:$G$101,3)*(G16/100)))</f>
        <v>#REF!</v>
      </c>
      <c r="M16" s="53" t="e">
        <f>IF(AND(H16&gt;H$9, $D16&gt;'RV ERU Connections'!$F$37),M15,(VLOOKUP($B16,'Rate Projection'!$A$11:$G$101,3)*(H16/100)))</f>
        <v>#REF!</v>
      </c>
      <c r="N16" s="53" t="e">
        <f>IF(AND(I16&gt;I$9, $D16&gt;'RV ERU Connections'!$F$37),N15,(VLOOKUP($B16,'Rate Projection'!$A$11:$G$101,3)*(I16/100)))</f>
        <v>#REF!</v>
      </c>
      <c r="O16" s="54" t="e">
        <f>IF(AND(E16&gt;E$9, E16&gt;(E$9+E$8),$D16&gt;'RV ERU Connections'!$F$38),O15,IF(E16&gt;E$9,((('Rate Projection'!$C$6+(VLOOKUP($B16,'Rate Projection'!$A$11:$G$101,4)))*(E16-E$9)/100)+(VLOOKUP($B16,'Rate Projection'!$A$11:$G$101,2)*'Monthly Revenue-Usage'!E$9/100)),(VLOOKUP($B16,'Rate Projection'!$A$11:$G$101,2)*('Monthly Revenue-Usage'!E16/100))))</f>
        <v>#REF!</v>
      </c>
      <c r="P16" s="54" t="e">
        <f>IF(AND(F16&gt;F$9, F16&gt;(F$9+F$8),$D16&gt;'RV ERU Connections'!$F$38),P15,IF(F16&gt;F$9,((('Rate Projection'!$C$6+(VLOOKUP($B16,'Rate Projection'!$A$11:$G$101,5)))*(F16-F$9)/100)+(VLOOKUP($B16,'Rate Projection'!$A$11:$G$101,3)*'Monthly Revenue-Usage'!F$9/100)),(VLOOKUP($B16,'Rate Projection'!$A$11:$G$101,3)*('Monthly Revenue-Usage'!F16/100))))</f>
        <v>#REF!</v>
      </c>
      <c r="Q16" s="54" t="e">
        <f>IF(AND(G16&gt;G$9, G16&gt;(G$9+G$8),$D16&gt;'RV ERU Connections'!$F$38),Q15,IF(G16&gt;G$9,((('Rate Projection'!$C$6+(VLOOKUP($B16,'Rate Projection'!$A$11:$G$101,5)))*(G16-G$9)/100)+(VLOOKUP($B16,'Rate Projection'!$A$11:$G$101,3)*'Monthly Revenue-Usage'!G$9/100)),(VLOOKUP($B16,'Rate Projection'!$A$11:$G$101,3)*('Monthly Revenue-Usage'!G16/100))))</f>
        <v>#REF!</v>
      </c>
      <c r="R16" s="54" t="e">
        <f>IF(AND(H16&gt;H$9, H16&gt;(H$9+H$8),$D16&gt;'RV ERU Connections'!$F$38),R15,IF(H16&gt;H$9,((('Rate Projection'!$C$6+(VLOOKUP($B16,'Rate Projection'!$A$11:$G$101,5)))*(H16-H$9)/100)+(VLOOKUP($B16,'Rate Projection'!$A$11:$G$101,3)*'Monthly Revenue-Usage'!H$9/100)),(VLOOKUP($B16,'Rate Projection'!$A$11:$G$101,3)*('Monthly Revenue-Usage'!H16/100))))</f>
        <v>#REF!</v>
      </c>
      <c r="S16" s="54" t="e">
        <f>IF(AND(I16&gt;I$9, I16&gt;(I$9+I$8),$D16&gt;'RV ERU Connections'!$F$38),S15,IF(I16&gt;I$9,((('Rate Projection'!$C$6+(VLOOKUP($B16,'Rate Projection'!$A$11:$G$101,5)))*(I16-I$9)/100)+(VLOOKUP($B16,'Rate Projection'!$A$11:$G$101,3)*'Monthly Revenue-Usage'!I$9/100)),(VLOOKUP($B16,'Rate Projection'!$A$11:$G$101,3)*('Monthly Revenue-Usage'!I16/100))))</f>
        <v>#REF!</v>
      </c>
      <c r="T16" s="52" t="e">
        <f>IF(AND(E16&gt;E$9, E16&gt;(E$9+E$8),$D16&gt;'RV ERU Connections'!$F$38),T15,IF(E16&gt;E$8,((('Rate Projection'!$C$6+(VLOOKUP($B16,'Rate Projection'!$A$11:$G$101,2)))*(E16-E$8)/100)+(VLOOKUP($B16,'Rate Projection'!$A$11:$G$101,2)*'Monthly Revenue-Usage'!E$8/100)),(VLOOKUP($B16,'Rate Projection'!$A$11:$G$101,2)*('Monthly Revenue-Usage'!E16/100))))</f>
        <v>#REF!</v>
      </c>
      <c r="U16" s="52" t="e">
        <f>IF(AND(F16&gt;F$9, F16&gt;(F$9+F$8),$D16&gt;'RV ERU Connections'!$F$38),U15,IF(F16&gt;F$8,((('Rate Projection'!$C$6+(VLOOKUP($B16,'Rate Projection'!$A$11:$G$101,3)))*(F16-F$8)/100)+(VLOOKUP($B16,'Rate Projection'!$A$11:$G$101,3)*'Monthly Revenue-Usage'!F$8/100)),(VLOOKUP($B16,'Rate Projection'!$A$11:$G$101,3)*('Monthly Revenue-Usage'!F16/100))))</f>
        <v>#REF!</v>
      </c>
      <c r="V16" s="52" t="e">
        <f>IF(AND(G16&gt;G$9, G16&gt;(G$9+G$8),$D16&gt;'RV ERU Connections'!$F$38),V15,IF(G16&gt;G$8,((('Rate Projection'!$C$6+(VLOOKUP($B16,'Rate Projection'!$A$11:$G$101,3)))*(G16-G$8)/100)+(VLOOKUP($B16,'Rate Projection'!$A$11:$G$101,3)*'Monthly Revenue-Usage'!G$8/100)),(VLOOKUP($B16,'Rate Projection'!$A$11:$G$101,3)*('Monthly Revenue-Usage'!G16/100))))</f>
        <v>#REF!</v>
      </c>
      <c r="W16" s="52" t="e">
        <f>IF(AND(H16&gt;H$9, H16&gt;(H$9+H$8),$D16&gt;'RV ERU Connections'!$F$38),W15,IF(H16&gt;H$8,((('Rate Projection'!$C$6+(VLOOKUP($B16,'Rate Projection'!$A$11:$G$101,3)))*(H16-H$8)/100)+(VLOOKUP($B16,'Rate Projection'!$A$11:$G$101,3)*'Monthly Revenue-Usage'!H$8/100)),(VLOOKUP($B16,'Rate Projection'!$A$11:$G$101,3)*('Monthly Revenue-Usage'!H16/100))))</f>
        <v>#REF!</v>
      </c>
      <c r="X16" s="52" t="e">
        <f>IF(AND(I16&gt;I$9, I16&gt;(I$9+I$8),$D16&gt;'RV ERU Connections'!$F$38),X15,IF(I16&gt;I$8,((('Rate Projection'!$C$6+(VLOOKUP($B16,'Rate Projection'!$A$11:$G$101,3)))*(I16-I$8)/100)+(VLOOKUP($B16,'Rate Projection'!$A$11:$G$101,3)*'Monthly Revenue-Usage'!I$8/100)),(VLOOKUP($B16,'Rate Projection'!$A$11:$G$101,3)*('Monthly Revenue-Usage'!I16/100))))</f>
        <v>#REF!</v>
      </c>
      <c r="Z16" s="53" t="e">
        <f>(-ISPMT('Monthly Revenue-Usage'!$Z$10/12, 1,1*12, Z15)*12)+Z15</f>
        <v>#REF!</v>
      </c>
      <c r="AA16" s="53" t="e">
        <f t="shared" si="7"/>
        <v>#REF!</v>
      </c>
    </row>
    <row r="17" spans="2:27" x14ac:dyDescent="0.3">
      <c r="B17" s="61">
        <f t="shared" si="0"/>
        <v>2015</v>
      </c>
      <c r="C17" s="5" t="e">
        <f t="shared" si="1"/>
        <v>#REF!</v>
      </c>
      <c r="D17" s="5" t="e">
        <f t="shared" si="8"/>
        <v>#REF!</v>
      </c>
      <c r="E17" s="46" t="e">
        <f t="shared" si="2"/>
        <v>#REF!</v>
      </c>
      <c r="F17" s="46" t="e">
        <f t="shared" si="3"/>
        <v>#REF!</v>
      </c>
      <c r="G17" s="46" t="e">
        <f t="shared" si="4"/>
        <v>#REF!</v>
      </c>
      <c r="H17" s="46" t="e">
        <f t="shared" si="5"/>
        <v>#REF!</v>
      </c>
      <c r="I17" s="46" t="e">
        <f t="shared" si="6"/>
        <v>#REF!</v>
      </c>
      <c r="J17" s="53" t="e">
        <f>IF(AND(E17&gt;E$9, $D17&gt;'RV ERU Connections'!$F$37),J16,(VLOOKUP($B17,'Rate Projection'!$A$11:$G$101,2)*(E17/100)))</f>
        <v>#REF!</v>
      </c>
      <c r="K17" s="53" t="e">
        <f>IF(AND(F17&gt;F$9, $D17&gt;'RV ERU Connections'!$F$37),K16,(VLOOKUP($B17,'Rate Projection'!$A$11:$G$101,3)*(F17/100)))</f>
        <v>#REF!</v>
      </c>
      <c r="L17" s="53" t="e">
        <f>IF(AND(G17&gt;G$9, $D17&gt;'RV ERU Connections'!$F$37),L16,(VLOOKUP($B17,'Rate Projection'!$A$11:$G$101,3)*(G17/100)))</f>
        <v>#REF!</v>
      </c>
      <c r="M17" s="53" t="e">
        <f>IF(AND(H17&gt;H$9, $D17&gt;'RV ERU Connections'!$F$37),M16,(VLOOKUP($B17,'Rate Projection'!$A$11:$G$101,3)*(H17/100)))</f>
        <v>#REF!</v>
      </c>
      <c r="N17" s="53" t="e">
        <f>IF(AND(I17&gt;I$9, $D17&gt;'RV ERU Connections'!$F$37),N16,(VLOOKUP($B17,'Rate Projection'!$A$11:$G$101,3)*(I17/100)))</f>
        <v>#REF!</v>
      </c>
      <c r="O17" s="54" t="e">
        <f>IF(AND(E17&gt;E$9, E17&gt;(E$9+E$8),$D17&gt;'RV ERU Connections'!$F$38),O16,IF(E17&gt;E$9,((('Rate Projection'!$C$6+(VLOOKUP($B17,'Rate Projection'!$A$11:$G$101,4)))*(E17-E$9)/100)+(VLOOKUP($B17,'Rate Projection'!$A$11:$G$101,2)*'Monthly Revenue-Usage'!E$9/100)),(VLOOKUP($B17,'Rate Projection'!$A$11:$G$101,2)*('Monthly Revenue-Usage'!E17/100))))</f>
        <v>#REF!</v>
      </c>
      <c r="P17" s="54" t="e">
        <f>IF(AND(F17&gt;F$9, F17&gt;(F$9+F$8),$D17&gt;'RV ERU Connections'!$F$38),P16,IF(F17&gt;F$9,((('Rate Projection'!$C$6+(VLOOKUP($B17,'Rate Projection'!$A$11:$G$101,5)))*(F17-F$9)/100)+(VLOOKUP($B17,'Rate Projection'!$A$11:$G$101,3)*'Monthly Revenue-Usage'!F$9/100)),(VLOOKUP($B17,'Rate Projection'!$A$11:$G$101,3)*('Monthly Revenue-Usage'!F17/100))))</f>
        <v>#REF!</v>
      </c>
      <c r="Q17" s="54" t="e">
        <f>IF(AND(G17&gt;G$9, G17&gt;(G$9+G$8),$D17&gt;'RV ERU Connections'!$F$38),Q16,IF(G17&gt;G$9,((('Rate Projection'!$C$6+(VLOOKUP($B17,'Rate Projection'!$A$11:$G$101,5)))*(G17-G$9)/100)+(VLOOKUP($B17,'Rate Projection'!$A$11:$G$101,3)*'Monthly Revenue-Usage'!G$9/100)),(VLOOKUP($B17,'Rate Projection'!$A$11:$G$101,3)*('Monthly Revenue-Usage'!G17/100))))</f>
        <v>#REF!</v>
      </c>
      <c r="R17" s="54" t="e">
        <f>IF(AND(H17&gt;H$9, H17&gt;(H$9+H$8),$D17&gt;'RV ERU Connections'!$F$38),R16,IF(H17&gt;H$9,((('Rate Projection'!$C$6+(VLOOKUP($B17,'Rate Projection'!$A$11:$G$101,5)))*(H17-H$9)/100)+(VLOOKUP($B17,'Rate Projection'!$A$11:$G$101,3)*'Monthly Revenue-Usage'!H$9/100)),(VLOOKUP($B17,'Rate Projection'!$A$11:$G$101,3)*('Monthly Revenue-Usage'!H17/100))))</f>
        <v>#REF!</v>
      </c>
      <c r="S17" s="54" t="e">
        <f>IF(AND(I17&gt;I$9, I17&gt;(I$9+I$8),$D17&gt;'RV ERU Connections'!$F$38),S16,IF(I17&gt;I$9,((('Rate Projection'!$C$6+(VLOOKUP($B17,'Rate Projection'!$A$11:$G$101,5)))*(I17-I$9)/100)+(VLOOKUP($B17,'Rate Projection'!$A$11:$G$101,3)*'Monthly Revenue-Usage'!I$9/100)),(VLOOKUP($B17,'Rate Projection'!$A$11:$G$101,3)*('Monthly Revenue-Usage'!I17/100))))</f>
        <v>#REF!</v>
      </c>
      <c r="T17" s="52" t="e">
        <f>IF(AND(E17&gt;E$9, E17&gt;(E$9+E$8),$D17&gt;'RV ERU Connections'!$F$38),T16,IF(E17&gt;E$8,((('Rate Projection'!$C$6+(VLOOKUP($B17,'Rate Projection'!$A$11:$G$101,2)))*(E17-E$8)/100)+(VLOOKUP($B17,'Rate Projection'!$A$11:$G$101,2)*'Monthly Revenue-Usage'!E$8/100)),(VLOOKUP($B17,'Rate Projection'!$A$11:$G$101,2)*('Monthly Revenue-Usage'!E17/100))))</f>
        <v>#REF!</v>
      </c>
      <c r="U17" s="52" t="e">
        <f>IF(AND(F17&gt;F$9, F17&gt;(F$9+F$8),$D17&gt;'RV ERU Connections'!$F$38),U16,IF(F17&gt;F$8,((('Rate Projection'!$C$6+(VLOOKUP($B17,'Rate Projection'!$A$11:$G$101,3)))*(F17-F$8)/100)+(VLOOKUP($B17,'Rate Projection'!$A$11:$G$101,3)*'Monthly Revenue-Usage'!F$8/100)),(VLOOKUP($B17,'Rate Projection'!$A$11:$G$101,3)*('Monthly Revenue-Usage'!F17/100))))</f>
        <v>#REF!</v>
      </c>
      <c r="V17" s="52" t="e">
        <f>IF(AND(G17&gt;G$9, G17&gt;(G$9+G$8),$D17&gt;'RV ERU Connections'!$F$38),V16,IF(G17&gt;G$8,((('Rate Projection'!$C$6+(VLOOKUP($B17,'Rate Projection'!$A$11:$G$101,3)))*(G17-G$8)/100)+(VLOOKUP($B17,'Rate Projection'!$A$11:$G$101,3)*'Monthly Revenue-Usage'!G$8/100)),(VLOOKUP($B17,'Rate Projection'!$A$11:$G$101,3)*('Monthly Revenue-Usage'!G17/100))))</f>
        <v>#REF!</v>
      </c>
      <c r="W17" s="52" t="e">
        <f>IF(AND(H17&gt;H$9, H17&gt;(H$9+H$8),$D17&gt;'RV ERU Connections'!$F$38),W16,IF(H17&gt;H$8,((('Rate Projection'!$C$6+(VLOOKUP($B17,'Rate Projection'!$A$11:$G$101,3)))*(H17-H$8)/100)+(VLOOKUP($B17,'Rate Projection'!$A$11:$G$101,3)*'Monthly Revenue-Usage'!H$8/100)),(VLOOKUP($B17,'Rate Projection'!$A$11:$G$101,3)*('Monthly Revenue-Usage'!H17/100))))</f>
        <v>#REF!</v>
      </c>
      <c r="X17" s="52" t="e">
        <f>IF(AND(I17&gt;I$9, I17&gt;(I$9+I$8),$D17&gt;'RV ERU Connections'!$F$38),X16,IF(I17&gt;I$8,((('Rate Projection'!$C$6+(VLOOKUP($B17,'Rate Projection'!$A$11:$G$101,3)))*(I17-I$8)/100)+(VLOOKUP($B17,'Rate Projection'!$A$11:$G$101,3)*'Monthly Revenue-Usage'!I$8/100)),(VLOOKUP($B17,'Rate Projection'!$A$11:$G$101,3)*('Monthly Revenue-Usage'!I17/100))))</f>
        <v>#REF!</v>
      </c>
      <c r="Z17" s="53" t="e">
        <f>(-ISPMT('Monthly Revenue-Usage'!$Z$10/12, 1,1*12, Z16)*12)+Z16</f>
        <v>#REF!</v>
      </c>
      <c r="AA17" s="53" t="e">
        <f t="shared" si="7"/>
        <v>#REF!</v>
      </c>
    </row>
    <row r="18" spans="2:27" x14ac:dyDescent="0.3">
      <c r="B18" s="61">
        <f t="shared" si="0"/>
        <v>2016</v>
      </c>
      <c r="C18" s="5" t="e">
        <f t="shared" si="1"/>
        <v>#REF!</v>
      </c>
      <c r="D18" s="5" t="e">
        <f t="shared" si="8"/>
        <v>#REF!</v>
      </c>
      <c r="E18" s="46" t="e">
        <f t="shared" si="2"/>
        <v>#REF!</v>
      </c>
      <c r="F18" s="46" t="e">
        <f t="shared" si="3"/>
        <v>#REF!</v>
      </c>
      <c r="G18" s="46" t="e">
        <f t="shared" si="4"/>
        <v>#REF!</v>
      </c>
      <c r="H18" s="46" t="e">
        <f t="shared" si="5"/>
        <v>#REF!</v>
      </c>
      <c r="I18" s="46" t="e">
        <f t="shared" si="6"/>
        <v>#REF!</v>
      </c>
      <c r="J18" s="53" t="e">
        <f>IF(AND(E18&gt;E$9, $D18&gt;'RV ERU Connections'!$F$37),J17,(VLOOKUP($B18,'Rate Projection'!$A$11:$G$101,2)*(E18/100)))</f>
        <v>#REF!</v>
      </c>
      <c r="K18" s="53" t="e">
        <f>IF(AND(F18&gt;F$9, $D18&gt;'RV ERU Connections'!$F$37),K17,(VLOOKUP($B18,'Rate Projection'!$A$11:$G$101,3)*(F18/100)))</f>
        <v>#REF!</v>
      </c>
      <c r="L18" s="53" t="e">
        <f>IF(AND(G18&gt;G$9, $D18&gt;'RV ERU Connections'!$F$37),L17,(VLOOKUP($B18,'Rate Projection'!$A$11:$G$101,3)*(G18/100)))</f>
        <v>#REF!</v>
      </c>
      <c r="M18" s="53" t="e">
        <f>IF(AND(H18&gt;H$9, $D18&gt;'RV ERU Connections'!$F$37),M17,(VLOOKUP($B18,'Rate Projection'!$A$11:$G$101,3)*(H18/100)))</f>
        <v>#REF!</v>
      </c>
      <c r="N18" s="53" t="e">
        <f>IF(AND(I18&gt;I$9, $D18&gt;'RV ERU Connections'!$F$37),N17,(VLOOKUP($B18,'Rate Projection'!$A$11:$G$101,3)*(I18/100)))</f>
        <v>#REF!</v>
      </c>
      <c r="O18" s="54" t="e">
        <f>IF(AND(E18&gt;E$9, E18&gt;(E$9+E$8),$D18&gt;'RV ERU Connections'!$F$38),O17,IF(E18&gt;E$9,((('Rate Projection'!$C$6+(VLOOKUP($B18,'Rate Projection'!$A$11:$G$101,4)))*(E18-E$9)/100)+(VLOOKUP($B18,'Rate Projection'!$A$11:$G$101,2)*'Monthly Revenue-Usage'!E$9/100)),(VLOOKUP($B18,'Rate Projection'!$A$11:$G$101,2)*('Monthly Revenue-Usage'!E18/100))))</f>
        <v>#REF!</v>
      </c>
      <c r="P18" s="54" t="e">
        <f>IF(AND(F18&gt;F$9, F18&gt;(F$9+F$8),$D18&gt;'RV ERU Connections'!$F$38),P17,IF(F18&gt;F$9,((('Rate Projection'!$C$6+(VLOOKUP($B18,'Rate Projection'!$A$11:$G$101,5)))*(F18-F$9)/100)+(VLOOKUP($B18,'Rate Projection'!$A$11:$G$101,3)*'Monthly Revenue-Usage'!F$9/100)),(VLOOKUP($B18,'Rate Projection'!$A$11:$G$101,3)*('Monthly Revenue-Usage'!F18/100))))</f>
        <v>#REF!</v>
      </c>
      <c r="Q18" s="54" t="e">
        <f>IF(AND(G18&gt;G$9, G18&gt;(G$9+G$8),$D18&gt;'RV ERU Connections'!$F$38),Q17,IF(G18&gt;G$9,((('Rate Projection'!$C$6+(VLOOKUP($B18,'Rate Projection'!$A$11:$G$101,5)))*(G18-G$9)/100)+(VLOOKUP($B18,'Rate Projection'!$A$11:$G$101,3)*'Monthly Revenue-Usage'!G$9/100)),(VLOOKUP($B18,'Rate Projection'!$A$11:$G$101,3)*('Monthly Revenue-Usage'!G18/100))))</f>
        <v>#REF!</v>
      </c>
      <c r="R18" s="54" t="e">
        <f>IF(AND(H18&gt;H$9, H18&gt;(H$9+H$8),$D18&gt;'RV ERU Connections'!$F$38),R17,IF(H18&gt;H$9,((('Rate Projection'!$C$6+(VLOOKUP($B18,'Rate Projection'!$A$11:$G$101,5)))*(H18-H$9)/100)+(VLOOKUP($B18,'Rate Projection'!$A$11:$G$101,3)*'Monthly Revenue-Usage'!H$9/100)),(VLOOKUP($B18,'Rate Projection'!$A$11:$G$101,3)*('Monthly Revenue-Usage'!H18/100))))</f>
        <v>#REF!</v>
      </c>
      <c r="S18" s="54" t="e">
        <f>IF(AND(I18&gt;I$9, I18&gt;(I$9+I$8),$D18&gt;'RV ERU Connections'!$F$38),S17,IF(I18&gt;I$9,((('Rate Projection'!$C$6+(VLOOKUP($B18,'Rate Projection'!$A$11:$G$101,5)))*(I18-I$9)/100)+(VLOOKUP($B18,'Rate Projection'!$A$11:$G$101,3)*'Monthly Revenue-Usage'!I$9/100)),(VLOOKUP($B18,'Rate Projection'!$A$11:$G$101,3)*('Monthly Revenue-Usage'!I18/100))))</f>
        <v>#REF!</v>
      </c>
      <c r="T18" s="52" t="e">
        <f>IF(AND(E18&gt;E$9, E18&gt;(E$9+E$8),$D18&gt;'RV ERU Connections'!$F$38),T17,IF(E18&gt;E$8,((((VLOOKUP($B18,'Rate Projection'!$A$11:$G$101,2)))*(E18-E$8)/100)+(VLOOKUP($B18,'Rate Projection'!$A$11:$G$101,4)*'Monthly Revenue-Usage'!E$8/100)),(VLOOKUP($B18,'Rate Projection'!$A$11:$G$101,4)*('Monthly Revenue-Usage'!E18/100))))</f>
        <v>#REF!</v>
      </c>
      <c r="U18" s="52" t="e">
        <f>IF(AND(F18&gt;F$9, F18&gt;(F$9+F$8),$D18&gt;'RV ERU Connections'!$F$38),U17,IF(F18&gt;F$8,((((VLOOKUP($B18,'Rate Projection'!$A$11:$G$101,3)))*(F18-F$8)/100)+(VLOOKUP($B18,'Rate Projection'!$A$11:$G$101,5)*'Monthly Revenue-Usage'!F$8/100)),(VLOOKUP($B18,'Rate Projection'!$A$11:$G$101,5)*('Monthly Revenue-Usage'!F18/100))))</f>
        <v>#REF!</v>
      </c>
      <c r="V18" s="52" t="e">
        <f>IF(AND(G18&gt;G$9, G18&gt;(G$9+G$8),$D18&gt;'RV ERU Connections'!$F$38),V17,IF(G18&gt;G$8,((((VLOOKUP($B18,'Rate Projection'!$A$11:$G$101,3)))*(G18-G$8)/100)+(VLOOKUP($B18,'Rate Projection'!$A$11:$G$101,5)*'Monthly Revenue-Usage'!G$8/100)),(VLOOKUP($B18,'Rate Projection'!$A$11:$G$101,5)*('Monthly Revenue-Usage'!G18/100))))</f>
        <v>#REF!</v>
      </c>
      <c r="W18" s="52" t="e">
        <f>IF(AND(H18&gt;H$9, H18&gt;(H$9+H$8),$D18&gt;'RV ERU Connections'!$F$38),W17,IF(H18&gt;H$8,((((VLOOKUP($B18,'Rate Projection'!$A$11:$G$101,3)))*(H18-H$8)/100)+(VLOOKUP($B18,'Rate Projection'!$A$11:$G$101,5)*'Monthly Revenue-Usage'!H$8/100)),(VLOOKUP($B18,'Rate Projection'!$A$11:$G$101,5)*('Monthly Revenue-Usage'!H18/100))))</f>
        <v>#REF!</v>
      </c>
      <c r="X18" s="52" t="e">
        <f>IF(AND(I18&gt;I$9, I18&gt;(I$9+I$8),$D18&gt;'RV ERU Connections'!$F$38),X17,IF(I18&gt;I$8,((((VLOOKUP($B18,'Rate Projection'!$A$11:$G$101,3)))*(I18-I$8)/100)+(VLOOKUP($B18,'Rate Projection'!$A$11:$G$101,5)*'Monthly Revenue-Usage'!I$8/100)),(VLOOKUP($B18,'Rate Projection'!$A$11:$G$101,5)*('Monthly Revenue-Usage'!I18/100))))</f>
        <v>#REF!</v>
      </c>
      <c r="Z18" s="53" t="e">
        <f>(-ISPMT('Monthly Revenue-Usage'!$Z$10/12, 1,1*12, Z17)*12)+Z17</f>
        <v>#REF!</v>
      </c>
      <c r="AA18" s="53" t="e">
        <f t="shared" si="7"/>
        <v>#REF!</v>
      </c>
    </row>
    <row r="19" spans="2:27" x14ac:dyDescent="0.3">
      <c r="B19" s="61">
        <f t="shared" si="0"/>
        <v>2017</v>
      </c>
      <c r="C19" s="5" t="e">
        <f t="shared" si="1"/>
        <v>#REF!</v>
      </c>
      <c r="D19" s="5" t="e">
        <f t="shared" si="8"/>
        <v>#REF!</v>
      </c>
      <c r="E19" s="46" t="e">
        <f t="shared" si="2"/>
        <v>#REF!</v>
      </c>
      <c r="F19" s="46" t="e">
        <f t="shared" si="3"/>
        <v>#REF!</v>
      </c>
      <c r="G19" s="46" t="e">
        <f t="shared" si="4"/>
        <v>#REF!</v>
      </c>
      <c r="H19" s="46" t="e">
        <f t="shared" si="5"/>
        <v>#REF!</v>
      </c>
      <c r="I19" s="46" t="e">
        <f t="shared" si="6"/>
        <v>#REF!</v>
      </c>
      <c r="J19" s="53" t="e">
        <f>IF(AND(E19&gt;E$9, $D19&gt;'RV ERU Connections'!$F$37),J18,(VLOOKUP($B19,'Rate Projection'!$A$11:$G$101,2)*(E19/100)))</f>
        <v>#REF!</v>
      </c>
      <c r="K19" s="53" t="e">
        <f>IF(AND(F19&gt;F$9, $D19&gt;'RV ERU Connections'!$F$37),K18,(VLOOKUP($B19,'Rate Projection'!$A$11:$G$101,3)*(F19/100)))</f>
        <v>#REF!</v>
      </c>
      <c r="L19" s="53" t="e">
        <f>IF(AND(G19&gt;G$9, $D19&gt;'RV ERU Connections'!$F$37),L18,(VLOOKUP($B19,'Rate Projection'!$A$11:$G$101,3)*(G19/100)))</f>
        <v>#REF!</v>
      </c>
      <c r="M19" s="53" t="e">
        <f>IF(AND(H19&gt;H$9, $D19&gt;'RV ERU Connections'!$F$37),M18,(VLOOKUP($B19,'Rate Projection'!$A$11:$G$101,3)*(H19/100)))</f>
        <v>#REF!</v>
      </c>
      <c r="N19" s="53" t="e">
        <f>IF(AND(I19&gt;I$9, $D19&gt;'RV ERU Connections'!$F$37),N18,(VLOOKUP($B19,'Rate Projection'!$A$11:$G$101,3)*(I19/100)))</f>
        <v>#REF!</v>
      </c>
      <c r="O19" s="54" t="e">
        <f>IF(AND(E19&gt;E$9, E19&gt;(E$9+E$8),$D19&gt;'RV ERU Connections'!$F$38),O18,IF(E19&gt;E$9,((('Rate Projection'!$C$6+(VLOOKUP($B19,'Rate Projection'!$A$11:$G$101,4)))*(E19-E$9)/100)+(VLOOKUP($B19,'Rate Projection'!$A$11:$G$101,2)*'Monthly Revenue-Usage'!E$9/100)),(VLOOKUP($B19,'Rate Projection'!$A$11:$G$101,2)*('Monthly Revenue-Usage'!E19/100))))</f>
        <v>#REF!</v>
      </c>
      <c r="P19" s="54" t="e">
        <f>IF(AND(F19&gt;F$9, F19&gt;(F$9+F$8),$D19&gt;'RV ERU Connections'!$F$38),P18,IF(F19&gt;F$9,((('Rate Projection'!$C$6+(VLOOKUP($B19,'Rate Projection'!$A$11:$G$101,5)))*(F19-F$9)/100)+(VLOOKUP($B19,'Rate Projection'!$A$11:$G$101,3)*'Monthly Revenue-Usage'!F$9/100)),(VLOOKUP($B19,'Rate Projection'!$A$11:$G$101,3)*('Monthly Revenue-Usage'!F19/100))))</f>
        <v>#REF!</v>
      </c>
      <c r="Q19" s="54" t="e">
        <f>IF(AND(G19&gt;G$9, G19&gt;(G$9+G$8),$D19&gt;'RV ERU Connections'!$F$38),Q18,IF(G19&gt;G$9,((('Rate Projection'!$C$6+(VLOOKUP($B19,'Rate Projection'!$A$11:$G$101,5)))*(G19-G$9)/100)+(VLOOKUP($B19,'Rate Projection'!$A$11:$G$101,3)*'Monthly Revenue-Usage'!G$9/100)),(VLOOKUP($B19,'Rate Projection'!$A$11:$G$101,3)*('Monthly Revenue-Usage'!G19/100))))</f>
        <v>#REF!</v>
      </c>
      <c r="R19" s="54" t="e">
        <f>IF(AND(H19&gt;H$9, H19&gt;(H$9+H$8),$D19&gt;'RV ERU Connections'!$F$38),R18,IF(H19&gt;H$9,((('Rate Projection'!$C$6+(VLOOKUP($B19,'Rate Projection'!$A$11:$G$101,5)))*(H19-H$9)/100)+(VLOOKUP($B19,'Rate Projection'!$A$11:$G$101,3)*'Monthly Revenue-Usage'!H$9/100)),(VLOOKUP($B19,'Rate Projection'!$A$11:$G$101,3)*('Monthly Revenue-Usage'!H19/100))))</f>
        <v>#REF!</v>
      </c>
      <c r="S19" s="54" t="e">
        <f>IF(AND(I19&gt;I$9, I19&gt;(I$9+I$8),$D19&gt;'RV ERU Connections'!$F$38),S18,IF(I19&gt;I$9,((('Rate Projection'!$C$6+(VLOOKUP($B19,'Rate Projection'!$A$11:$G$101,5)))*(I19-I$9)/100)+(VLOOKUP($B19,'Rate Projection'!$A$11:$G$101,3)*'Monthly Revenue-Usage'!I$9/100)),(VLOOKUP($B19,'Rate Projection'!$A$11:$G$101,3)*('Monthly Revenue-Usage'!I19/100))))</f>
        <v>#REF!</v>
      </c>
      <c r="T19" s="52" t="e">
        <f>IF(AND(E19&gt;E$9, E19&gt;(E$9+E$8),$D19&gt;'RV ERU Connections'!$F$38),T18,IF(E19&gt;E$8,((((VLOOKUP($B19,'Rate Projection'!$A$11:$G$101,2)))*(E19-E$8)/100)+(VLOOKUP($B19,'Rate Projection'!$A$11:$G$101,4)*'Monthly Revenue-Usage'!E$8/100)),(VLOOKUP($B19,'Rate Projection'!$A$11:$G$101,4)*('Monthly Revenue-Usage'!E19/100))))</f>
        <v>#REF!</v>
      </c>
      <c r="U19" s="52" t="e">
        <f>IF(AND(F19&gt;F$9, F19&gt;(F$9+F$8),$D19&gt;'RV ERU Connections'!$F$38),U18,IF(F19&gt;F$8,((((VLOOKUP($B19,'Rate Projection'!$A$11:$G$101,3)))*(F19-F$8)/100)+(VLOOKUP($B19,'Rate Projection'!$A$11:$G$101,5)*'Monthly Revenue-Usage'!F$8/100)),(VLOOKUP($B19,'Rate Projection'!$A$11:$G$101,5)*('Monthly Revenue-Usage'!F19/100))))</f>
        <v>#REF!</v>
      </c>
      <c r="V19" s="52" t="e">
        <f>IF(AND(G19&gt;G$9, G19&gt;(G$9+G$8),$D19&gt;'RV ERU Connections'!$F$38),V18,IF(G19&gt;G$8,((((VLOOKUP($B19,'Rate Projection'!$A$11:$G$101,3)))*(G19-G$8)/100)+(VLOOKUP($B19,'Rate Projection'!$A$11:$G$101,5)*'Monthly Revenue-Usage'!G$8/100)),(VLOOKUP($B19,'Rate Projection'!$A$11:$G$101,5)*('Monthly Revenue-Usage'!G19/100))))</f>
        <v>#REF!</v>
      </c>
      <c r="W19" s="52" t="e">
        <f>IF(AND(H19&gt;H$9, H19&gt;(H$9+H$8),$D19&gt;'RV ERU Connections'!$F$38),W18,IF(H19&gt;H$8,((((VLOOKUP($B19,'Rate Projection'!$A$11:$G$101,3)))*(H19-H$8)/100)+(VLOOKUP($B19,'Rate Projection'!$A$11:$G$101,5)*'Monthly Revenue-Usage'!H$8/100)),(VLOOKUP($B19,'Rate Projection'!$A$11:$G$101,5)*('Monthly Revenue-Usage'!H19/100))))</f>
        <v>#REF!</v>
      </c>
      <c r="X19" s="52" t="e">
        <f>IF(AND(I19&gt;I$9, I19&gt;(I$9+I$8),$D19&gt;'RV ERU Connections'!$F$38),X18,IF(I19&gt;I$8,((((VLOOKUP($B19,'Rate Projection'!$A$11:$G$101,3)))*(I19-I$8)/100)+(VLOOKUP($B19,'Rate Projection'!$A$11:$G$101,5)*'Monthly Revenue-Usage'!I$8/100)),(VLOOKUP($B19,'Rate Projection'!$A$11:$G$101,5)*('Monthly Revenue-Usage'!I19/100))))</f>
        <v>#REF!</v>
      </c>
      <c r="Z19" s="53" t="e">
        <f>(-ISPMT('Monthly Revenue-Usage'!$Z$10/12, 1,1*12, Z18)*12)+Z18</f>
        <v>#REF!</v>
      </c>
      <c r="AA19" s="53" t="e">
        <f t="shared" si="7"/>
        <v>#REF!</v>
      </c>
    </row>
    <row r="20" spans="2:27" x14ac:dyDescent="0.3">
      <c r="B20" s="61">
        <f t="shared" si="0"/>
        <v>2018</v>
      </c>
      <c r="C20" s="5" t="e">
        <f t="shared" si="1"/>
        <v>#REF!</v>
      </c>
      <c r="D20" s="5" t="e">
        <f t="shared" si="8"/>
        <v>#REF!</v>
      </c>
      <c r="E20" s="46" t="e">
        <f t="shared" si="2"/>
        <v>#REF!</v>
      </c>
      <c r="F20" s="46" t="e">
        <f t="shared" si="3"/>
        <v>#REF!</v>
      </c>
      <c r="G20" s="46" t="e">
        <f t="shared" si="4"/>
        <v>#REF!</v>
      </c>
      <c r="H20" s="46" t="e">
        <f t="shared" si="5"/>
        <v>#REF!</v>
      </c>
      <c r="I20" s="46" t="e">
        <f t="shared" si="6"/>
        <v>#REF!</v>
      </c>
      <c r="J20" s="53" t="e">
        <f>IF(AND(E20&gt;E$9, $D20&gt;'RV ERU Connections'!$F$37),J19,(VLOOKUP($B20,'Rate Projection'!$A$11:$G$101,2)*(E20/100)))</f>
        <v>#REF!</v>
      </c>
      <c r="K20" s="53" t="e">
        <f>IF(AND(F20&gt;F$9, $D20&gt;'RV ERU Connections'!$F$37),K19,(VLOOKUP($B20,'Rate Projection'!$A$11:$G$101,3)*(F20/100)))</f>
        <v>#REF!</v>
      </c>
      <c r="L20" s="53" t="e">
        <f>IF(AND(G20&gt;G$9, $D20&gt;'RV ERU Connections'!$F$37),L19,(VLOOKUP($B20,'Rate Projection'!$A$11:$G$101,3)*(G20/100)))</f>
        <v>#REF!</v>
      </c>
      <c r="M20" s="53" t="e">
        <f>IF(AND(H20&gt;H$9, $D20&gt;'RV ERU Connections'!$F$37),M19,(VLOOKUP($B20,'Rate Projection'!$A$11:$G$101,3)*(H20/100)))</f>
        <v>#REF!</v>
      </c>
      <c r="N20" s="53" t="e">
        <f>IF(AND(I20&gt;I$9, $D20&gt;'RV ERU Connections'!$F$37),N19,(VLOOKUP($B20,'Rate Projection'!$A$11:$G$101,3)*(I20/100)))</f>
        <v>#REF!</v>
      </c>
      <c r="O20" s="54" t="e">
        <f>IF(AND(E20&gt;E$9, E20&gt;(E$9+E$8),$D20&gt;'RV ERU Connections'!$F$38),O19,IF(E20&gt;E$9,((('Rate Projection'!$C$6+(VLOOKUP($B20,'Rate Projection'!$A$11:$G$101,4)))*(E20-E$9)/100)+(VLOOKUP($B20,'Rate Projection'!$A$11:$G$101,2)*'Monthly Revenue-Usage'!E$9/100)),(VLOOKUP($B20,'Rate Projection'!$A$11:$G$101,2)*('Monthly Revenue-Usage'!E20/100))))</f>
        <v>#REF!</v>
      </c>
      <c r="P20" s="54" t="e">
        <f>IF(AND(F20&gt;F$9, F20&gt;(F$9+F$8),$D20&gt;'RV ERU Connections'!$F$38),P19,IF(F20&gt;F$9,((('Rate Projection'!$C$6+(VLOOKUP($B20,'Rate Projection'!$A$11:$G$101,5)))*(F20-F$9)/100)+(VLOOKUP($B20,'Rate Projection'!$A$11:$G$101,3)*'Monthly Revenue-Usage'!F$9/100)),(VLOOKUP($B20,'Rate Projection'!$A$11:$G$101,3)*('Monthly Revenue-Usage'!F20/100))))</f>
        <v>#REF!</v>
      </c>
      <c r="Q20" s="54" t="e">
        <f>IF(AND(G20&gt;G$9, G20&gt;(G$9+G$8),$D20&gt;'RV ERU Connections'!$F$38),Q19,IF(G20&gt;G$9,((('Rate Projection'!$C$6+(VLOOKUP($B20,'Rate Projection'!$A$11:$G$101,5)))*(G20-G$9)/100)+(VLOOKUP($B20,'Rate Projection'!$A$11:$G$101,3)*'Monthly Revenue-Usage'!G$9/100)),(VLOOKUP($B20,'Rate Projection'!$A$11:$G$101,3)*('Monthly Revenue-Usage'!G20/100))))</f>
        <v>#REF!</v>
      </c>
      <c r="R20" s="54" t="e">
        <f>IF(AND(H20&gt;H$9, H20&gt;(H$9+H$8),$D20&gt;'RV ERU Connections'!$F$38),R19,IF(H20&gt;H$9,((('Rate Projection'!$C$6+(VLOOKUP($B20,'Rate Projection'!$A$11:$G$101,5)))*(H20-H$9)/100)+(VLOOKUP($B20,'Rate Projection'!$A$11:$G$101,3)*'Monthly Revenue-Usage'!H$9/100)),(VLOOKUP($B20,'Rate Projection'!$A$11:$G$101,3)*('Monthly Revenue-Usage'!H20/100))))</f>
        <v>#REF!</v>
      </c>
      <c r="S20" s="54" t="e">
        <f>IF(AND(I20&gt;I$9, I20&gt;(I$9+I$8),$D20&gt;'RV ERU Connections'!$F$38),S19,IF(I20&gt;I$9,((('Rate Projection'!$C$6+(VLOOKUP($B20,'Rate Projection'!$A$11:$G$101,5)))*(I20-I$9)/100)+(VLOOKUP($B20,'Rate Projection'!$A$11:$G$101,3)*'Monthly Revenue-Usage'!I$9/100)),(VLOOKUP($B20,'Rate Projection'!$A$11:$G$101,3)*('Monthly Revenue-Usage'!I20/100))))</f>
        <v>#REF!</v>
      </c>
      <c r="T20" s="52" t="e">
        <f>IF(AND(E20&gt;E$9, E20&gt;(E$9+E$8),$D20&gt;'RV ERU Connections'!$F$38),T19,IF(E20&gt;E$8,((((VLOOKUP($B20,'Rate Projection'!$A$11:$G$101,2)))*(E20-E$8)/100)+(VLOOKUP($B20,'Rate Projection'!$A$11:$G$101,4)*'Monthly Revenue-Usage'!E$8/100)),(VLOOKUP($B20,'Rate Projection'!$A$11:$G$101,4)*('Monthly Revenue-Usage'!E20/100))))</f>
        <v>#REF!</v>
      </c>
      <c r="U20" s="52" t="e">
        <f>IF(AND(F20&gt;F$9, F20&gt;(F$9+F$8),$D20&gt;'RV ERU Connections'!$F$38),U19,IF(F20&gt;F$8,((((VLOOKUP($B20,'Rate Projection'!$A$11:$G$101,3)))*(F20-F$8)/100)+(VLOOKUP($B20,'Rate Projection'!$A$11:$G$101,5)*'Monthly Revenue-Usage'!F$8/100)),(VLOOKUP($B20,'Rate Projection'!$A$11:$G$101,5)*('Monthly Revenue-Usage'!F20/100))))</f>
        <v>#REF!</v>
      </c>
      <c r="V20" s="52" t="e">
        <f>IF(AND(G20&gt;G$9, G20&gt;(G$9+G$8),$D20&gt;'RV ERU Connections'!$F$38),V19,IF(G20&gt;G$8,((((VLOOKUP($B20,'Rate Projection'!$A$11:$G$101,3)))*(G20-G$8)/100)+(VLOOKUP($B20,'Rate Projection'!$A$11:$G$101,5)*'Monthly Revenue-Usage'!G$8/100)),(VLOOKUP($B20,'Rate Projection'!$A$11:$G$101,5)*('Monthly Revenue-Usage'!G20/100))))</f>
        <v>#REF!</v>
      </c>
      <c r="W20" s="52" t="e">
        <f>IF(AND(H20&gt;H$9, H20&gt;(H$9+H$8),$D20&gt;'RV ERU Connections'!$F$38),W19,IF(H20&gt;H$8,((((VLOOKUP($B20,'Rate Projection'!$A$11:$G$101,3)))*(H20-H$8)/100)+(VLOOKUP($B20,'Rate Projection'!$A$11:$G$101,5)*'Monthly Revenue-Usage'!H$8/100)),(VLOOKUP($B20,'Rate Projection'!$A$11:$G$101,5)*('Monthly Revenue-Usage'!H20/100))))</f>
        <v>#REF!</v>
      </c>
      <c r="X20" s="52" t="e">
        <f>IF(AND(I20&gt;I$9, I20&gt;(I$9+I$8),$D20&gt;'RV ERU Connections'!$F$38),X19,IF(I20&gt;I$8,((((VLOOKUP($B20,'Rate Projection'!$A$11:$G$101,3)))*(I20-I$8)/100)+(VLOOKUP($B20,'Rate Projection'!$A$11:$G$101,5)*'Monthly Revenue-Usage'!I$8/100)),(VLOOKUP($B20,'Rate Projection'!$A$11:$G$101,5)*('Monthly Revenue-Usage'!I20/100))))</f>
        <v>#REF!</v>
      </c>
      <c r="Z20" s="53" t="e">
        <f>(-ISPMT('Monthly Revenue-Usage'!$Z$10/12, 1,1*12, Z19)*12)+Z19</f>
        <v>#REF!</v>
      </c>
      <c r="AA20" s="53" t="e">
        <f t="shared" si="7"/>
        <v>#REF!</v>
      </c>
    </row>
    <row r="21" spans="2:27" x14ac:dyDescent="0.3">
      <c r="B21" s="61">
        <f t="shared" si="0"/>
        <v>2019</v>
      </c>
      <c r="C21" s="5" t="e">
        <f t="shared" si="1"/>
        <v>#REF!</v>
      </c>
      <c r="D21" s="5" t="e">
        <f t="shared" si="8"/>
        <v>#REF!</v>
      </c>
      <c r="E21" s="46" t="e">
        <f t="shared" si="2"/>
        <v>#REF!</v>
      </c>
      <c r="F21" s="46" t="e">
        <f t="shared" si="3"/>
        <v>#REF!</v>
      </c>
      <c r="G21" s="46" t="e">
        <f>G20+(G20*$G$4)</f>
        <v>#REF!</v>
      </c>
      <c r="H21" s="46" t="e">
        <f t="shared" si="5"/>
        <v>#REF!</v>
      </c>
      <c r="I21" s="46" t="e">
        <f t="shared" si="6"/>
        <v>#REF!</v>
      </c>
      <c r="J21" s="53" t="e">
        <f>IF(AND(E21&gt;E$9, $D21&gt;'RV ERU Connections'!$F$37),J20,(VLOOKUP($B21,'Rate Projection'!$A$11:$G$101,2)*(E21/100)))</f>
        <v>#REF!</v>
      </c>
      <c r="K21" s="53" t="e">
        <f>IF(AND(F21&gt;F$9, $D21&gt;'RV ERU Connections'!$F$37),K20,(VLOOKUP($B21,'Rate Projection'!$A$11:$G$101,3)*(F21/100)))</f>
        <v>#REF!</v>
      </c>
      <c r="L21" s="53" t="e">
        <f>IF(AND(G21&gt;G$9, $D21&gt;'RV ERU Connections'!$F$37),L20,(VLOOKUP($B21,'Rate Projection'!$A$11:$G$101,3)*(G21/100)))</f>
        <v>#REF!</v>
      </c>
      <c r="M21" s="53" t="e">
        <f>IF(AND(H21&gt;H$9, $D21&gt;'RV ERU Connections'!$F$37),M20,(VLOOKUP($B21,'Rate Projection'!$A$11:$G$101,3)*(H21/100)))</f>
        <v>#REF!</v>
      </c>
      <c r="N21" s="53" t="e">
        <f>IF(AND(I21&gt;I$9, $D21&gt;'RV ERU Connections'!$F$37),N20,(VLOOKUP($B21,'Rate Projection'!$A$11:$G$101,3)*(I21/100)))</f>
        <v>#REF!</v>
      </c>
      <c r="O21" s="54" t="e">
        <f>IF(AND(E21&gt;E$9, E21&gt;(E$9+E$8),$D21&gt;'RV ERU Connections'!$F$38),O20,IF(E21&gt;E$9,((('Rate Projection'!$C$6+(VLOOKUP($B21,'Rate Projection'!$A$11:$G$101,4)))*(E21-E$9)/100)+(VLOOKUP($B21,'Rate Projection'!$A$11:$G$101,2)*'Monthly Revenue-Usage'!E$9/100)),(VLOOKUP($B21,'Rate Projection'!$A$11:$G$101,2)*('Monthly Revenue-Usage'!E21/100))))</f>
        <v>#REF!</v>
      </c>
      <c r="P21" s="54" t="e">
        <f>IF(AND(F21&gt;F$9, F21&gt;(F$9+F$8),$D21&gt;'RV ERU Connections'!$F$38),P20,IF(F21&gt;F$9,((('Rate Projection'!$C$6+(VLOOKUP($B21,'Rate Projection'!$A$11:$G$101,5)))*(F21-F$9)/100)+(VLOOKUP($B21,'Rate Projection'!$A$11:$G$101,3)*'Monthly Revenue-Usage'!F$9/100)),(VLOOKUP($B21,'Rate Projection'!$A$11:$G$101,3)*('Monthly Revenue-Usage'!F21/100))))</f>
        <v>#REF!</v>
      </c>
      <c r="Q21" s="54" t="e">
        <f>IF(AND(G21&gt;G$9, G21&gt;(G$9+G$8),$D21&gt;'RV ERU Connections'!$F$38),Q20,IF(G21&gt;G$9,((('Rate Projection'!$C$6+(VLOOKUP($B21,'Rate Projection'!$A$11:$G$101,5)))*(G21-G$9)/100)+(VLOOKUP($B21,'Rate Projection'!$A$11:$G$101,3)*'Monthly Revenue-Usage'!G$9/100)),(VLOOKUP($B21,'Rate Projection'!$A$11:$G$101,3)*('Monthly Revenue-Usage'!G21/100))))</f>
        <v>#REF!</v>
      </c>
      <c r="R21" s="54" t="e">
        <f>IF(AND(H21&gt;H$9, H21&gt;(H$9+H$8),$D21&gt;'RV ERU Connections'!$F$38),R20,IF(H21&gt;H$9,((('Rate Projection'!$C$6+(VLOOKUP($B21,'Rate Projection'!$A$11:$G$101,5)))*(H21-H$9)/100)+(VLOOKUP($B21,'Rate Projection'!$A$11:$G$101,3)*'Monthly Revenue-Usage'!H$9/100)),(VLOOKUP($B21,'Rate Projection'!$A$11:$G$101,3)*('Monthly Revenue-Usage'!H21/100))))</f>
        <v>#REF!</v>
      </c>
      <c r="S21" s="54" t="e">
        <f>IF(AND(I21&gt;I$9, I21&gt;(I$9+I$8),$D21&gt;'RV ERU Connections'!$F$38),S20,IF(I21&gt;I$9,((('Rate Projection'!$C$6+(VLOOKUP($B21,'Rate Projection'!$A$11:$G$101,5)))*(I21-I$9)/100)+(VLOOKUP($B21,'Rate Projection'!$A$11:$G$101,3)*'Monthly Revenue-Usage'!I$9/100)),(VLOOKUP($B21,'Rate Projection'!$A$11:$G$101,3)*('Monthly Revenue-Usage'!I21/100))))</f>
        <v>#REF!</v>
      </c>
      <c r="T21" s="52" t="e">
        <f>IF(AND(E21&gt;E$9, E21&gt;(E$9+E$8),$D21&gt;'RV ERU Connections'!$F$38),T20,IF(E21&gt;E$8,((((VLOOKUP($B21,'Rate Projection'!$A$11:$G$101,2)))*(E21-E$8)/100)+(VLOOKUP($B21,'Rate Projection'!$A$11:$G$101,4)*'Monthly Revenue-Usage'!E$8/100)),(VLOOKUP($B21,'Rate Projection'!$A$11:$G$101,4)*('Monthly Revenue-Usage'!E21/100))))</f>
        <v>#REF!</v>
      </c>
      <c r="U21" s="52" t="e">
        <f>IF(AND(F21&gt;F$9, F21&gt;(F$9+F$8),$D21&gt;'RV ERU Connections'!$F$38),U20,IF(F21&gt;F$8,((((VLOOKUP($B21,'Rate Projection'!$A$11:$G$101,3)))*(F21-F$8)/100)+(VLOOKUP($B21,'Rate Projection'!$A$11:$G$101,5)*'Monthly Revenue-Usage'!F$8/100)),(VLOOKUP($B21,'Rate Projection'!$A$11:$G$101,5)*('Monthly Revenue-Usage'!F21/100))))</f>
        <v>#REF!</v>
      </c>
      <c r="V21" s="52" t="e">
        <f>IF(AND(G21&gt;G$9, G21&gt;(G$9+G$8),$D21&gt;'RV ERU Connections'!$F$38),V20,IF(G21&gt;G$8,((((VLOOKUP($B21,'Rate Projection'!$A$11:$G$101,3)))*(G21-G$8)/100)+(VLOOKUP($B21,'Rate Projection'!$A$11:$G$101,5)*'Monthly Revenue-Usage'!G$8/100)),(VLOOKUP($B21,'Rate Projection'!$A$11:$G$101,5)*('Monthly Revenue-Usage'!G21/100))))</f>
        <v>#REF!</v>
      </c>
      <c r="W21" s="52" t="e">
        <f>IF(AND(H21&gt;H$9, H21&gt;(H$9+H$8),$D21&gt;'RV ERU Connections'!$F$38),W20,IF(H21&gt;H$8,((((VLOOKUP($B21,'Rate Projection'!$A$11:$G$101,3)))*(H21-H$8)/100)+(VLOOKUP($B21,'Rate Projection'!$A$11:$G$101,5)*'Monthly Revenue-Usage'!H$8/100)),(VLOOKUP($B21,'Rate Projection'!$A$11:$G$101,5)*('Monthly Revenue-Usage'!H21/100))))</f>
        <v>#REF!</v>
      </c>
      <c r="X21" s="52" t="e">
        <f>IF(AND(I21&gt;I$9, I21&gt;(I$9+I$8),$D21&gt;'RV ERU Connections'!$F$38),X20,IF(I21&gt;I$8,((((VLOOKUP($B21,'Rate Projection'!$A$11:$G$101,3)))*(I21-I$8)/100)+(VLOOKUP($B21,'Rate Projection'!$A$11:$G$101,5)*'Monthly Revenue-Usage'!I$8/100)),(VLOOKUP($B21,'Rate Projection'!$A$11:$G$101,5)*('Monthly Revenue-Usage'!I21/100))))</f>
        <v>#REF!</v>
      </c>
      <c r="Z21" s="53" t="e">
        <f>(-ISPMT('Monthly Revenue-Usage'!$Z$10/12, 1,1*12, Z20)*12)+Z20</f>
        <v>#REF!</v>
      </c>
      <c r="AA21" s="53" t="e">
        <f t="shared" si="7"/>
        <v>#REF!</v>
      </c>
    </row>
    <row r="22" spans="2:27" x14ac:dyDescent="0.3">
      <c r="B22" s="61">
        <f t="shared" si="0"/>
        <v>2020</v>
      </c>
      <c r="C22" s="5" t="e">
        <f t="shared" si="1"/>
        <v>#REF!</v>
      </c>
      <c r="D22" s="5" t="e">
        <f t="shared" si="8"/>
        <v>#REF!</v>
      </c>
      <c r="E22" s="46" t="e">
        <f t="shared" si="2"/>
        <v>#REF!</v>
      </c>
      <c r="F22" s="46" t="e">
        <f t="shared" si="3"/>
        <v>#REF!</v>
      </c>
      <c r="G22" s="46" t="e">
        <f t="shared" si="4"/>
        <v>#REF!</v>
      </c>
      <c r="H22" s="46" t="e">
        <f t="shared" si="5"/>
        <v>#REF!</v>
      </c>
      <c r="I22" s="46" t="e">
        <f t="shared" si="6"/>
        <v>#REF!</v>
      </c>
      <c r="J22" s="53" t="e">
        <f>IF(AND(E22&gt;E$9, $D22&gt;'RV ERU Connections'!$F$37),J21,(VLOOKUP($B22,'Rate Projection'!$A$11:$G$101,2)*(E22/100)))</f>
        <v>#REF!</v>
      </c>
      <c r="K22" s="53" t="e">
        <f>IF(AND(F22&gt;F$9, $D22&gt;'RV ERU Connections'!$F$37),K21,(VLOOKUP($B22,'Rate Projection'!$A$11:$G$101,3)*(F22/100)))</f>
        <v>#REF!</v>
      </c>
      <c r="L22" s="53" t="e">
        <f>IF(AND(G22&gt;G$9, $D22&gt;'RV ERU Connections'!$F$37),L21,(VLOOKUP($B22,'Rate Projection'!$A$11:$G$101,3)*(G22/100)))</f>
        <v>#REF!</v>
      </c>
      <c r="M22" s="53" t="e">
        <f>IF(AND(H22&gt;H$9, $D22&gt;'RV ERU Connections'!$F$37),M21,(VLOOKUP($B22,'Rate Projection'!$A$11:$G$101,3)*(H22/100)))</f>
        <v>#REF!</v>
      </c>
      <c r="N22" s="53" t="e">
        <f>IF(AND(I22&gt;I$9, $D22&gt;'RV ERU Connections'!$F$37),N21,(VLOOKUP($B22,'Rate Projection'!$A$11:$G$101,3)*(I22/100)))</f>
        <v>#REF!</v>
      </c>
      <c r="O22" s="54" t="e">
        <f>IF(AND(E22&gt;E$9, E22&gt;(E$9+E$8),$D22&gt;'RV ERU Connections'!$F$38),O21,IF(E22&gt;E$9,((('Rate Projection'!$C$6+(VLOOKUP($B22,'Rate Projection'!$A$11:$G$101,4)))*(E22-E$9)/100)+(VLOOKUP($B22,'Rate Projection'!$A$11:$G$101,2)*'Monthly Revenue-Usage'!E$9/100)),(VLOOKUP($B22,'Rate Projection'!$A$11:$G$101,2)*('Monthly Revenue-Usage'!E22/100))))</f>
        <v>#REF!</v>
      </c>
      <c r="P22" s="54" t="e">
        <f>IF(AND(F22&gt;F$9, F22&gt;(F$9+F$8),$D22&gt;'RV ERU Connections'!$F$38),P21,IF(F22&gt;F$9,((('Rate Projection'!$C$6+(VLOOKUP($B22,'Rate Projection'!$A$11:$G$101,5)))*(F22-F$9)/100)+(VLOOKUP($B22,'Rate Projection'!$A$11:$G$101,3)*'Monthly Revenue-Usage'!F$9/100)),(VLOOKUP($B22,'Rate Projection'!$A$11:$G$101,3)*('Monthly Revenue-Usage'!F22/100))))</f>
        <v>#REF!</v>
      </c>
      <c r="Q22" s="54" t="e">
        <f>IF(AND(G22&gt;G$9, G22&gt;(G$9+G$8),$D22&gt;'RV ERU Connections'!$F$38),Q21,IF(G22&gt;G$9,((('Rate Projection'!$C$6+(VLOOKUP($B22,'Rate Projection'!$A$11:$G$101,5)))*(G22-G$9)/100)+(VLOOKUP($B22,'Rate Projection'!$A$11:$G$101,3)*'Monthly Revenue-Usage'!G$9/100)),(VLOOKUP($B22,'Rate Projection'!$A$11:$G$101,3)*('Monthly Revenue-Usage'!G22/100))))</f>
        <v>#REF!</v>
      </c>
      <c r="R22" s="54" t="e">
        <f>IF(AND(H22&gt;H$9, H22&gt;(H$9+H$8),$D22&gt;'RV ERU Connections'!$F$38),R21,IF(H22&gt;H$9,((('Rate Projection'!$C$6+(VLOOKUP($B22,'Rate Projection'!$A$11:$G$101,5)))*(H22-H$9)/100)+(VLOOKUP($B22,'Rate Projection'!$A$11:$G$101,3)*'Monthly Revenue-Usage'!H$9/100)),(VLOOKUP($B22,'Rate Projection'!$A$11:$G$101,3)*('Monthly Revenue-Usage'!H22/100))))</f>
        <v>#REF!</v>
      </c>
      <c r="S22" s="54" t="e">
        <f>IF(AND(I22&gt;I$9, I22&gt;(I$9+I$8),$D22&gt;'RV ERU Connections'!$F$38),S21,IF(I22&gt;I$9,((('Rate Projection'!$C$6+(VLOOKUP($B22,'Rate Projection'!$A$11:$G$101,5)))*(I22-I$9)/100)+(VLOOKUP($B22,'Rate Projection'!$A$11:$G$101,3)*'Monthly Revenue-Usage'!I$9/100)),(VLOOKUP($B22,'Rate Projection'!$A$11:$G$101,3)*('Monthly Revenue-Usage'!I22/100))))</f>
        <v>#REF!</v>
      </c>
      <c r="T22" s="52" t="e">
        <f>IF(AND(E22&gt;E$9, E22&gt;(E$9+E$8),$D22&gt;'RV ERU Connections'!$F$38),T21,IF(E22&gt;E$8,((((VLOOKUP($B22,'Rate Projection'!$A$11:$G$101,2)))*(E22-E$8)/100)+(VLOOKUP($B22,'Rate Projection'!$A$11:$G$101,4)*'Monthly Revenue-Usage'!E$8/100)),(VLOOKUP($B22,'Rate Projection'!$A$11:$G$101,4)*('Monthly Revenue-Usage'!E22/100))))</f>
        <v>#REF!</v>
      </c>
      <c r="U22" s="52" t="e">
        <f>IF(AND(F22&gt;F$9, F22&gt;(F$9+F$8),$D22&gt;'RV ERU Connections'!$F$38),U21,IF(F22&gt;F$8,((((VLOOKUP($B22,'Rate Projection'!$A$11:$G$101,3)))*(F22-F$8)/100)+(VLOOKUP($B22,'Rate Projection'!$A$11:$G$101,5)*'Monthly Revenue-Usage'!F$8/100)),(VLOOKUP($B22,'Rate Projection'!$A$11:$G$101,5)*('Monthly Revenue-Usage'!F22/100))))</f>
        <v>#REF!</v>
      </c>
      <c r="V22" s="52" t="e">
        <f>IF(AND(G22&gt;G$9, G22&gt;(G$9+G$8),$D22&gt;'RV ERU Connections'!$F$38),V21,IF(G22&gt;G$8,((((VLOOKUP($B22,'Rate Projection'!$A$11:$G$101,3)))*(G22-G$8)/100)+(VLOOKUP($B22,'Rate Projection'!$A$11:$G$101,5)*'Monthly Revenue-Usage'!G$8/100)),(VLOOKUP($B22,'Rate Projection'!$A$11:$G$101,5)*('Monthly Revenue-Usage'!G22/100))))</f>
        <v>#REF!</v>
      </c>
      <c r="W22" s="52" t="e">
        <f>IF(AND(H22&gt;H$9, H22&gt;(H$9+H$8),$D22&gt;'RV ERU Connections'!$F$38),W21,IF(H22&gt;H$8,((((VLOOKUP($B22,'Rate Projection'!$A$11:$G$101,3)))*(H22-H$8)/100)+(VLOOKUP($B22,'Rate Projection'!$A$11:$G$101,5)*'Monthly Revenue-Usage'!H$8/100)),(VLOOKUP($B22,'Rate Projection'!$A$11:$G$101,5)*('Monthly Revenue-Usage'!H22/100))))</f>
        <v>#REF!</v>
      </c>
      <c r="X22" s="52" t="e">
        <f>IF(AND(I22&gt;I$9, I22&gt;(I$9+I$8),$D22&gt;'RV ERU Connections'!$F$38),X21,IF(I22&gt;I$8,((((VLOOKUP($B22,'Rate Projection'!$A$11:$G$101,3)))*(I22-I$8)/100)+(VLOOKUP($B22,'Rate Projection'!$A$11:$G$101,5)*'Monthly Revenue-Usage'!I$8/100)),(VLOOKUP($B22,'Rate Projection'!$A$11:$G$101,5)*('Monthly Revenue-Usage'!I22/100))))</f>
        <v>#REF!</v>
      </c>
      <c r="Z22" s="53" t="e">
        <f>(-ISPMT('Monthly Revenue-Usage'!$Z$10/12, 1,1*12, Z21)*12)+Z21</f>
        <v>#REF!</v>
      </c>
      <c r="AA22" s="53" t="e">
        <f t="shared" si="7"/>
        <v>#REF!</v>
      </c>
    </row>
    <row r="23" spans="2:27" x14ac:dyDescent="0.3">
      <c r="B23" s="61">
        <f t="shared" si="0"/>
        <v>2021</v>
      </c>
      <c r="C23" s="5" t="e">
        <f t="shared" si="1"/>
        <v>#REF!</v>
      </c>
      <c r="D23" s="5" t="e">
        <f t="shared" si="8"/>
        <v>#REF!</v>
      </c>
      <c r="E23" s="46" t="e">
        <f t="shared" si="2"/>
        <v>#REF!</v>
      </c>
      <c r="F23" s="46" t="e">
        <f t="shared" si="3"/>
        <v>#REF!</v>
      </c>
      <c r="G23" s="46" t="e">
        <f t="shared" si="4"/>
        <v>#REF!</v>
      </c>
      <c r="H23" s="46" t="e">
        <f t="shared" si="5"/>
        <v>#REF!</v>
      </c>
      <c r="I23" s="46" t="e">
        <f t="shared" si="6"/>
        <v>#REF!</v>
      </c>
      <c r="J23" s="53" t="e">
        <f>IF(AND(E23&gt;E$9, $D23&gt;'RV ERU Connections'!$F$37),J22,(VLOOKUP($B23,'Rate Projection'!$A$11:$G$101,2)*(E23/100)))</f>
        <v>#REF!</v>
      </c>
      <c r="K23" s="53" t="e">
        <f>IF(AND(F23&gt;F$9, $D23&gt;'RV ERU Connections'!$F$37),K22,(VLOOKUP($B23,'Rate Projection'!$A$11:$G$101,3)*(F23/100)))</f>
        <v>#REF!</v>
      </c>
      <c r="L23" s="53" t="e">
        <f>IF(AND(G23&gt;G$9, $D23&gt;'RV ERU Connections'!$F$37),L22,(VLOOKUP($B23,'Rate Projection'!$A$11:$G$101,3)*(G23/100)))</f>
        <v>#REF!</v>
      </c>
      <c r="M23" s="53" t="e">
        <f>IF(AND(H23&gt;H$9, $D23&gt;'RV ERU Connections'!$F$37),M22,(VLOOKUP($B23,'Rate Projection'!$A$11:$G$101,3)*(H23/100)))</f>
        <v>#REF!</v>
      </c>
      <c r="N23" s="53" t="e">
        <f>IF(AND(I23&gt;I$9, $D23&gt;'RV ERU Connections'!$F$37),N22,(VLOOKUP($B23,'Rate Projection'!$A$11:$G$101,3)*(I23/100)))</f>
        <v>#REF!</v>
      </c>
      <c r="O23" s="54" t="e">
        <f>IF(AND(E23&gt;E$9, E23&gt;(E$9+E$8),$D23&gt;'RV ERU Connections'!$F$38),O22,IF(E23&gt;E$9,((('Rate Projection'!$C$6+(VLOOKUP($B23,'Rate Projection'!$A$11:$G$101,4)))*(E23-E$9)/100)+(VLOOKUP($B23,'Rate Projection'!$A$11:$G$101,2)*'Monthly Revenue-Usage'!E$9/100)),(VLOOKUP($B23,'Rate Projection'!$A$11:$G$101,2)*('Monthly Revenue-Usage'!E23/100))))</f>
        <v>#REF!</v>
      </c>
      <c r="P23" s="54" t="e">
        <f>IF(AND(F23&gt;F$9, F23&gt;(F$9+F$8),$D23&gt;'RV ERU Connections'!$F$38),P22,IF(F23&gt;F$9,((('Rate Projection'!$C$6+(VLOOKUP($B23,'Rate Projection'!$A$11:$G$101,5)))*(F23-F$9)/100)+(VLOOKUP($B23,'Rate Projection'!$A$11:$G$101,3)*'Monthly Revenue-Usage'!F$9/100)),(VLOOKUP($B23,'Rate Projection'!$A$11:$G$101,3)*('Monthly Revenue-Usage'!F23/100))))</f>
        <v>#REF!</v>
      </c>
      <c r="Q23" s="54" t="e">
        <f>IF(AND(G23&gt;G$9, G23&gt;(G$9+G$8),$D23&gt;'RV ERU Connections'!$F$38),Q22,IF(G23&gt;G$9,((('Rate Projection'!$C$6+(VLOOKUP($B23,'Rate Projection'!$A$11:$G$101,5)))*(G23-G$9)/100)+(VLOOKUP($B23,'Rate Projection'!$A$11:$G$101,3)*'Monthly Revenue-Usage'!G$9/100)),(VLOOKUP($B23,'Rate Projection'!$A$11:$G$101,3)*('Monthly Revenue-Usage'!G23/100))))</f>
        <v>#REF!</v>
      </c>
      <c r="R23" s="54" t="e">
        <f>IF(AND(H23&gt;H$9, H23&gt;(H$9+H$8),$D23&gt;'RV ERU Connections'!$F$38),R22,IF(H23&gt;H$9,((('Rate Projection'!$C$6+(VLOOKUP($B23,'Rate Projection'!$A$11:$G$101,5)))*(H23-H$9)/100)+(VLOOKUP($B23,'Rate Projection'!$A$11:$G$101,3)*'Monthly Revenue-Usage'!H$9/100)),(VLOOKUP($B23,'Rate Projection'!$A$11:$G$101,3)*('Monthly Revenue-Usage'!H23/100))))</f>
        <v>#REF!</v>
      </c>
      <c r="S23" s="54" t="e">
        <f>IF(AND(I23&gt;I$9, I23&gt;(I$9+I$8),$D23&gt;'RV ERU Connections'!$F$38),S22,IF(I23&gt;I$9,((('Rate Projection'!$C$6+(VLOOKUP($B23,'Rate Projection'!$A$11:$G$101,5)))*(I23-I$9)/100)+(VLOOKUP($B23,'Rate Projection'!$A$11:$G$101,3)*'Monthly Revenue-Usage'!I$9/100)),(VLOOKUP($B23,'Rate Projection'!$A$11:$G$101,3)*('Monthly Revenue-Usage'!I23/100))))</f>
        <v>#REF!</v>
      </c>
      <c r="T23" s="52" t="e">
        <f>IF(AND(E23&gt;E$9, E23&gt;(E$9+E$8),$D23&gt;'RV ERU Connections'!$F$38),T22,IF(E23&gt;E$8,((((VLOOKUP($B23,'Rate Projection'!$A$11:$G$101,2)))*(E23-E$8)/100)+(VLOOKUP($B23,'Rate Projection'!$A$11:$G$101,4)*'Monthly Revenue-Usage'!E$8/100)),(VLOOKUP($B23,'Rate Projection'!$A$11:$G$101,4)*('Monthly Revenue-Usage'!E23/100))))</f>
        <v>#REF!</v>
      </c>
      <c r="U23" s="52" t="e">
        <f>IF(AND(F23&gt;F$9, F23&gt;(F$9+F$8),$D23&gt;'RV ERU Connections'!$F$38),U22,IF(F23&gt;F$8,((((VLOOKUP($B23,'Rate Projection'!$A$11:$G$101,3)))*(F23-F$8)/100)+(VLOOKUP($B23,'Rate Projection'!$A$11:$G$101,5)*'Monthly Revenue-Usage'!F$8/100)),(VLOOKUP($B23,'Rate Projection'!$A$11:$G$101,5)*('Monthly Revenue-Usage'!F23/100))))</f>
        <v>#REF!</v>
      </c>
      <c r="V23" s="52" t="e">
        <f>IF(AND(G23&gt;G$9, G23&gt;(G$9+G$8),$D23&gt;'RV ERU Connections'!$F$38),V22,IF(G23&gt;G$8,((((VLOOKUP($B23,'Rate Projection'!$A$11:$G$101,3)))*(G23-G$8)/100)+(VLOOKUP($B23,'Rate Projection'!$A$11:$G$101,5)*'Monthly Revenue-Usage'!G$8/100)),(VLOOKUP($B23,'Rate Projection'!$A$11:$G$101,5)*('Monthly Revenue-Usage'!G23/100))))</f>
        <v>#REF!</v>
      </c>
      <c r="W23" s="52" t="e">
        <f>IF(AND(H23&gt;H$9, H23&gt;(H$9+H$8),$D23&gt;'RV ERU Connections'!$F$38),W22,IF(H23&gt;H$8,((((VLOOKUP($B23,'Rate Projection'!$A$11:$G$101,3)))*(H23-H$8)/100)+(VLOOKUP($B23,'Rate Projection'!$A$11:$G$101,5)*'Monthly Revenue-Usage'!H$8/100)),(VLOOKUP($B23,'Rate Projection'!$A$11:$G$101,5)*('Monthly Revenue-Usage'!H23/100))))</f>
        <v>#REF!</v>
      </c>
      <c r="X23" s="52" t="e">
        <f>IF(AND(I23&gt;I$9, I23&gt;(I$9+I$8),$D23&gt;'RV ERU Connections'!$F$38),X22,IF(I23&gt;I$8,((((VLOOKUP($B23,'Rate Projection'!$A$11:$G$101,3)))*(I23-I$8)/100)+(VLOOKUP($B23,'Rate Projection'!$A$11:$G$101,5)*'Monthly Revenue-Usage'!I$8/100)),(VLOOKUP($B23,'Rate Projection'!$A$11:$G$101,5)*('Monthly Revenue-Usage'!I23/100))))</f>
        <v>#REF!</v>
      </c>
      <c r="Z23" s="53" t="e">
        <f>(-ISPMT('Monthly Revenue-Usage'!$Z$10/12, 1,1*12, Z22)*12)+Z22</f>
        <v>#REF!</v>
      </c>
      <c r="AA23" s="53" t="e">
        <f t="shared" si="7"/>
        <v>#REF!</v>
      </c>
    </row>
    <row r="24" spans="2:27" x14ac:dyDescent="0.3">
      <c r="B24" s="61">
        <f t="shared" si="0"/>
        <v>2022</v>
      </c>
      <c r="C24" s="5" t="e">
        <f t="shared" si="1"/>
        <v>#REF!</v>
      </c>
      <c r="D24" s="5" t="e">
        <f t="shared" si="8"/>
        <v>#REF!</v>
      </c>
      <c r="E24" s="46" t="e">
        <f t="shared" si="2"/>
        <v>#REF!</v>
      </c>
      <c r="F24" s="46" t="e">
        <f t="shared" si="3"/>
        <v>#REF!</v>
      </c>
      <c r="G24" s="46" t="e">
        <f t="shared" si="4"/>
        <v>#REF!</v>
      </c>
      <c r="H24" s="46" t="e">
        <f t="shared" si="5"/>
        <v>#REF!</v>
      </c>
      <c r="I24" s="46" t="e">
        <f t="shared" si="6"/>
        <v>#REF!</v>
      </c>
      <c r="J24" s="53" t="e">
        <f>IF(AND(E24&gt;E$9, $D24&gt;'RV ERU Connections'!$F$37),J23,(VLOOKUP($B24,'Rate Projection'!$A$11:$G$101,2)*(E24/100)))</f>
        <v>#REF!</v>
      </c>
      <c r="K24" s="53" t="e">
        <f>IF(AND(F24&gt;F$9, $D24&gt;'RV ERU Connections'!$F$37),K23,(VLOOKUP($B24,'Rate Projection'!$A$11:$G$101,3)*(F24/100)))</f>
        <v>#REF!</v>
      </c>
      <c r="L24" s="53" t="e">
        <f>IF(AND(G24&gt;G$9, $D24&gt;'RV ERU Connections'!$F$37),L23,(VLOOKUP($B24,'Rate Projection'!$A$11:$G$101,3)*(G24/100)))</f>
        <v>#REF!</v>
      </c>
      <c r="M24" s="53" t="e">
        <f>IF(AND(H24&gt;H$9, $D24&gt;'RV ERU Connections'!$F$37),M23,(VLOOKUP($B24,'Rate Projection'!$A$11:$G$101,3)*(H24/100)))</f>
        <v>#REF!</v>
      </c>
      <c r="N24" s="53" t="e">
        <f>IF(AND(I24&gt;I$9, $D24&gt;'RV ERU Connections'!$F$37),N23,(VLOOKUP($B24,'Rate Projection'!$A$11:$G$101,3)*(I24/100)))</f>
        <v>#REF!</v>
      </c>
      <c r="O24" s="54" t="e">
        <f>IF(AND(E24&gt;E$9, E24&gt;(E$9+E$8),$D24&gt;'RV ERU Connections'!$F$38),O23,IF(E24&gt;E$9,((('Rate Projection'!$C$6+(VLOOKUP($B24,'Rate Projection'!$A$11:$G$101,4)))*(E24-E$9)/100)+(VLOOKUP($B24,'Rate Projection'!$A$11:$G$101,2)*'Monthly Revenue-Usage'!E$9/100)),(VLOOKUP($B24,'Rate Projection'!$A$11:$G$101,2)*('Monthly Revenue-Usage'!E24/100))))</f>
        <v>#REF!</v>
      </c>
      <c r="P24" s="54" t="e">
        <f>IF(AND(F24&gt;F$9, F24&gt;(F$9+F$8),$D24&gt;'RV ERU Connections'!$F$38),P23,IF(F24&gt;F$9,((('Rate Projection'!$C$6+(VLOOKUP($B24,'Rate Projection'!$A$11:$G$101,5)))*(F24-F$9)/100)+(VLOOKUP($B24,'Rate Projection'!$A$11:$G$101,3)*'Monthly Revenue-Usage'!F$9/100)),(VLOOKUP($B24,'Rate Projection'!$A$11:$G$101,3)*('Monthly Revenue-Usage'!F24/100))))</f>
        <v>#REF!</v>
      </c>
      <c r="Q24" s="54" t="e">
        <f>IF(AND(G24&gt;G$9, G24&gt;(G$9+G$8),$D24&gt;'RV ERU Connections'!$F$38),Q23,IF(G24&gt;G$9,((('Rate Projection'!$C$6+(VLOOKUP($B24,'Rate Projection'!$A$11:$G$101,5)))*(G24-G$9)/100)+(VLOOKUP($B24,'Rate Projection'!$A$11:$G$101,3)*'Monthly Revenue-Usage'!G$9/100)),(VLOOKUP($B24,'Rate Projection'!$A$11:$G$101,3)*('Monthly Revenue-Usage'!G24/100))))</f>
        <v>#REF!</v>
      </c>
      <c r="R24" s="54" t="e">
        <f>IF(AND(H24&gt;H$9, H24&gt;(H$9+H$8),$D24&gt;'RV ERU Connections'!$F$38),R23,IF(H24&gt;H$9,((('Rate Projection'!$C$6+(VLOOKUP($B24,'Rate Projection'!$A$11:$G$101,5)))*(H24-H$9)/100)+(VLOOKUP($B24,'Rate Projection'!$A$11:$G$101,3)*'Monthly Revenue-Usage'!H$9/100)),(VLOOKUP($B24,'Rate Projection'!$A$11:$G$101,3)*('Monthly Revenue-Usage'!H24/100))))</f>
        <v>#REF!</v>
      </c>
      <c r="S24" s="54" t="e">
        <f>IF(AND(I24&gt;I$9, I24&gt;(I$9+I$8),$D24&gt;'RV ERU Connections'!$F$38),S23,IF(I24&gt;I$9,((('Rate Projection'!$C$6+(VLOOKUP($B24,'Rate Projection'!$A$11:$G$101,5)))*(I24-I$9)/100)+(VLOOKUP($B24,'Rate Projection'!$A$11:$G$101,3)*'Monthly Revenue-Usage'!I$9/100)),(VLOOKUP($B24,'Rate Projection'!$A$11:$G$101,3)*('Monthly Revenue-Usage'!I24/100))))</f>
        <v>#REF!</v>
      </c>
      <c r="T24" s="52" t="e">
        <f>IF(AND(E24&gt;E$9, E24&gt;(E$9+E$8),$D24&gt;'RV ERU Connections'!$F$38),T23,IF(E24&gt;E$8,((((VLOOKUP($B24,'Rate Projection'!$A$11:$G$101,2)))*(E24-E$8)/100)+(VLOOKUP($B24,'Rate Projection'!$A$11:$G$101,4)*'Monthly Revenue-Usage'!E$8/100)),(VLOOKUP($B24,'Rate Projection'!$A$11:$G$101,4)*('Monthly Revenue-Usage'!E24/100))))</f>
        <v>#REF!</v>
      </c>
      <c r="U24" s="52" t="e">
        <f>IF(AND(F24&gt;F$9, F24&gt;(F$9+F$8),$D24&gt;'RV ERU Connections'!$F$38),U23,IF(F24&gt;F$8,((((VLOOKUP($B24,'Rate Projection'!$A$11:$G$101,3)))*(F24-F$8)/100)+(VLOOKUP($B24,'Rate Projection'!$A$11:$G$101,5)*'Monthly Revenue-Usage'!F$8/100)),(VLOOKUP($B24,'Rate Projection'!$A$11:$G$101,5)*('Monthly Revenue-Usage'!F24/100))))</f>
        <v>#REF!</v>
      </c>
      <c r="V24" s="52" t="e">
        <f>IF(AND(G24&gt;G$9, G24&gt;(G$9+G$8),$D24&gt;'RV ERU Connections'!$F$38),V23,IF(G24&gt;G$8,((((VLOOKUP($B24,'Rate Projection'!$A$11:$G$101,3)))*(G24-G$8)/100)+(VLOOKUP($B24,'Rate Projection'!$A$11:$G$101,5)*'Monthly Revenue-Usage'!G$8/100)),(VLOOKUP($B24,'Rate Projection'!$A$11:$G$101,5)*('Monthly Revenue-Usage'!G24/100))))</f>
        <v>#REF!</v>
      </c>
      <c r="W24" s="52" t="e">
        <f>IF(AND(H24&gt;H$9, H24&gt;(H$9+H$8),$D24&gt;'RV ERU Connections'!$F$38),W23,IF(H24&gt;H$8,((((VLOOKUP($B24,'Rate Projection'!$A$11:$G$101,3)))*(H24-H$8)/100)+(VLOOKUP($B24,'Rate Projection'!$A$11:$G$101,5)*'Monthly Revenue-Usage'!H$8/100)),(VLOOKUP($B24,'Rate Projection'!$A$11:$G$101,5)*('Monthly Revenue-Usage'!H24/100))))</f>
        <v>#REF!</v>
      </c>
      <c r="X24" s="52" t="e">
        <f>IF(AND(I24&gt;I$9, I24&gt;(I$9+I$8),$D24&gt;'RV ERU Connections'!$F$38),X23,IF(I24&gt;I$8,((((VLOOKUP($B24,'Rate Projection'!$A$11:$G$101,3)))*(I24-I$8)/100)+(VLOOKUP($B24,'Rate Projection'!$A$11:$G$101,5)*'Monthly Revenue-Usage'!I$8/100)),(VLOOKUP($B24,'Rate Projection'!$A$11:$G$101,5)*('Monthly Revenue-Usage'!I24/100))))</f>
        <v>#REF!</v>
      </c>
      <c r="Z24" s="53" t="e">
        <f>(-ISPMT('Monthly Revenue-Usage'!$Z$10/12, 1,1*12, Z23)*12)+Z23</f>
        <v>#REF!</v>
      </c>
      <c r="AA24" s="53" t="e">
        <f t="shared" si="7"/>
        <v>#REF!</v>
      </c>
    </row>
    <row r="25" spans="2:27" x14ac:dyDescent="0.3">
      <c r="B25" s="61">
        <f t="shared" si="0"/>
        <v>2023</v>
      </c>
      <c r="C25" s="5" t="e">
        <f t="shared" si="1"/>
        <v>#REF!</v>
      </c>
      <c r="D25" s="5" t="e">
        <f t="shared" si="8"/>
        <v>#REF!</v>
      </c>
      <c r="E25" s="46" t="e">
        <f t="shared" si="2"/>
        <v>#REF!</v>
      </c>
      <c r="F25" s="46" t="e">
        <f t="shared" si="3"/>
        <v>#REF!</v>
      </c>
      <c r="G25" s="46" t="e">
        <f t="shared" si="4"/>
        <v>#REF!</v>
      </c>
      <c r="H25" s="46" t="e">
        <f t="shared" si="5"/>
        <v>#REF!</v>
      </c>
      <c r="I25" s="46" t="e">
        <f t="shared" si="6"/>
        <v>#REF!</v>
      </c>
      <c r="J25" s="53" t="e">
        <f>IF(AND(E25&gt;E$9, $D25&gt;'RV ERU Connections'!$F$37),J24,(VLOOKUP($B25,'Rate Projection'!$A$11:$G$101,2)*(E25/100)))</f>
        <v>#REF!</v>
      </c>
      <c r="K25" s="53" t="e">
        <f>IF(AND(F25&gt;F$9, $D25&gt;'RV ERU Connections'!$F$37),K24,(VLOOKUP($B25,'Rate Projection'!$A$11:$G$101,3)*(F25/100)))</f>
        <v>#REF!</v>
      </c>
      <c r="L25" s="53" t="e">
        <f>IF(AND(G25&gt;G$9, $D25&gt;'RV ERU Connections'!$F$37),L24,(VLOOKUP($B25,'Rate Projection'!$A$11:$G$101,3)*(G25/100)))</f>
        <v>#REF!</v>
      </c>
      <c r="M25" s="53" t="e">
        <f>IF(AND(H25&gt;H$9, $D25&gt;'RV ERU Connections'!$F$37),M24,(VLOOKUP($B25,'Rate Projection'!$A$11:$G$101,3)*(H25/100)))</f>
        <v>#REF!</v>
      </c>
      <c r="N25" s="53" t="e">
        <f>IF(AND(I25&gt;I$9, $D25&gt;'RV ERU Connections'!$F$37),N24,(VLOOKUP($B25,'Rate Projection'!$A$11:$G$101,3)*(I25/100)))</f>
        <v>#REF!</v>
      </c>
      <c r="O25" s="54" t="e">
        <f>IF(AND(E25&gt;E$9, E25&gt;(E$9+E$8),$D25&gt;'RV ERU Connections'!$F$38),O24,IF(E25&gt;E$9,((('Rate Projection'!$C$6+(VLOOKUP($B25,'Rate Projection'!$A$11:$G$101,4)))*(E25-E$9)/100)+(VLOOKUP($B25,'Rate Projection'!$A$11:$G$101,2)*'Monthly Revenue-Usage'!E$9/100)),(VLOOKUP($B25,'Rate Projection'!$A$11:$G$101,2)*('Monthly Revenue-Usage'!E25/100))))</f>
        <v>#REF!</v>
      </c>
      <c r="P25" s="54" t="e">
        <f>IF(AND(F25&gt;F$9, F25&gt;(F$9+F$8),$D25&gt;'RV ERU Connections'!$F$38),P24,IF(F25&gt;F$9,((('Rate Projection'!$C$6+(VLOOKUP($B25,'Rate Projection'!$A$11:$G$101,5)))*(F25-F$9)/100)+(VLOOKUP($B25,'Rate Projection'!$A$11:$G$101,3)*'Monthly Revenue-Usage'!F$9/100)),(VLOOKUP($B25,'Rate Projection'!$A$11:$G$101,3)*('Monthly Revenue-Usage'!F25/100))))</f>
        <v>#REF!</v>
      </c>
      <c r="Q25" s="54" t="e">
        <f>IF(AND(G25&gt;G$9, G25&gt;(G$9+G$8),$D25&gt;'RV ERU Connections'!$F$38),Q24,IF(G25&gt;G$9,((('Rate Projection'!$C$6+(VLOOKUP($B25,'Rate Projection'!$A$11:$G$101,5)))*(G25-G$9)/100)+(VLOOKUP($B25,'Rate Projection'!$A$11:$G$101,3)*'Monthly Revenue-Usage'!G$9/100)),(VLOOKUP($B25,'Rate Projection'!$A$11:$G$101,3)*('Monthly Revenue-Usage'!G25/100))))</f>
        <v>#REF!</v>
      </c>
      <c r="R25" s="54" t="e">
        <f>IF(AND(H25&gt;H$9, H25&gt;(H$9+H$8),$D25&gt;'RV ERU Connections'!$F$38),R24,IF(H25&gt;H$9,((('Rate Projection'!$C$6+(VLOOKUP($B25,'Rate Projection'!$A$11:$G$101,5)))*(H25-H$9)/100)+(VLOOKUP($B25,'Rate Projection'!$A$11:$G$101,3)*'Monthly Revenue-Usage'!H$9/100)),(VLOOKUP($B25,'Rate Projection'!$A$11:$G$101,3)*('Monthly Revenue-Usage'!H25/100))))</f>
        <v>#REF!</v>
      </c>
      <c r="S25" s="54" t="e">
        <f>IF(AND(I25&gt;I$9, I25&gt;(I$9+I$8),$D25&gt;'RV ERU Connections'!$F$38),S24,IF(I25&gt;I$9,((('Rate Projection'!$C$6+(VLOOKUP($B25,'Rate Projection'!$A$11:$G$101,5)))*(I25-I$9)/100)+(VLOOKUP($B25,'Rate Projection'!$A$11:$G$101,3)*'Monthly Revenue-Usage'!I$9/100)),(VLOOKUP($B25,'Rate Projection'!$A$11:$G$101,3)*('Monthly Revenue-Usage'!I25/100))))</f>
        <v>#REF!</v>
      </c>
      <c r="T25" s="52" t="e">
        <f>IF(AND(E25&gt;E$9, E25&gt;(E$9+E$8),$D25&gt;'RV ERU Connections'!$F$38),T24,IF(E25&gt;E$8,((((VLOOKUP($B25,'Rate Projection'!$A$11:$G$101,2)))*(E25-E$8)/100)+(VLOOKUP($B25,'Rate Projection'!$A$11:$G$101,4)*'Monthly Revenue-Usage'!E$8/100)),(VLOOKUP($B25,'Rate Projection'!$A$11:$G$101,4)*('Monthly Revenue-Usage'!E25/100))))</f>
        <v>#REF!</v>
      </c>
      <c r="U25" s="52" t="e">
        <f>IF(AND(F25&gt;F$9, F25&gt;(F$9+F$8),$D25&gt;'RV ERU Connections'!$F$38),U24,IF(F25&gt;F$8,((((VLOOKUP($B25,'Rate Projection'!$A$11:$G$101,3)))*(F25-F$8)/100)+(VLOOKUP($B25,'Rate Projection'!$A$11:$G$101,5)*'Monthly Revenue-Usage'!F$8/100)),(VLOOKUP($B25,'Rate Projection'!$A$11:$G$101,5)*('Monthly Revenue-Usage'!F25/100))))</f>
        <v>#REF!</v>
      </c>
      <c r="V25" s="52" t="e">
        <f>IF(AND(G25&gt;G$9, G25&gt;(G$9+G$8),$D25&gt;'RV ERU Connections'!$F$38),V24,IF(G25&gt;G$8,((((VLOOKUP($B25,'Rate Projection'!$A$11:$G$101,3)))*(G25-G$8)/100)+(VLOOKUP($B25,'Rate Projection'!$A$11:$G$101,5)*'Monthly Revenue-Usage'!G$8/100)),(VLOOKUP($B25,'Rate Projection'!$A$11:$G$101,5)*('Monthly Revenue-Usage'!G25/100))))</f>
        <v>#REF!</v>
      </c>
      <c r="W25" s="52" t="e">
        <f>IF(AND(H25&gt;H$9, H25&gt;(H$9+H$8),$D25&gt;'RV ERU Connections'!$F$38),W24,IF(H25&gt;H$8,((((VLOOKUP($B25,'Rate Projection'!$A$11:$G$101,3)))*(H25-H$8)/100)+(VLOOKUP($B25,'Rate Projection'!$A$11:$G$101,5)*'Monthly Revenue-Usage'!H$8/100)),(VLOOKUP($B25,'Rate Projection'!$A$11:$G$101,5)*('Monthly Revenue-Usage'!H25/100))))</f>
        <v>#REF!</v>
      </c>
      <c r="X25" s="52" t="e">
        <f>IF(AND(I25&gt;I$9, I25&gt;(I$9+I$8),$D25&gt;'RV ERU Connections'!$F$38),X24,IF(I25&gt;I$8,((((VLOOKUP($B25,'Rate Projection'!$A$11:$G$101,3)))*(I25-I$8)/100)+(VLOOKUP($B25,'Rate Projection'!$A$11:$G$101,5)*'Monthly Revenue-Usage'!I$8/100)),(VLOOKUP($B25,'Rate Projection'!$A$11:$G$101,5)*('Monthly Revenue-Usage'!I25/100))))</f>
        <v>#REF!</v>
      </c>
      <c r="Z25" s="53" t="e">
        <f>(-ISPMT('Monthly Revenue-Usage'!$Z$10/12, 1,1*12, Z24)*12)+Z24</f>
        <v>#REF!</v>
      </c>
      <c r="AA25" s="53" t="e">
        <f t="shared" si="7"/>
        <v>#REF!</v>
      </c>
    </row>
    <row r="26" spans="2:27" x14ac:dyDescent="0.3">
      <c r="B26" s="61">
        <f t="shared" si="0"/>
        <v>2024</v>
      </c>
      <c r="C26" s="5" t="e">
        <f t="shared" si="1"/>
        <v>#REF!</v>
      </c>
      <c r="D26" s="5" t="e">
        <f t="shared" si="8"/>
        <v>#REF!</v>
      </c>
      <c r="E26" s="46" t="e">
        <f t="shared" si="2"/>
        <v>#REF!</v>
      </c>
      <c r="F26" s="46" t="e">
        <f t="shared" si="3"/>
        <v>#REF!</v>
      </c>
      <c r="G26" s="46" t="e">
        <f t="shared" si="4"/>
        <v>#REF!</v>
      </c>
      <c r="H26" s="46" t="e">
        <f t="shared" si="5"/>
        <v>#REF!</v>
      </c>
      <c r="I26" s="46" t="e">
        <f t="shared" si="6"/>
        <v>#REF!</v>
      </c>
      <c r="J26" s="53" t="e">
        <f>IF(AND(E26&gt;E$9, $D26&gt;'RV ERU Connections'!$F$37),J25,(VLOOKUP($B26,'Rate Projection'!$A$11:$G$101,2)*(E26/100)))</f>
        <v>#REF!</v>
      </c>
      <c r="K26" s="53" t="e">
        <f>IF(AND(F26&gt;F$9, $D26&gt;'RV ERU Connections'!$F$37),K25,(VLOOKUP($B26,'Rate Projection'!$A$11:$G$101,3)*(F26/100)))</f>
        <v>#REF!</v>
      </c>
      <c r="L26" s="53" t="e">
        <f>IF(AND(G26&gt;G$9, $D26&gt;'RV ERU Connections'!$F$37),L25,(VLOOKUP($B26,'Rate Projection'!$A$11:$G$101,3)*(G26/100)))</f>
        <v>#REF!</v>
      </c>
      <c r="M26" s="53" t="e">
        <f>IF(AND(H26&gt;H$9, $D26&gt;'RV ERU Connections'!$F$37),M25,(VLOOKUP($B26,'Rate Projection'!$A$11:$G$101,3)*(H26/100)))</f>
        <v>#REF!</v>
      </c>
      <c r="N26" s="53" t="e">
        <f>IF(AND(I26&gt;I$9, $D26&gt;'RV ERU Connections'!$F$37),N25,(VLOOKUP($B26,'Rate Projection'!$A$11:$G$101,3)*(I26/100)))</f>
        <v>#REF!</v>
      </c>
      <c r="O26" s="54" t="e">
        <f>IF(AND(E26&gt;E$9, E26&gt;(E$9+E$8),$D26&gt;'RV ERU Connections'!$F$38),O25,IF(E26&gt;E$9,((('Rate Projection'!$C$6+(VLOOKUP($B26,'Rate Projection'!$A$11:$G$101,4)))*(E26-E$9)/100)+(VLOOKUP($B26,'Rate Projection'!$A$11:$G$101,2)*'Monthly Revenue-Usage'!E$9/100)),(VLOOKUP($B26,'Rate Projection'!$A$11:$G$101,2)*('Monthly Revenue-Usage'!E26/100))))</f>
        <v>#REF!</v>
      </c>
      <c r="P26" s="54" t="e">
        <f>IF(AND(F26&gt;F$9, F26&gt;(F$9+F$8),$D26&gt;'RV ERU Connections'!$F$38),P25,IF(F26&gt;F$9,((('Rate Projection'!$C$6+(VLOOKUP($B26,'Rate Projection'!$A$11:$G$101,5)))*(F26-F$9)/100)+(VLOOKUP($B26,'Rate Projection'!$A$11:$G$101,3)*'Monthly Revenue-Usage'!F$9/100)),(VLOOKUP($B26,'Rate Projection'!$A$11:$G$101,3)*('Monthly Revenue-Usage'!F26/100))))</f>
        <v>#REF!</v>
      </c>
      <c r="Q26" s="54" t="e">
        <f>IF(AND(G26&gt;G$9, G26&gt;(G$9+G$8),$D26&gt;'RV ERU Connections'!$F$38),Q25,IF(G26&gt;G$9,((('Rate Projection'!$C$6+(VLOOKUP($B26,'Rate Projection'!$A$11:$G$101,5)))*(G26-G$9)/100)+(VLOOKUP($B26,'Rate Projection'!$A$11:$G$101,3)*'Monthly Revenue-Usage'!G$9/100)),(VLOOKUP($B26,'Rate Projection'!$A$11:$G$101,3)*('Monthly Revenue-Usage'!G26/100))))</f>
        <v>#REF!</v>
      </c>
      <c r="R26" s="54" t="e">
        <f>IF(AND(H26&gt;H$9, H26&gt;(H$9+H$8),$D26&gt;'RV ERU Connections'!$F$38),R25,IF(H26&gt;H$9,((('Rate Projection'!$C$6+(VLOOKUP($B26,'Rate Projection'!$A$11:$G$101,5)))*(H26-H$9)/100)+(VLOOKUP($B26,'Rate Projection'!$A$11:$G$101,3)*'Monthly Revenue-Usage'!H$9/100)),(VLOOKUP($B26,'Rate Projection'!$A$11:$G$101,3)*('Monthly Revenue-Usage'!H26/100))))</f>
        <v>#REF!</v>
      </c>
      <c r="S26" s="54" t="e">
        <f>IF(AND(I26&gt;I$9, I26&gt;(I$9+I$8),$D26&gt;'RV ERU Connections'!$F$38),S25,IF(I26&gt;I$9,((('Rate Projection'!$C$6+(VLOOKUP($B26,'Rate Projection'!$A$11:$G$101,5)))*(I26-I$9)/100)+(VLOOKUP($B26,'Rate Projection'!$A$11:$G$101,3)*'Monthly Revenue-Usage'!I$9/100)),(VLOOKUP($B26,'Rate Projection'!$A$11:$G$101,3)*('Monthly Revenue-Usage'!I26/100))))</f>
        <v>#REF!</v>
      </c>
      <c r="T26" s="52" t="e">
        <f>IF(AND(E26&gt;E$9, E26&gt;(E$9+E$8),$D26&gt;'RV ERU Connections'!$F$38),T25,IF(E26&gt;E$8,((((VLOOKUP($B26,'Rate Projection'!$A$11:$G$101,2)))*(E26-E$8)/100)+(VLOOKUP($B26,'Rate Projection'!$A$11:$G$101,4)*'Monthly Revenue-Usage'!E$8/100)),(VLOOKUP($B26,'Rate Projection'!$A$11:$G$101,4)*('Monthly Revenue-Usage'!E26/100))))</f>
        <v>#REF!</v>
      </c>
      <c r="U26" s="52" t="e">
        <f>IF(AND(F26&gt;F$9, F26&gt;(F$9+F$8),$D26&gt;'RV ERU Connections'!$F$38),U25,IF(F26&gt;F$8,((((VLOOKUP($B26,'Rate Projection'!$A$11:$G$101,3)))*(F26-F$8)/100)+(VLOOKUP($B26,'Rate Projection'!$A$11:$G$101,5)*'Monthly Revenue-Usage'!F$8/100)),(VLOOKUP($B26,'Rate Projection'!$A$11:$G$101,5)*('Monthly Revenue-Usage'!F26/100))))</f>
        <v>#REF!</v>
      </c>
      <c r="V26" s="52" t="e">
        <f>IF(AND(G26&gt;G$9, G26&gt;(G$9+G$8),$D26&gt;'RV ERU Connections'!$F$38),V25,IF(G26&gt;G$8,((((VLOOKUP($B26,'Rate Projection'!$A$11:$G$101,3)))*(G26-G$8)/100)+(VLOOKUP($B26,'Rate Projection'!$A$11:$G$101,5)*'Monthly Revenue-Usage'!G$8/100)),(VLOOKUP($B26,'Rate Projection'!$A$11:$G$101,5)*('Monthly Revenue-Usage'!G26/100))))</f>
        <v>#REF!</v>
      </c>
      <c r="W26" s="52" t="e">
        <f>IF(AND(H26&gt;H$9, H26&gt;(H$9+H$8),$D26&gt;'RV ERU Connections'!$F$38),W25,IF(H26&gt;H$8,((((VLOOKUP($B26,'Rate Projection'!$A$11:$G$101,3)))*(H26-H$8)/100)+(VLOOKUP($B26,'Rate Projection'!$A$11:$G$101,5)*'Monthly Revenue-Usage'!H$8/100)),(VLOOKUP($B26,'Rate Projection'!$A$11:$G$101,5)*('Monthly Revenue-Usage'!H26/100))))</f>
        <v>#REF!</v>
      </c>
      <c r="X26" s="52" t="e">
        <f>IF(AND(I26&gt;I$9, I26&gt;(I$9+I$8),$D26&gt;'RV ERU Connections'!$F$38),X25,IF(I26&gt;I$8,((((VLOOKUP($B26,'Rate Projection'!$A$11:$G$101,3)))*(I26-I$8)/100)+(VLOOKUP($B26,'Rate Projection'!$A$11:$G$101,5)*'Monthly Revenue-Usage'!I$8/100)),(VLOOKUP($B26,'Rate Projection'!$A$11:$G$101,5)*('Monthly Revenue-Usage'!I26/100))))</f>
        <v>#REF!</v>
      </c>
      <c r="Z26" s="53" t="e">
        <f>(-ISPMT('Monthly Revenue-Usage'!$Z$10/12, 1,1*12, Z25)*12)+Z25</f>
        <v>#REF!</v>
      </c>
      <c r="AA26" s="53" t="e">
        <f t="shared" si="7"/>
        <v>#REF!</v>
      </c>
    </row>
    <row r="27" spans="2:27" x14ac:dyDescent="0.3">
      <c r="B27" s="61">
        <f t="shared" si="0"/>
        <v>2025</v>
      </c>
      <c r="C27" s="5" t="e">
        <f t="shared" si="1"/>
        <v>#REF!</v>
      </c>
      <c r="D27" s="5" t="e">
        <f t="shared" si="8"/>
        <v>#REF!</v>
      </c>
      <c r="E27" s="46" t="e">
        <f t="shared" si="2"/>
        <v>#REF!</v>
      </c>
      <c r="F27" s="46" t="e">
        <f t="shared" si="3"/>
        <v>#REF!</v>
      </c>
      <c r="G27" s="46" t="e">
        <f t="shared" si="4"/>
        <v>#REF!</v>
      </c>
      <c r="H27" s="46" t="e">
        <f t="shared" si="5"/>
        <v>#REF!</v>
      </c>
      <c r="I27" s="46" t="e">
        <f t="shared" si="6"/>
        <v>#REF!</v>
      </c>
      <c r="J27" s="53" t="e">
        <f>IF(AND(E27&gt;E$9, $D27&gt;'RV ERU Connections'!$F$37),J26,(VLOOKUP($B27,'Rate Projection'!$A$11:$G$101,2)*(E27/100)))</f>
        <v>#REF!</v>
      </c>
      <c r="K27" s="53" t="e">
        <f>IF(AND(F27&gt;F$9, $D27&gt;'RV ERU Connections'!$F$37),K26,(VLOOKUP($B27,'Rate Projection'!$A$11:$G$101,3)*(F27/100)))</f>
        <v>#REF!</v>
      </c>
      <c r="L27" s="53" t="e">
        <f>IF(AND(G27&gt;G$9, $D27&gt;'RV ERU Connections'!$F$37),L26,(VLOOKUP($B27,'Rate Projection'!$A$11:$G$101,3)*(G27/100)))</f>
        <v>#REF!</v>
      </c>
      <c r="M27" s="53" t="e">
        <f>IF(AND(H27&gt;H$9, $D27&gt;'RV ERU Connections'!$F$37),M26,(VLOOKUP($B27,'Rate Projection'!$A$11:$G$101,3)*(H27/100)))</f>
        <v>#REF!</v>
      </c>
      <c r="N27" s="53" t="e">
        <f>IF(AND(I27&gt;I$9, $D27&gt;'RV ERU Connections'!$F$37),N26,(VLOOKUP($B27,'Rate Projection'!$A$11:$G$101,3)*(I27/100)))</f>
        <v>#REF!</v>
      </c>
      <c r="O27" s="54" t="e">
        <f>IF(AND(E27&gt;E$9, E27&gt;(E$9+E$8),$D27&gt;'RV ERU Connections'!$F$38),O26,IF(E27&gt;E$9,((('Rate Projection'!$C$6+(VLOOKUP($B27,'Rate Projection'!$A$11:$G$101,4)))*(E27-E$9)/100)+(VLOOKUP($B27,'Rate Projection'!$A$11:$G$101,2)*'Monthly Revenue-Usage'!E$9/100)),(VLOOKUP($B27,'Rate Projection'!$A$11:$G$101,2)*('Monthly Revenue-Usage'!E27/100))))</f>
        <v>#REF!</v>
      </c>
      <c r="P27" s="54" t="e">
        <f>IF(AND(F27&gt;F$9, F27&gt;(F$9+F$8),$D27&gt;'RV ERU Connections'!$F$38),P26,IF(F27&gt;F$9,((('Rate Projection'!$C$6+(VLOOKUP($B27,'Rate Projection'!$A$11:$G$101,5)))*(F27-F$9)/100)+(VLOOKUP($B27,'Rate Projection'!$A$11:$G$101,3)*'Monthly Revenue-Usage'!F$9/100)),(VLOOKUP($B27,'Rate Projection'!$A$11:$G$101,3)*('Monthly Revenue-Usage'!F27/100))))</f>
        <v>#REF!</v>
      </c>
      <c r="Q27" s="54" t="e">
        <f>IF(AND(G27&gt;G$9, G27&gt;(G$9+G$8),$D27&gt;'RV ERU Connections'!$F$38),Q26,IF(G27&gt;G$9,((('Rate Projection'!$C$6+(VLOOKUP($B27,'Rate Projection'!$A$11:$G$101,5)))*(G27-G$9)/100)+(VLOOKUP($B27,'Rate Projection'!$A$11:$G$101,3)*'Monthly Revenue-Usage'!G$9/100)),(VLOOKUP($B27,'Rate Projection'!$A$11:$G$101,3)*('Monthly Revenue-Usage'!G27/100))))</f>
        <v>#REF!</v>
      </c>
      <c r="R27" s="54" t="e">
        <f>IF(AND(H27&gt;H$9, H27&gt;(H$9+H$8),$D27&gt;'RV ERU Connections'!$F$38),R26,IF(H27&gt;H$9,((('Rate Projection'!$C$6+(VLOOKUP($B27,'Rate Projection'!$A$11:$G$101,5)))*(H27-H$9)/100)+(VLOOKUP($B27,'Rate Projection'!$A$11:$G$101,3)*'Monthly Revenue-Usage'!H$9/100)),(VLOOKUP($B27,'Rate Projection'!$A$11:$G$101,3)*('Monthly Revenue-Usage'!H27/100))))</f>
        <v>#REF!</v>
      </c>
      <c r="S27" s="54" t="e">
        <f>IF(AND(I27&gt;I$9, I27&gt;(I$9+I$8),$D27&gt;'RV ERU Connections'!$F$38),S26,IF(I27&gt;I$9,((('Rate Projection'!$C$6+(VLOOKUP($B27,'Rate Projection'!$A$11:$G$101,5)))*(I27-I$9)/100)+(VLOOKUP($B27,'Rate Projection'!$A$11:$G$101,3)*'Monthly Revenue-Usage'!I$9/100)),(VLOOKUP($B27,'Rate Projection'!$A$11:$G$101,3)*('Monthly Revenue-Usage'!I27/100))))</f>
        <v>#REF!</v>
      </c>
      <c r="T27" s="52" t="e">
        <f>IF(AND(E27&gt;E$9, E27&gt;(E$9+E$8),$D27&gt;'RV ERU Connections'!$F$38),T26,IF(E27&gt;E$8,((((VLOOKUP($B27,'Rate Projection'!$A$11:$G$101,2)))*(E27-E$8)/100)+(VLOOKUP($B27,'Rate Projection'!$A$11:$G$101,4)*'Monthly Revenue-Usage'!E$8/100)),(VLOOKUP($B27,'Rate Projection'!$A$11:$G$101,4)*('Monthly Revenue-Usage'!E27/100))))</f>
        <v>#REF!</v>
      </c>
      <c r="U27" s="52" t="e">
        <f>IF(AND(F27&gt;F$9, F27&gt;(F$9+F$8),$D27&gt;'RV ERU Connections'!$F$38),U26,IF(F27&gt;F$8,((((VLOOKUP($B27,'Rate Projection'!$A$11:$G$101,3)))*(F27-F$8)/100)+(VLOOKUP($B27,'Rate Projection'!$A$11:$G$101,5)*'Monthly Revenue-Usage'!F$8/100)),(VLOOKUP($B27,'Rate Projection'!$A$11:$G$101,5)*('Monthly Revenue-Usage'!F27/100))))</f>
        <v>#REF!</v>
      </c>
      <c r="V27" s="52" t="e">
        <f>IF(AND(G27&gt;G$9, G27&gt;(G$9+G$8),$D27&gt;'RV ERU Connections'!$F$38),V26,IF(G27&gt;G$8,((((VLOOKUP($B27,'Rate Projection'!$A$11:$G$101,3)))*(G27-G$8)/100)+(VLOOKUP($B27,'Rate Projection'!$A$11:$G$101,5)*'Monthly Revenue-Usage'!G$8/100)),(VLOOKUP($B27,'Rate Projection'!$A$11:$G$101,5)*('Monthly Revenue-Usage'!G27/100))))</f>
        <v>#REF!</v>
      </c>
      <c r="W27" s="52" t="e">
        <f>IF(AND(H27&gt;H$9, H27&gt;(H$9+H$8),$D27&gt;'RV ERU Connections'!$F$38),W26,IF(H27&gt;H$8,((((VLOOKUP($B27,'Rate Projection'!$A$11:$G$101,3)))*(H27-H$8)/100)+(VLOOKUP($B27,'Rate Projection'!$A$11:$G$101,5)*'Monthly Revenue-Usage'!H$8/100)),(VLOOKUP($B27,'Rate Projection'!$A$11:$G$101,5)*('Monthly Revenue-Usage'!H27/100))))</f>
        <v>#REF!</v>
      </c>
      <c r="X27" s="52" t="e">
        <f>IF(AND(I27&gt;I$9, I27&gt;(I$9+I$8),$D27&gt;'RV ERU Connections'!$F$38),X26,IF(I27&gt;I$8,((((VLOOKUP($B27,'Rate Projection'!$A$11:$G$101,3)))*(I27-I$8)/100)+(VLOOKUP($B27,'Rate Projection'!$A$11:$G$101,5)*'Monthly Revenue-Usage'!I$8/100)),(VLOOKUP($B27,'Rate Projection'!$A$11:$G$101,5)*('Monthly Revenue-Usage'!I27/100))))</f>
        <v>#REF!</v>
      </c>
      <c r="Z27" s="53" t="e">
        <f>(-ISPMT('Monthly Revenue-Usage'!$Z$10/12, 1,1*12, Z26)*12)+Z26</f>
        <v>#REF!</v>
      </c>
      <c r="AA27" s="53" t="e">
        <f t="shared" si="7"/>
        <v>#REF!</v>
      </c>
    </row>
    <row r="28" spans="2:27" x14ac:dyDescent="0.3">
      <c r="B28" s="61">
        <f t="shared" si="0"/>
        <v>2026</v>
      </c>
      <c r="C28" s="5" t="e">
        <f t="shared" si="1"/>
        <v>#REF!</v>
      </c>
      <c r="D28" s="5" t="e">
        <f t="shared" si="8"/>
        <v>#REF!</v>
      </c>
      <c r="E28" s="46" t="e">
        <f t="shared" si="2"/>
        <v>#REF!</v>
      </c>
      <c r="F28" s="46" t="e">
        <f t="shared" si="3"/>
        <v>#REF!</v>
      </c>
      <c r="G28" s="46" t="e">
        <f t="shared" si="4"/>
        <v>#REF!</v>
      </c>
      <c r="H28" s="46" t="e">
        <f t="shared" si="5"/>
        <v>#REF!</v>
      </c>
      <c r="I28" s="46" t="e">
        <f t="shared" si="6"/>
        <v>#REF!</v>
      </c>
      <c r="J28" s="53" t="e">
        <f>IF(AND(E28&gt;E$9, $D28&gt;'RV ERU Connections'!$F$37),J27,(VLOOKUP($B28,'Rate Projection'!$A$11:$G$101,2)*(E28/100)))</f>
        <v>#REF!</v>
      </c>
      <c r="K28" s="53" t="e">
        <f>IF(AND(F28&gt;F$9, $D28&gt;'RV ERU Connections'!$F$37),K27,(VLOOKUP($B28,'Rate Projection'!$A$11:$G$101,3)*(F28/100)))</f>
        <v>#REF!</v>
      </c>
      <c r="L28" s="53" t="e">
        <f>IF(AND(G28&gt;G$9, $D28&gt;'RV ERU Connections'!$F$37),L27,(VLOOKUP($B28,'Rate Projection'!$A$11:$G$101,3)*(G28/100)))</f>
        <v>#REF!</v>
      </c>
      <c r="M28" s="53" t="e">
        <f>IF(AND(H28&gt;H$9, $D28&gt;'RV ERU Connections'!$F$37),M27,(VLOOKUP($B28,'Rate Projection'!$A$11:$G$101,3)*(H28/100)))</f>
        <v>#REF!</v>
      </c>
      <c r="N28" s="53" t="e">
        <f>IF(AND(I28&gt;I$9, $D28&gt;'RV ERU Connections'!$F$37),N27,(VLOOKUP($B28,'Rate Projection'!$A$11:$G$101,3)*(I28/100)))</f>
        <v>#REF!</v>
      </c>
      <c r="O28" s="54" t="e">
        <f>IF(AND(E28&gt;E$9, E28&gt;(E$9+E$8),$D28&gt;'RV ERU Connections'!$F$38),O27,IF(E28&gt;E$9,((('Rate Projection'!$C$6+(VLOOKUP($B28,'Rate Projection'!$A$11:$G$101,4)))*(E28-E$9)/100)+(VLOOKUP($B28,'Rate Projection'!$A$11:$G$101,2)*'Monthly Revenue-Usage'!E$9/100)),(VLOOKUP($B28,'Rate Projection'!$A$11:$G$101,2)*('Monthly Revenue-Usage'!E28/100))))</f>
        <v>#REF!</v>
      </c>
      <c r="P28" s="54" t="e">
        <f>IF(AND(F28&gt;F$9, F28&gt;(F$9+F$8),$D28&gt;'RV ERU Connections'!$F$38),P27,IF(F28&gt;F$9,((('Rate Projection'!$C$6+(VLOOKUP($B28,'Rate Projection'!$A$11:$G$101,5)))*(F28-F$9)/100)+(VLOOKUP($B28,'Rate Projection'!$A$11:$G$101,3)*'Monthly Revenue-Usage'!F$9/100)),(VLOOKUP($B28,'Rate Projection'!$A$11:$G$101,3)*('Monthly Revenue-Usage'!F28/100))))</f>
        <v>#REF!</v>
      </c>
      <c r="Q28" s="54" t="e">
        <f>IF(AND(G28&gt;G$9, G28&gt;(G$9+G$8),$D28&gt;'RV ERU Connections'!$F$38),Q27,IF(G28&gt;G$9,((('Rate Projection'!$C$6+(VLOOKUP($B28,'Rate Projection'!$A$11:$G$101,5)))*(G28-G$9)/100)+(VLOOKUP($B28,'Rate Projection'!$A$11:$G$101,3)*'Monthly Revenue-Usage'!G$9/100)),(VLOOKUP($B28,'Rate Projection'!$A$11:$G$101,3)*('Monthly Revenue-Usage'!G28/100))))</f>
        <v>#REF!</v>
      </c>
      <c r="R28" s="54" t="e">
        <f>IF(AND(H28&gt;H$9, H28&gt;(H$9+H$8),$D28&gt;'RV ERU Connections'!$F$38),R27,IF(H28&gt;H$9,((('Rate Projection'!$C$6+(VLOOKUP($B28,'Rate Projection'!$A$11:$G$101,5)))*(H28-H$9)/100)+(VLOOKUP($B28,'Rate Projection'!$A$11:$G$101,3)*'Monthly Revenue-Usage'!H$9/100)),(VLOOKUP($B28,'Rate Projection'!$A$11:$G$101,3)*('Monthly Revenue-Usage'!H28/100))))</f>
        <v>#REF!</v>
      </c>
      <c r="S28" s="54" t="e">
        <f>IF(AND(I28&gt;I$9, I28&gt;(I$9+I$8),$D28&gt;'RV ERU Connections'!$F$38),S27,IF(I28&gt;I$9,((('Rate Projection'!$C$6+(VLOOKUP($B28,'Rate Projection'!$A$11:$G$101,5)))*(I28-I$9)/100)+(VLOOKUP($B28,'Rate Projection'!$A$11:$G$101,3)*'Monthly Revenue-Usage'!I$9/100)),(VLOOKUP($B28,'Rate Projection'!$A$11:$G$101,3)*('Monthly Revenue-Usage'!I28/100))))</f>
        <v>#REF!</v>
      </c>
      <c r="T28" s="52" t="e">
        <f>IF(AND(E28&gt;E$9, E28&gt;(E$9+E$8),$D28&gt;'RV ERU Connections'!$F$38),T27,IF(E28&gt;E$8,((((VLOOKUP($B28,'Rate Projection'!$A$11:$G$101,2)))*(E28-E$8)/100)+(VLOOKUP($B28,'Rate Projection'!$A$11:$G$101,4)*'Monthly Revenue-Usage'!E$8/100)),(VLOOKUP($B28,'Rate Projection'!$A$11:$G$101,4)*('Monthly Revenue-Usage'!E28/100))))</f>
        <v>#REF!</v>
      </c>
      <c r="U28" s="52" t="e">
        <f>IF(AND(F28&gt;F$9, F28&gt;(F$9+F$8),$D28&gt;'RV ERU Connections'!$F$38),U27,IF(F28&gt;F$8,((((VLOOKUP($B28,'Rate Projection'!$A$11:$G$101,3)))*(F28-F$8)/100)+(VLOOKUP($B28,'Rate Projection'!$A$11:$G$101,5)*'Monthly Revenue-Usage'!F$8/100)),(VLOOKUP($B28,'Rate Projection'!$A$11:$G$101,5)*('Monthly Revenue-Usage'!F28/100))))</f>
        <v>#REF!</v>
      </c>
      <c r="V28" s="52" t="e">
        <f>IF(AND(G28&gt;G$9, G28&gt;(G$9+G$8),$D28&gt;'RV ERU Connections'!$F$38),V27,IF(G28&gt;G$8,((((VLOOKUP($B28,'Rate Projection'!$A$11:$G$101,3)))*(G28-G$8)/100)+(VLOOKUP($B28,'Rate Projection'!$A$11:$G$101,5)*'Monthly Revenue-Usage'!G$8/100)),(VLOOKUP($B28,'Rate Projection'!$A$11:$G$101,5)*('Monthly Revenue-Usage'!G28/100))))</f>
        <v>#REF!</v>
      </c>
      <c r="W28" s="52" t="e">
        <f>IF(AND(H28&gt;H$9, H28&gt;(H$9+H$8),$D28&gt;'RV ERU Connections'!$F$38),W27,IF(H28&gt;H$8,((((VLOOKUP($B28,'Rate Projection'!$A$11:$G$101,3)))*(H28-H$8)/100)+(VLOOKUP($B28,'Rate Projection'!$A$11:$G$101,5)*'Monthly Revenue-Usage'!H$8/100)),(VLOOKUP($B28,'Rate Projection'!$A$11:$G$101,5)*('Monthly Revenue-Usage'!H28/100))))</f>
        <v>#REF!</v>
      </c>
      <c r="X28" s="52" t="e">
        <f>IF(AND(I28&gt;I$9, I28&gt;(I$9+I$8),$D28&gt;'RV ERU Connections'!$F$38),X27,IF(I28&gt;I$8,((((VLOOKUP($B28,'Rate Projection'!$A$11:$G$101,3)))*(I28-I$8)/100)+(VLOOKUP($B28,'Rate Projection'!$A$11:$G$101,5)*'Monthly Revenue-Usage'!I$8/100)),(VLOOKUP($B28,'Rate Projection'!$A$11:$G$101,5)*('Monthly Revenue-Usage'!I28/100))))</f>
        <v>#REF!</v>
      </c>
      <c r="Z28" s="53" t="e">
        <f>(-ISPMT('Monthly Revenue-Usage'!$Z$10/12, 1,1*12, Z27)*12)+Z27</f>
        <v>#REF!</v>
      </c>
      <c r="AA28" s="53" t="e">
        <f t="shared" si="7"/>
        <v>#REF!</v>
      </c>
    </row>
    <row r="29" spans="2:27" x14ac:dyDescent="0.3">
      <c r="B29" s="61">
        <f t="shared" si="0"/>
        <v>2027</v>
      </c>
      <c r="C29" s="5" t="e">
        <f t="shared" si="1"/>
        <v>#REF!</v>
      </c>
      <c r="D29" s="5" t="e">
        <f t="shared" si="8"/>
        <v>#REF!</v>
      </c>
      <c r="E29" s="46" t="e">
        <f t="shared" si="2"/>
        <v>#REF!</v>
      </c>
      <c r="F29" s="46" t="e">
        <f t="shared" si="3"/>
        <v>#REF!</v>
      </c>
      <c r="G29" s="46" t="e">
        <f>G28+(G28*$G$4)</f>
        <v>#REF!</v>
      </c>
      <c r="H29" s="46" t="e">
        <f t="shared" si="5"/>
        <v>#REF!</v>
      </c>
      <c r="I29" s="46" t="e">
        <f t="shared" si="6"/>
        <v>#REF!</v>
      </c>
      <c r="J29" s="53" t="e">
        <f>IF(AND(E29&gt;E$9, $D29&gt;'RV ERU Connections'!$F$37),J28,(VLOOKUP($B29,'Rate Projection'!$A$11:$G$101,2)*(E29/100)))</f>
        <v>#REF!</v>
      </c>
      <c r="K29" s="53" t="e">
        <f>IF(AND(F29&gt;F$9, $D29&gt;'RV ERU Connections'!$F$37),K28,(VLOOKUP($B29,'Rate Projection'!$A$11:$G$101,3)*(F29/100)))</f>
        <v>#REF!</v>
      </c>
      <c r="L29" s="53" t="e">
        <f>IF(AND(G29&gt;G$9, $D29&gt;'RV ERU Connections'!$F$37),L28,(VLOOKUP($B29,'Rate Projection'!$A$11:$G$101,3)*(G29/100)))</f>
        <v>#REF!</v>
      </c>
      <c r="M29" s="53" t="e">
        <f>IF(AND(H29&gt;H$9, $D29&gt;'RV ERU Connections'!$F$37),M28,(VLOOKUP($B29,'Rate Projection'!$A$11:$G$101,3)*(H29/100)))</f>
        <v>#REF!</v>
      </c>
      <c r="N29" s="53" t="e">
        <f>IF(AND(I29&gt;I$9, $D29&gt;'RV ERU Connections'!$F$37),N28,(VLOOKUP($B29,'Rate Projection'!$A$11:$G$101,3)*(I29/100)))</f>
        <v>#REF!</v>
      </c>
      <c r="O29" s="54" t="e">
        <f>IF(AND(E29&gt;E$9, E29&gt;(E$9+E$8),$D29&gt;'RV ERU Connections'!$F$38),O28,IF(E29&gt;E$9,((('Rate Projection'!$C$6+(VLOOKUP($B29,'Rate Projection'!$A$11:$G$101,4)))*(E29-E$9)/100)+(VLOOKUP($B29,'Rate Projection'!$A$11:$G$101,2)*'Monthly Revenue-Usage'!E$9/100)),(VLOOKUP($B29,'Rate Projection'!$A$11:$G$101,2)*('Monthly Revenue-Usage'!E29/100))))</f>
        <v>#REF!</v>
      </c>
      <c r="P29" s="54" t="e">
        <f>IF(AND(F29&gt;F$9, F29&gt;(F$9+F$8),$D29&gt;'RV ERU Connections'!$F$38),P28,IF(F29&gt;F$9,((('Rate Projection'!$C$6+(VLOOKUP($B29,'Rate Projection'!$A$11:$G$101,5)))*(F29-F$9)/100)+(VLOOKUP($B29,'Rate Projection'!$A$11:$G$101,3)*'Monthly Revenue-Usage'!F$9/100)),(VLOOKUP($B29,'Rate Projection'!$A$11:$G$101,3)*('Monthly Revenue-Usage'!F29/100))))</f>
        <v>#REF!</v>
      </c>
      <c r="Q29" s="54" t="e">
        <f>IF(AND(G29&gt;G$9, G29&gt;(G$9+G$8),$D29&gt;'RV ERU Connections'!$F$38),Q28,IF(G29&gt;G$9,((('Rate Projection'!$C$6+(VLOOKUP($B29,'Rate Projection'!$A$11:$G$101,5)))*(G29-G$9)/100)+(VLOOKUP($B29,'Rate Projection'!$A$11:$G$101,3)*'Monthly Revenue-Usage'!G$9/100)),(VLOOKUP($B29,'Rate Projection'!$A$11:$G$101,3)*('Monthly Revenue-Usage'!G29/100))))</f>
        <v>#REF!</v>
      </c>
      <c r="R29" s="54" t="e">
        <f>IF(AND(H29&gt;H$9, H29&gt;(H$9+H$8),$D29&gt;'RV ERU Connections'!$F$38),R28,IF(H29&gt;H$9,((('Rate Projection'!$C$6+(VLOOKUP($B29,'Rate Projection'!$A$11:$G$101,5)))*(H29-H$9)/100)+(VLOOKUP($B29,'Rate Projection'!$A$11:$G$101,3)*'Monthly Revenue-Usage'!H$9/100)),(VLOOKUP($B29,'Rate Projection'!$A$11:$G$101,3)*('Monthly Revenue-Usage'!H29/100))))</f>
        <v>#REF!</v>
      </c>
      <c r="S29" s="54" t="e">
        <f>IF(AND(I29&gt;I$9, I29&gt;(I$9+I$8),$D29&gt;'RV ERU Connections'!$F$38),S28,IF(I29&gt;I$9,((('Rate Projection'!$C$6+(VLOOKUP($B29,'Rate Projection'!$A$11:$G$101,5)))*(I29-I$9)/100)+(VLOOKUP($B29,'Rate Projection'!$A$11:$G$101,3)*'Monthly Revenue-Usage'!I$9/100)),(VLOOKUP($B29,'Rate Projection'!$A$11:$G$101,3)*('Monthly Revenue-Usage'!I29/100))))</f>
        <v>#REF!</v>
      </c>
      <c r="T29" s="52" t="e">
        <f>IF(AND(E29&gt;E$9, E29&gt;(E$9+E$8),$D29&gt;'RV ERU Connections'!$F$38),T28,IF(E29&gt;E$8,((((VLOOKUP($B29,'Rate Projection'!$A$11:$G$101,2)))*(E29-E$8)/100)+(VLOOKUP($B29,'Rate Projection'!$A$11:$G$101,4)*'Monthly Revenue-Usage'!E$8/100)),(VLOOKUP($B29,'Rate Projection'!$A$11:$G$101,4)*('Monthly Revenue-Usage'!E29/100))))</f>
        <v>#REF!</v>
      </c>
      <c r="U29" s="52" t="e">
        <f>IF(AND(F29&gt;F$9, F29&gt;(F$9+F$8),$D29&gt;'RV ERU Connections'!$F$38),U28,IF(F29&gt;F$8,((((VLOOKUP($B29,'Rate Projection'!$A$11:$G$101,3)))*(F29-F$8)/100)+(VLOOKUP($B29,'Rate Projection'!$A$11:$G$101,5)*'Monthly Revenue-Usage'!F$8/100)),(VLOOKUP($B29,'Rate Projection'!$A$11:$G$101,5)*('Monthly Revenue-Usage'!F29/100))))</f>
        <v>#REF!</v>
      </c>
      <c r="V29" s="52" t="e">
        <f>IF(AND(G29&gt;G$9, G29&gt;(G$9+G$8),$D29&gt;'RV ERU Connections'!$F$38),V28,IF(G29&gt;G$8,((((VLOOKUP($B29,'Rate Projection'!$A$11:$G$101,3)))*(G29-G$8)/100)+(VLOOKUP($B29,'Rate Projection'!$A$11:$G$101,5)*'Monthly Revenue-Usage'!G$8/100)),(VLOOKUP($B29,'Rate Projection'!$A$11:$G$101,5)*('Monthly Revenue-Usage'!G29/100))))</f>
        <v>#REF!</v>
      </c>
      <c r="W29" s="52" t="e">
        <f>IF(AND(H29&gt;H$9, H29&gt;(H$9+H$8),$D29&gt;'RV ERU Connections'!$F$38),W28,IF(H29&gt;H$8,((((VLOOKUP($B29,'Rate Projection'!$A$11:$G$101,3)))*(H29-H$8)/100)+(VLOOKUP($B29,'Rate Projection'!$A$11:$G$101,5)*'Monthly Revenue-Usage'!H$8/100)),(VLOOKUP($B29,'Rate Projection'!$A$11:$G$101,5)*('Monthly Revenue-Usage'!H29/100))))</f>
        <v>#REF!</v>
      </c>
      <c r="X29" s="52" t="e">
        <f>IF(AND(I29&gt;I$9, I29&gt;(I$9+I$8),$D29&gt;'RV ERU Connections'!$F$38),X28,IF(I29&gt;I$8,((((VLOOKUP($B29,'Rate Projection'!$A$11:$G$101,3)))*(I29-I$8)/100)+(VLOOKUP($B29,'Rate Projection'!$A$11:$G$101,5)*'Monthly Revenue-Usage'!I$8/100)),(VLOOKUP($B29,'Rate Projection'!$A$11:$G$101,5)*('Monthly Revenue-Usage'!I29/100))))</f>
        <v>#REF!</v>
      </c>
      <c r="Z29" s="53" t="e">
        <f>(-ISPMT('Monthly Revenue-Usage'!$Z$10/12, 1,1*12, Z28)*12)+Z28</f>
        <v>#REF!</v>
      </c>
      <c r="AA29" s="53" t="e">
        <f t="shared" si="7"/>
        <v>#REF!</v>
      </c>
    </row>
    <row r="30" spans="2:27" x14ac:dyDescent="0.3">
      <c r="B30" s="61">
        <f t="shared" si="0"/>
        <v>2028</v>
      </c>
      <c r="C30" s="5" t="e">
        <f t="shared" si="1"/>
        <v>#REF!</v>
      </c>
      <c r="D30" s="5" t="e">
        <f t="shared" si="8"/>
        <v>#REF!</v>
      </c>
      <c r="E30" s="46" t="e">
        <f t="shared" si="2"/>
        <v>#REF!</v>
      </c>
      <c r="F30" s="46" t="e">
        <f t="shared" si="3"/>
        <v>#REF!</v>
      </c>
      <c r="G30" s="46" t="e">
        <f t="shared" si="4"/>
        <v>#REF!</v>
      </c>
      <c r="H30" s="46" t="e">
        <f t="shared" si="5"/>
        <v>#REF!</v>
      </c>
      <c r="I30" s="46" t="e">
        <f t="shared" si="6"/>
        <v>#REF!</v>
      </c>
      <c r="J30" s="53" t="e">
        <f>IF(AND(E30&gt;E$9, $D30&gt;'RV ERU Connections'!$F$37),J29,(VLOOKUP($B30,'Rate Projection'!$A$11:$G$101,2)*(E30/100)))</f>
        <v>#REF!</v>
      </c>
      <c r="K30" s="53" t="e">
        <f>IF(AND(F30&gt;F$9, $D30&gt;'RV ERU Connections'!$F$37),K29,(VLOOKUP($B30,'Rate Projection'!$A$11:$G$101,3)*(F30/100)))</f>
        <v>#REF!</v>
      </c>
      <c r="L30" s="53" t="e">
        <f>IF(AND(G30&gt;G$9, $D30&gt;'RV ERU Connections'!$F$37),L29,(VLOOKUP($B30,'Rate Projection'!$A$11:$G$101,3)*(G30/100)))</f>
        <v>#REF!</v>
      </c>
      <c r="M30" s="53" t="e">
        <f>IF(AND(H30&gt;H$9, $D30&gt;'RV ERU Connections'!$F$37),M29,(VLOOKUP($B30,'Rate Projection'!$A$11:$G$101,3)*(H30/100)))</f>
        <v>#REF!</v>
      </c>
      <c r="N30" s="53" t="e">
        <f>IF(AND(I30&gt;I$9, $D30&gt;'RV ERU Connections'!$F$37),N29,(VLOOKUP($B30,'Rate Projection'!$A$11:$G$101,3)*(I30/100)))</f>
        <v>#REF!</v>
      </c>
      <c r="O30" s="54" t="e">
        <f>IF(AND(E30&gt;E$9, E30&gt;(E$9+E$8),$D30&gt;'RV ERU Connections'!$F$38),O29,IF(E30&gt;E$9,((('Rate Projection'!$C$6+(VLOOKUP($B30,'Rate Projection'!$A$11:$G$101,4)))*(E30-E$9)/100)+(VLOOKUP($B30,'Rate Projection'!$A$11:$G$101,2)*'Monthly Revenue-Usage'!E$9/100)),(VLOOKUP($B30,'Rate Projection'!$A$11:$G$101,2)*('Monthly Revenue-Usage'!E30/100))))</f>
        <v>#REF!</v>
      </c>
      <c r="P30" s="54" t="e">
        <f>IF(AND(F30&gt;F$9, F30&gt;(F$9+F$8),$D30&gt;'RV ERU Connections'!$F$38),P29,IF(F30&gt;F$9,((('Rate Projection'!$C$6+(VLOOKUP($B30,'Rate Projection'!$A$11:$G$101,5)))*(F30-F$9)/100)+(VLOOKUP($B30,'Rate Projection'!$A$11:$G$101,3)*'Monthly Revenue-Usage'!F$9/100)),(VLOOKUP($B30,'Rate Projection'!$A$11:$G$101,3)*('Monthly Revenue-Usage'!F30/100))))</f>
        <v>#REF!</v>
      </c>
      <c r="Q30" s="54" t="e">
        <f>IF(AND(G30&gt;G$9, G30&gt;(G$9+G$8),$D30&gt;'RV ERU Connections'!$F$38),Q29,IF(G30&gt;G$9,((('Rate Projection'!$C$6+(VLOOKUP($B30,'Rate Projection'!$A$11:$G$101,5)))*(G30-G$9)/100)+(VLOOKUP($B30,'Rate Projection'!$A$11:$G$101,3)*'Monthly Revenue-Usage'!G$9/100)),(VLOOKUP($B30,'Rate Projection'!$A$11:$G$101,3)*('Monthly Revenue-Usage'!G30/100))))</f>
        <v>#REF!</v>
      </c>
      <c r="R30" s="54" t="e">
        <f>IF(AND(H30&gt;H$9, H30&gt;(H$9+H$8),$D30&gt;'RV ERU Connections'!$F$38),R29,IF(H30&gt;H$9,((('Rate Projection'!$C$6+(VLOOKUP($B30,'Rate Projection'!$A$11:$G$101,5)))*(H30-H$9)/100)+(VLOOKUP($B30,'Rate Projection'!$A$11:$G$101,3)*'Monthly Revenue-Usage'!H$9/100)),(VLOOKUP($B30,'Rate Projection'!$A$11:$G$101,3)*('Monthly Revenue-Usage'!H30/100))))</f>
        <v>#REF!</v>
      </c>
      <c r="S30" s="54" t="e">
        <f>IF(AND(I30&gt;I$9, I30&gt;(I$9+I$8),$D30&gt;'RV ERU Connections'!$F$38),S29,IF(I30&gt;I$9,((('Rate Projection'!$C$6+(VLOOKUP($B30,'Rate Projection'!$A$11:$G$101,5)))*(I30-I$9)/100)+(VLOOKUP($B30,'Rate Projection'!$A$11:$G$101,3)*'Monthly Revenue-Usage'!I$9/100)),(VLOOKUP($B30,'Rate Projection'!$A$11:$G$101,3)*('Monthly Revenue-Usage'!I30/100))))</f>
        <v>#REF!</v>
      </c>
      <c r="T30" s="52" t="e">
        <f>IF(AND(E30&gt;E$9, E30&gt;(E$9+E$8),$D30&gt;'RV ERU Connections'!$F$38),T29,IF(E30&gt;E$8,((((VLOOKUP($B30,'Rate Projection'!$A$11:$G$101,2)))*(E30-E$8)/100)+(VLOOKUP($B30,'Rate Projection'!$A$11:$G$101,4)*'Monthly Revenue-Usage'!E$8/100)),(VLOOKUP($B30,'Rate Projection'!$A$11:$G$101,4)*('Monthly Revenue-Usage'!E30/100))))</f>
        <v>#REF!</v>
      </c>
      <c r="U30" s="52" t="e">
        <f>IF(AND(F30&gt;F$9, F30&gt;(F$9+F$8),$D30&gt;'RV ERU Connections'!$F$38),U29,IF(F30&gt;F$8,((((VLOOKUP($B30,'Rate Projection'!$A$11:$G$101,3)))*(F30-F$8)/100)+(VLOOKUP($B30,'Rate Projection'!$A$11:$G$101,5)*'Monthly Revenue-Usage'!F$8/100)),(VLOOKUP($B30,'Rate Projection'!$A$11:$G$101,5)*('Monthly Revenue-Usage'!F30/100))))</f>
        <v>#REF!</v>
      </c>
      <c r="V30" s="52" t="e">
        <f>IF(AND(G30&gt;G$9, G30&gt;(G$9+G$8),$D30&gt;'RV ERU Connections'!$F$38),V29,IF(G30&gt;G$8,((((VLOOKUP($B30,'Rate Projection'!$A$11:$G$101,3)))*(G30-G$8)/100)+(VLOOKUP($B30,'Rate Projection'!$A$11:$G$101,5)*'Monthly Revenue-Usage'!G$8/100)),(VLOOKUP($B30,'Rate Projection'!$A$11:$G$101,5)*('Monthly Revenue-Usage'!G30/100))))</f>
        <v>#REF!</v>
      </c>
      <c r="W30" s="52" t="e">
        <f>IF(AND(H30&gt;H$9, H30&gt;(H$9+H$8),$D30&gt;'RV ERU Connections'!$F$38),W29,IF(H30&gt;H$8,((((VLOOKUP($B30,'Rate Projection'!$A$11:$G$101,3)))*(H30-H$8)/100)+(VLOOKUP($B30,'Rate Projection'!$A$11:$G$101,5)*'Monthly Revenue-Usage'!H$8/100)),(VLOOKUP($B30,'Rate Projection'!$A$11:$G$101,5)*('Monthly Revenue-Usage'!H30/100))))</f>
        <v>#REF!</v>
      </c>
      <c r="X30" s="52" t="e">
        <f>IF(AND(I30&gt;I$9, I30&gt;(I$9+I$8),$D30&gt;'RV ERU Connections'!$F$38),X29,IF(I30&gt;I$8,((((VLOOKUP($B30,'Rate Projection'!$A$11:$G$101,3)))*(I30-I$8)/100)+(VLOOKUP($B30,'Rate Projection'!$A$11:$G$101,5)*'Monthly Revenue-Usage'!I$8/100)),(VLOOKUP($B30,'Rate Projection'!$A$11:$G$101,5)*('Monthly Revenue-Usage'!I30/100))))</f>
        <v>#REF!</v>
      </c>
      <c r="Z30" s="53" t="e">
        <f>(-ISPMT('Monthly Revenue-Usage'!$Z$10/12, 1,1*12, Z29)*12)+Z29</f>
        <v>#REF!</v>
      </c>
      <c r="AA30" s="53" t="e">
        <f t="shared" si="7"/>
        <v>#REF!</v>
      </c>
    </row>
    <row r="31" spans="2:27" x14ac:dyDescent="0.3">
      <c r="B31" s="61">
        <f t="shared" si="0"/>
        <v>2029</v>
      </c>
      <c r="C31" s="5" t="e">
        <f t="shared" si="1"/>
        <v>#REF!</v>
      </c>
      <c r="D31" s="5" t="e">
        <f t="shared" si="8"/>
        <v>#REF!</v>
      </c>
      <c r="E31" s="46" t="e">
        <f t="shared" si="2"/>
        <v>#REF!</v>
      </c>
      <c r="F31" s="46" t="e">
        <f t="shared" si="3"/>
        <v>#REF!</v>
      </c>
      <c r="G31" s="46" t="e">
        <f t="shared" si="4"/>
        <v>#REF!</v>
      </c>
      <c r="H31" s="46" t="e">
        <f t="shared" si="5"/>
        <v>#REF!</v>
      </c>
      <c r="I31" s="46" t="e">
        <f t="shared" si="6"/>
        <v>#REF!</v>
      </c>
      <c r="J31" s="53" t="e">
        <f>IF(AND(E31&gt;E$9, $D31&gt;'RV ERU Connections'!$F$37),J30,(VLOOKUP($B31,'Rate Projection'!$A$11:$G$101,2)*(E31/100)))</f>
        <v>#REF!</v>
      </c>
      <c r="K31" s="53" t="e">
        <f>IF(AND(F31&gt;F$9, $D31&gt;'RV ERU Connections'!$F$37),K30,(VLOOKUP($B31,'Rate Projection'!$A$11:$G$101,3)*(F31/100)))</f>
        <v>#REF!</v>
      </c>
      <c r="L31" s="53" t="e">
        <f>IF(AND(G31&gt;G$9, $D31&gt;'RV ERU Connections'!$F$37),L30,(VLOOKUP($B31,'Rate Projection'!$A$11:$G$101,3)*(G31/100)))</f>
        <v>#REF!</v>
      </c>
      <c r="M31" s="53" t="e">
        <f>IF(AND(H31&gt;H$9, $D31&gt;'RV ERU Connections'!$F$37),M30,(VLOOKUP($B31,'Rate Projection'!$A$11:$G$101,3)*(H31/100)))</f>
        <v>#REF!</v>
      </c>
      <c r="N31" s="53" t="e">
        <f>IF(AND(I31&gt;I$9, $D31&gt;'RV ERU Connections'!$F$37),N30,(VLOOKUP($B31,'Rate Projection'!$A$11:$G$101,3)*(I31/100)))</f>
        <v>#REF!</v>
      </c>
      <c r="O31" s="54" t="e">
        <f>IF(AND(E31&gt;E$9, E31&gt;(E$9+E$8),$D31&gt;'RV ERU Connections'!$F$38),O30,IF(E31&gt;E$9,((('Rate Projection'!$C$6+(VLOOKUP($B31,'Rate Projection'!$A$11:$G$101,4)))*(E31-E$9)/100)+(VLOOKUP($B31,'Rate Projection'!$A$11:$G$101,2)*'Monthly Revenue-Usage'!E$9/100)),(VLOOKUP($B31,'Rate Projection'!$A$11:$G$101,2)*('Monthly Revenue-Usage'!E31/100))))</f>
        <v>#REF!</v>
      </c>
      <c r="P31" s="54" t="e">
        <f>IF(AND(F31&gt;F$9, F31&gt;(F$9+F$8),$D31&gt;'RV ERU Connections'!$F$38),P30,IF(F31&gt;F$9,((('Rate Projection'!$C$6+(VLOOKUP($B31,'Rate Projection'!$A$11:$G$101,5)))*(F31-F$9)/100)+(VLOOKUP($B31,'Rate Projection'!$A$11:$G$101,3)*'Monthly Revenue-Usage'!F$9/100)),(VLOOKUP($B31,'Rate Projection'!$A$11:$G$101,3)*('Monthly Revenue-Usage'!F31/100))))</f>
        <v>#REF!</v>
      </c>
      <c r="Q31" s="54" t="e">
        <f>IF(AND(G31&gt;G$9, G31&gt;(G$9+G$8),$D31&gt;'RV ERU Connections'!$F$38),Q30,IF(G31&gt;G$9,((('Rate Projection'!$C$6+(VLOOKUP($B31,'Rate Projection'!$A$11:$G$101,5)))*(G31-G$9)/100)+(VLOOKUP($B31,'Rate Projection'!$A$11:$G$101,3)*'Monthly Revenue-Usage'!G$9/100)),(VLOOKUP($B31,'Rate Projection'!$A$11:$G$101,3)*('Monthly Revenue-Usage'!G31/100))))</f>
        <v>#REF!</v>
      </c>
      <c r="R31" s="54" t="e">
        <f>IF(AND(H31&gt;H$9, H31&gt;(H$9+H$8),$D31&gt;'RV ERU Connections'!$F$38),R30,IF(H31&gt;H$9,((('Rate Projection'!$C$6+(VLOOKUP($B31,'Rate Projection'!$A$11:$G$101,5)))*(H31-H$9)/100)+(VLOOKUP($B31,'Rate Projection'!$A$11:$G$101,3)*'Monthly Revenue-Usage'!H$9/100)),(VLOOKUP($B31,'Rate Projection'!$A$11:$G$101,3)*('Monthly Revenue-Usage'!H31/100))))</f>
        <v>#REF!</v>
      </c>
      <c r="S31" s="54" t="e">
        <f>IF(AND(I31&gt;I$9, I31&gt;(I$9+I$8),$D31&gt;'RV ERU Connections'!$F$38),S30,IF(I31&gt;I$9,((('Rate Projection'!$C$6+(VLOOKUP($B31,'Rate Projection'!$A$11:$G$101,5)))*(I31-I$9)/100)+(VLOOKUP($B31,'Rate Projection'!$A$11:$G$101,3)*'Monthly Revenue-Usage'!I$9/100)),(VLOOKUP($B31,'Rate Projection'!$A$11:$G$101,3)*('Monthly Revenue-Usage'!I31/100))))</f>
        <v>#REF!</v>
      </c>
      <c r="T31" s="52" t="e">
        <f>IF(AND(E31&gt;E$9, E31&gt;(E$9+E$8),$D31&gt;'RV ERU Connections'!$F$38),T30,IF(E31&gt;E$8,((((VLOOKUP($B31,'Rate Projection'!$A$11:$G$101,2)))*(E31-E$8)/100)+(VLOOKUP($B31,'Rate Projection'!$A$11:$G$101,4)*'Monthly Revenue-Usage'!E$8/100)),(VLOOKUP($B31,'Rate Projection'!$A$11:$G$101,4)*('Monthly Revenue-Usage'!E31/100))))</f>
        <v>#REF!</v>
      </c>
      <c r="U31" s="52" t="e">
        <f>IF(AND(F31&gt;F$9, F31&gt;(F$9+F$8),$D31&gt;'RV ERU Connections'!$F$38),U30,IF(F31&gt;F$8,((((VLOOKUP($B31,'Rate Projection'!$A$11:$G$101,3)))*(F31-F$8)/100)+(VLOOKUP($B31,'Rate Projection'!$A$11:$G$101,5)*'Monthly Revenue-Usage'!F$8/100)),(VLOOKUP($B31,'Rate Projection'!$A$11:$G$101,5)*('Monthly Revenue-Usage'!F31/100))))</f>
        <v>#REF!</v>
      </c>
      <c r="V31" s="52" t="e">
        <f>IF(AND(G31&gt;G$9, G31&gt;(G$9+G$8),$D31&gt;'RV ERU Connections'!$F$38),V30,IF(G31&gt;G$8,((((VLOOKUP($B31,'Rate Projection'!$A$11:$G$101,3)))*(G31-G$8)/100)+(VLOOKUP($B31,'Rate Projection'!$A$11:$G$101,5)*'Monthly Revenue-Usage'!G$8/100)),(VLOOKUP($B31,'Rate Projection'!$A$11:$G$101,5)*('Monthly Revenue-Usage'!G31/100))))</f>
        <v>#REF!</v>
      </c>
      <c r="W31" s="52" t="e">
        <f>IF(AND(H31&gt;H$9, H31&gt;(H$9+H$8),$D31&gt;'RV ERU Connections'!$F$38),W30,IF(H31&gt;H$8,((((VLOOKUP($B31,'Rate Projection'!$A$11:$G$101,3)))*(H31-H$8)/100)+(VLOOKUP($B31,'Rate Projection'!$A$11:$G$101,5)*'Monthly Revenue-Usage'!H$8/100)),(VLOOKUP($B31,'Rate Projection'!$A$11:$G$101,5)*('Monthly Revenue-Usage'!H31/100))))</f>
        <v>#REF!</v>
      </c>
      <c r="X31" s="52" t="e">
        <f>IF(AND(I31&gt;I$9, I31&gt;(I$9+I$8),$D31&gt;'RV ERU Connections'!$F$38),X30,IF(I31&gt;I$8,((((VLOOKUP($B31,'Rate Projection'!$A$11:$G$101,3)))*(I31-I$8)/100)+(VLOOKUP($B31,'Rate Projection'!$A$11:$G$101,5)*'Monthly Revenue-Usage'!I$8/100)),(VLOOKUP($B31,'Rate Projection'!$A$11:$G$101,5)*('Monthly Revenue-Usage'!I31/100))))</f>
        <v>#REF!</v>
      </c>
      <c r="Z31" s="53" t="e">
        <f>(-ISPMT('Monthly Revenue-Usage'!$Z$10/12, 1,1*12, Z30)*12)+Z30</f>
        <v>#REF!</v>
      </c>
      <c r="AA31" s="53" t="e">
        <f t="shared" si="7"/>
        <v>#REF!</v>
      </c>
    </row>
    <row r="32" spans="2:27" x14ac:dyDescent="0.3">
      <c r="B32" s="61">
        <f t="shared" si="0"/>
        <v>2030</v>
      </c>
      <c r="C32" s="5" t="e">
        <f t="shared" si="1"/>
        <v>#REF!</v>
      </c>
      <c r="D32" s="5" t="e">
        <f t="shared" si="8"/>
        <v>#REF!</v>
      </c>
      <c r="E32" s="46" t="e">
        <f t="shared" si="2"/>
        <v>#REF!</v>
      </c>
      <c r="F32" s="46" t="e">
        <f t="shared" si="3"/>
        <v>#REF!</v>
      </c>
      <c r="G32" s="46" t="e">
        <f t="shared" si="4"/>
        <v>#REF!</v>
      </c>
      <c r="H32" s="46" t="e">
        <f t="shared" si="5"/>
        <v>#REF!</v>
      </c>
      <c r="I32" s="46" t="e">
        <f t="shared" si="6"/>
        <v>#REF!</v>
      </c>
      <c r="J32" s="53" t="e">
        <f>IF(AND(E32&gt;E$9, $D32&gt;'RV ERU Connections'!$F$37),J31,(VLOOKUP($B32,'Rate Projection'!$A$11:$G$101,2)*(E32/100)))</f>
        <v>#REF!</v>
      </c>
      <c r="K32" s="53" t="e">
        <f>IF(AND(F32&gt;F$9, $D32&gt;'RV ERU Connections'!$F$37),K31,(VLOOKUP($B32,'Rate Projection'!$A$11:$G$101,3)*(F32/100)))</f>
        <v>#REF!</v>
      </c>
      <c r="L32" s="53" t="e">
        <f>IF(AND(G32&gt;G$9, $D32&gt;'RV ERU Connections'!$F$37),L31,(VLOOKUP($B32,'Rate Projection'!$A$11:$G$101,3)*(G32/100)))</f>
        <v>#REF!</v>
      </c>
      <c r="M32" s="53" t="e">
        <f>IF(AND(H32&gt;H$9, $D32&gt;'RV ERU Connections'!$F$37),M31,(VLOOKUP($B32,'Rate Projection'!$A$11:$G$101,3)*(H32/100)))</f>
        <v>#REF!</v>
      </c>
      <c r="N32" s="53" t="e">
        <f>IF(AND(I32&gt;I$9, $D32&gt;'RV ERU Connections'!$F$37),N31,(VLOOKUP($B32,'Rate Projection'!$A$11:$G$101,3)*(I32/100)))</f>
        <v>#REF!</v>
      </c>
      <c r="O32" s="54" t="e">
        <f>IF(AND(E32&gt;E$9, E32&gt;(E$9+E$8),$D32&gt;'RV ERU Connections'!$F$38),O31,IF(E32&gt;E$9,((('Rate Projection'!$C$6+(VLOOKUP($B32,'Rate Projection'!$A$11:$G$101,4)))*(E32-E$9)/100)+(VLOOKUP($B32,'Rate Projection'!$A$11:$G$101,2)*'Monthly Revenue-Usage'!E$9/100)),(VLOOKUP($B32,'Rate Projection'!$A$11:$G$101,2)*('Monthly Revenue-Usage'!E32/100))))</f>
        <v>#REF!</v>
      </c>
      <c r="P32" s="54" t="e">
        <f>IF(AND(F32&gt;F$9, F32&gt;(F$9+F$8),$D32&gt;'RV ERU Connections'!$F$38),P31,IF(F32&gt;F$9,((('Rate Projection'!$C$6+(VLOOKUP($B32,'Rate Projection'!$A$11:$G$101,5)))*(F32-F$9)/100)+(VLOOKUP($B32,'Rate Projection'!$A$11:$G$101,3)*'Monthly Revenue-Usage'!F$9/100)),(VLOOKUP($B32,'Rate Projection'!$A$11:$G$101,3)*('Monthly Revenue-Usage'!F32/100))))</f>
        <v>#REF!</v>
      </c>
      <c r="Q32" s="54" t="e">
        <f>IF(AND(G32&gt;G$9, G32&gt;(G$9+G$8),$D32&gt;'RV ERU Connections'!$F$38),Q31,IF(G32&gt;G$9,((('Rate Projection'!$C$6+(VLOOKUP($B32,'Rate Projection'!$A$11:$G$101,5)))*(G32-G$9)/100)+(VLOOKUP($B32,'Rate Projection'!$A$11:$G$101,3)*'Monthly Revenue-Usage'!G$9/100)),(VLOOKUP($B32,'Rate Projection'!$A$11:$G$101,3)*('Monthly Revenue-Usage'!G32/100))))</f>
        <v>#REF!</v>
      </c>
      <c r="R32" s="54" t="e">
        <f>IF(AND(H32&gt;H$9, H32&gt;(H$9+H$8),$D32&gt;'RV ERU Connections'!$F$38),R31,IF(H32&gt;H$9,((('Rate Projection'!$C$6+(VLOOKUP($B32,'Rate Projection'!$A$11:$G$101,5)))*(H32-H$9)/100)+(VLOOKUP($B32,'Rate Projection'!$A$11:$G$101,3)*'Monthly Revenue-Usage'!H$9/100)),(VLOOKUP($B32,'Rate Projection'!$A$11:$G$101,3)*('Monthly Revenue-Usage'!H32/100))))</f>
        <v>#REF!</v>
      </c>
      <c r="S32" s="54" t="e">
        <f>IF(AND(I32&gt;I$9, I32&gt;(I$9+I$8),$D32&gt;'RV ERU Connections'!$F$38),S31,IF(I32&gt;I$9,((('Rate Projection'!$C$6+(VLOOKUP($B32,'Rate Projection'!$A$11:$G$101,5)))*(I32-I$9)/100)+(VLOOKUP($B32,'Rate Projection'!$A$11:$G$101,3)*'Monthly Revenue-Usage'!I$9/100)),(VLOOKUP($B32,'Rate Projection'!$A$11:$G$101,3)*('Monthly Revenue-Usage'!I32/100))))</f>
        <v>#REF!</v>
      </c>
      <c r="T32" s="52" t="e">
        <f>IF(AND(E32&gt;E$9, E32&gt;(E$9+E$8),$D32&gt;'RV ERU Connections'!$F$38),T31,IF(E32&gt;E$8,((((VLOOKUP($B32,'Rate Projection'!$A$11:$G$101,2)))*(E32-E$8)/100)+(VLOOKUP($B32,'Rate Projection'!$A$11:$G$101,4)*'Monthly Revenue-Usage'!E$8/100)),(VLOOKUP($B32,'Rate Projection'!$A$11:$G$101,4)*('Monthly Revenue-Usage'!E32/100))))</f>
        <v>#REF!</v>
      </c>
      <c r="U32" s="52" t="e">
        <f>IF(AND(F32&gt;F$9, F32&gt;(F$9+F$8),$D32&gt;'RV ERU Connections'!$F$38),U31,IF(F32&gt;F$8,((((VLOOKUP($B32,'Rate Projection'!$A$11:$G$101,3)))*(F32-F$8)/100)+(VLOOKUP($B32,'Rate Projection'!$A$11:$G$101,5)*'Monthly Revenue-Usage'!F$8/100)),(VLOOKUP($B32,'Rate Projection'!$A$11:$G$101,5)*('Monthly Revenue-Usage'!F32/100))))</f>
        <v>#REF!</v>
      </c>
      <c r="V32" s="52" t="e">
        <f>IF(AND(G32&gt;G$9, G32&gt;(G$9+G$8),$D32&gt;'RV ERU Connections'!$F$38),V31,IF(G32&gt;G$8,((((VLOOKUP($B32,'Rate Projection'!$A$11:$G$101,3)))*(G32-G$8)/100)+(VLOOKUP($B32,'Rate Projection'!$A$11:$G$101,5)*'Monthly Revenue-Usage'!G$8/100)),(VLOOKUP($B32,'Rate Projection'!$A$11:$G$101,5)*('Monthly Revenue-Usage'!G32/100))))</f>
        <v>#REF!</v>
      </c>
      <c r="W32" s="52" t="e">
        <f>IF(AND(H32&gt;H$9, H32&gt;(H$9+H$8),$D32&gt;'RV ERU Connections'!$F$38),W31,IF(H32&gt;H$8,((((VLOOKUP($B32,'Rate Projection'!$A$11:$G$101,3)))*(H32-H$8)/100)+(VLOOKUP($B32,'Rate Projection'!$A$11:$G$101,5)*'Monthly Revenue-Usage'!H$8/100)),(VLOOKUP($B32,'Rate Projection'!$A$11:$G$101,5)*('Monthly Revenue-Usage'!H32/100))))</f>
        <v>#REF!</v>
      </c>
      <c r="X32" s="52" t="e">
        <f>IF(AND(I32&gt;I$9, I32&gt;(I$9+I$8),$D32&gt;'RV ERU Connections'!$F$38),X31,IF(I32&gt;I$8,((((VLOOKUP($B32,'Rate Projection'!$A$11:$G$101,3)))*(I32-I$8)/100)+(VLOOKUP($B32,'Rate Projection'!$A$11:$G$101,5)*'Monthly Revenue-Usage'!I$8/100)),(VLOOKUP($B32,'Rate Projection'!$A$11:$G$101,5)*('Monthly Revenue-Usage'!I32/100))))</f>
        <v>#REF!</v>
      </c>
      <c r="Z32" s="53" t="e">
        <f>(-ISPMT('Monthly Revenue-Usage'!$Z$10/12, 1,1*12, Z31)*12)+Z31</f>
        <v>#REF!</v>
      </c>
      <c r="AA32" s="53" t="e">
        <f t="shared" si="7"/>
        <v>#REF!</v>
      </c>
    </row>
    <row r="33" spans="2:27" x14ac:dyDescent="0.3">
      <c r="B33" s="61">
        <f t="shared" si="0"/>
        <v>2031</v>
      </c>
      <c r="C33" s="5" t="e">
        <f t="shared" si="1"/>
        <v>#REF!</v>
      </c>
      <c r="D33" s="5" t="e">
        <f t="shared" si="8"/>
        <v>#REF!</v>
      </c>
      <c r="E33" s="46" t="e">
        <f t="shared" si="2"/>
        <v>#REF!</v>
      </c>
      <c r="F33" s="46" t="e">
        <f t="shared" si="3"/>
        <v>#REF!</v>
      </c>
      <c r="G33" s="46" t="e">
        <f t="shared" si="4"/>
        <v>#REF!</v>
      </c>
      <c r="H33" s="46" t="e">
        <f t="shared" si="5"/>
        <v>#REF!</v>
      </c>
      <c r="I33" s="46" t="e">
        <f t="shared" si="6"/>
        <v>#REF!</v>
      </c>
      <c r="J33" s="53" t="e">
        <f>IF(AND(E33&gt;E$9, $D33&gt;'RV ERU Connections'!$F$37),J32,(VLOOKUP($B33,'Rate Projection'!$A$11:$G$101,2)*(E33/100)))</f>
        <v>#REF!</v>
      </c>
      <c r="K33" s="53" t="e">
        <f>IF(AND(F33&gt;F$9, $D33&gt;'RV ERU Connections'!$F$37),K32,(VLOOKUP($B33,'Rate Projection'!$A$11:$G$101,3)*(F33/100)))</f>
        <v>#REF!</v>
      </c>
      <c r="L33" s="53" t="e">
        <f>IF(AND(G33&gt;G$9, $D33&gt;'RV ERU Connections'!$F$37),L32,(VLOOKUP($B33,'Rate Projection'!$A$11:$G$101,3)*(G33/100)))</f>
        <v>#REF!</v>
      </c>
      <c r="M33" s="53" t="e">
        <f>IF(AND(H33&gt;H$9, $D33&gt;'RV ERU Connections'!$F$37),M32,(VLOOKUP($B33,'Rate Projection'!$A$11:$G$101,3)*(H33/100)))</f>
        <v>#REF!</v>
      </c>
      <c r="N33" s="53" t="e">
        <f>IF(AND(I33&gt;I$9, $D33&gt;'RV ERU Connections'!$F$37),N32,(VLOOKUP($B33,'Rate Projection'!$A$11:$G$101,3)*(I33/100)))</f>
        <v>#REF!</v>
      </c>
      <c r="O33" s="54" t="e">
        <f>IF(AND(E33&gt;E$9, E33&gt;(E$9+E$8),$D33&gt;'RV ERU Connections'!$F$38),O32,IF(E33&gt;E$9,((('Rate Projection'!$C$6+(VLOOKUP($B33,'Rate Projection'!$A$11:$G$101,4)))*(E33-E$9)/100)+(VLOOKUP($B33,'Rate Projection'!$A$11:$G$101,2)*'Monthly Revenue-Usage'!E$9/100)),(VLOOKUP($B33,'Rate Projection'!$A$11:$G$101,2)*('Monthly Revenue-Usage'!E33/100))))</f>
        <v>#REF!</v>
      </c>
      <c r="P33" s="54" t="e">
        <f>IF(AND(F33&gt;F$9, F33&gt;(F$9+F$8),$D33&gt;'RV ERU Connections'!$F$38),P32,IF(F33&gt;F$9,((('Rate Projection'!$C$6+(VLOOKUP($B33,'Rate Projection'!$A$11:$G$101,5)))*(F33-F$9)/100)+(VLOOKUP($B33,'Rate Projection'!$A$11:$G$101,3)*'Monthly Revenue-Usage'!F$9/100)),(VLOOKUP($B33,'Rate Projection'!$A$11:$G$101,3)*('Monthly Revenue-Usage'!F33/100))))</f>
        <v>#REF!</v>
      </c>
      <c r="Q33" s="54" t="e">
        <f>IF(AND(G33&gt;G$9, G33&gt;(G$9+G$8),$D33&gt;'RV ERU Connections'!$F$38),Q32,IF(G33&gt;G$9,((('Rate Projection'!$C$6+(VLOOKUP($B33,'Rate Projection'!$A$11:$G$101,5)))*(G33-G$9)/100)+(VLOOKUP($B33,'Rate Projection'!$A$11:$G$101,3)*'Monthly Revenue-Usage'!G$9/100)),(VLOOKUP($B33,'Rate Projection'!$A$11:$G$101,3)*('Monthly Revenue-Usage'!G33/100))))</f>
        <v>#REF!</v>
      </c>
      <c r="R33" s="54" t="e">
        <f>IF(AND(H33&gt;H$9, H33&gt;(H$9+H$8),$D33&gt;'RV ERU Connections'!$F$38),R32,IF(H33&gt;H$9,((('Rate Projection'!$C$6+(VLOOKUP($B33,'Rate Projection'!$A$11:$G$101,5)))*(H33-H$9)/100)+(VLOOKUP($B33,'Rate Projection'!$A$11:$G$101,3)*'Monthly Revenue-Usage'!H$9/100)),(VLOOKUP($B33,'Rate Projection'!$A$11:$G$101,3)*('Monthly Revenue-Usage'!H33/100))))</f>
        <v>#REF!</v>
      </c>
      <c r="S33" s="54" t="e">
        <f>IF(AND(I33&gt;I$9, I33&gt;(I$9+I$8),$D33&gt;'RV ERU Connections'!$F$38),S32,IF(I33&gt;I$9,((('Rate Projection'!$C$6+(VLOOKUP($B33,'Rate Projection'!$A$11:$G$101,5)))*(I33-I$9)/100)+(VLOOKUP($B33,'Rate Projection'!$A$11:$G$101,3)*'Monthly Revenue-Usage'!I$9/100)),(VLOOKUP($B33,'Rate Projection'!$A$11:$G$101,3)*('Monthly Revenue-Usage'!I33/100))))</f>
        <v>#REF!</v>
      </c>
      <c r="T33" s="52" t="e">
        <f>IF(AND(E33&gt;E$9, E33&gt;(E$9+E$8),$D33&gt;'RV ERU Connections'!$F$38),T32,IF(E33&gt;E$8,((((VLOOKUP($B33,'Rate Projection'!$A$11:$G$101,2)))*(E33-E$8)/100)+(VLOOKUP($B33,'Rate Projection'!$A$11:$G$101,4)*'Monthly Revenue-Usage'!E$8/100)),(VLOOKUP($B33,'Rate Projection'!$A$11:$G$101,4)*('Monthly Revenue-Usage'!E33/100))))</f>
        <v>#REF!</v>
      </c>
      <c r="U33" s="52" t="e">
        <f>IF(AND(F33&gt;F$9, F33&gt;(F$9+F$8),$D33&gt;'RV ERU Connections'!$F$38),U32,IF(F33&gt;F$8,((((VLOOKUP($B33,'Rate Projection'!$A$11:$G$101,3)))*(F33-F$8)/100)+(VLOOKUP($B33,'Rate Projection'!$A$11:$G$101,5)*'Monthly Revenue-Usage'!F$8/100)),(VLOOKUP($B33,'Rate Projection'!$A$11:$G$101,5)*('Monthly Revenue-Usage'!F33/100))))</f>
        <v>#REF!</v>
      </c>
      <c r="V33" s="52" t="e">
        <f>IF(AND(G33&gt;G$9, G33&gt;(G$9+G$8),$D33&gt;'RV ERU Connections'!$F$38),V32,IF(G33&gt;G$8,((((VLOOKUP($B33,'Rate Projection'!$A$11:$G$101,3)))*(G33-G$8)/100)+(VLOOKUP($B33,'Rate Projection'!$A$11:$G$101,5)*'Monthly Revenue-Usage'!G$8/100)),(VLOOKUP($B33,'Rate Projection'!$A$11:$G$101,5)*('Monthly Revenue-Usage'!G33/100))))</f>
        <v>#REF!</v>
      </c>
      <c r="W33" s="52" t="e">
        <f>IF(AND(H33&gt;H$9, H33&gt;(H$9+H$8),$D33&gt;'RV ERU Connections'!$F$38),W32,IF(H33&gt;H$8,((((VLOOKUP($B33,'Rate Projection'!$A$11:$G$101,3)))*(H33-H$8)/100)+(VLOOKUP($B33,'Rate Projection'!$A$11:$G$101,5)*'Monthly Revenue-Usage'!H$8/100)),(VLOOKUP($B33,'Rate Projection'!$A$11:$G$101,5)*('Monthly Revenue-Usage'!H33/100))))</f>
        <v>#REF!</v>
      </c>
      <c r="X33" s="52" t="e">
        <f>IF(AND(I33&gt;I$9, I33&gt;(I$9+I$8),$D33&gt;'RV ERU Connections'!$F$38),X32,IF(I33&gt;I$8,((((VLOOKUP($B33,'Rate Projection'!$A$11:$G$101,3)))*(I33-I$8)/100)+(VLOOKUP($B33,'Rate Projection'!$A$11:$G$101,5)*'Monthly Revenue-Usage'!I$8/100)),(VLOOKUP($B33,'Rate Projection'!$A$11:$G$101,5)*('Monthly Revenue-Usage'!I33/100))))</f>
        <v>#REF!</v>
      </c>
      <c r="Z33" s="53" t="e">
        <f>(-ISPMT('Monthly Revenue-Usage'!$Z$10/12, 1,1*12, Z32)*12)+Z32</f>
        <v>#REF!</v>
      </c>
      <c r="AA33" s="53" t="e">
        <f t="shared" si="7"/>
        <v>#REF!</v>
      </c>
    </row>
    <row r="34" spans="2:27" x14ac:dyDescent="0.3">
      <c r="B34" s="61">
        <f t="shared" si="0"/>
        <v>2032</v>
      </c>
      <c r="C34" s="5" t="e">
        <f t="shared" si="1"/>
        <v>#REF!</v>
      </c>
      <c r="D34" s="5" t="e">
        <f t="shared" si="8"/>
        <v>#REF!</v>
      </c>
      <c r="E34" s="46" t="e">
        <f t="shared" si="2"/>
        <v>#REF!</v>
      </c>
      <c r="F34" s="46" t="e">
        <f t="shared" si="3"/>
        <v>#REF!</v>
      </c>
      <c r="G34" s="46" t="e">
        <f t="shared" si="4"/>
        <v>#REF!</v>
      </c>
      <c r="H34" s="46" t="e">
        <f t="shared" si="5"/>
        <v>#REF!</v>
      </c>
      <c r="I34" s="46" t="e">
        <f t="shared" si="6"/>
        <v>#REF!</v>
      </c>
      <c r="J34" s="53" t="e">
        <f>IF(AND(E34&gt;E$9, $D34&gt;'RV ERU Connections'!$F$37),J33,(VLOOKUP($B34,'Rate Projection'!$A$11:$G$101,2)*(E34/100)))</f>
        <v>#REF!</v>
      </c>
      <c r="K34" s="53" t="e">
        <f>IF(AND(F34&gt;F$9, $D34&gt;'RV ERU Connections'!$F$37),K33,(VLOOKUP($B34,'Rate Projection'!$A$11:$G$101,3)*(F34/100)))</f>
        <v>#REF!</v>
      </c>
      <c r="L34" s="53" t="e">
        <f>IF(AND(G34&gt;G$9, $D34&gt;'RV ERU Connections'!$F$37),L33,(VLOOKUP($B34,'Rate Projection'!$A$11:$G$101,3)*(G34/100)))</f>
        <v>#REF!</v>
      </c>
      <c r="M34" s="53" t="e">
        <f>IF(AND(H34&gt;H$9, $D34&gt;'RV ERU Connections'!$F$37),M33,(VLOOKUP($B34,'Rate Projection'!$A$11:$G$101,3)*(H34/100)))</f>
        <v>#REF!</v>
      </c>
      <c r="N34" s="53" t="e">
        <f>IF(AND(I34&gt;I$9, $D34&gt;'RV ERU Connections'!$F$37),N33,(VLOOKUP($B34,'Rate Projection'!$A$11:$G$101,3)*(I34/100)))</f>
        <v>#REF!</v>
      </c>
      <c r="O34" s="54" t="e">
        <f>IF(AND(E34&gt;E$9, E34&gt;(E$9+E$8),$D34&gt;'RV ERU Connections'!$F$38),O33,IF(E34&gt;E$9,((('Rate Projection'!$C$6+(VLOOKUP($B34,'Rate Projection'!$A$11:$G$101,4)))*(E34-E$9)/100)+(VLOOKUP($B34,'Rate Projection'!$A$11:$G$101,2)*'Monthly Revenue-Usage'!E$9/100)),(VLOOKUP($B34,'Rate Projection'!$A$11:$G$101,2)*('Monthly Revenue-Usage'!E34/100))))</f>
        <v>#REF!</v>
      </c>
      <c r="P34" s="54" t="e">
        <f>IF(AND(F34&gt;F$9, F34&gt;(F$9+F$8),$D34&gt;'RV ERU Connections'!$F$38),P33,IF(F34&gt;F$9,((('Rate Projection'!$C$6+(VLOOKUP($B34,'Rate Projection'!$A$11:$G$101,5)))*(F34-F$9)/100)+(VLOOKUP($B34,'Rate Projection'!$A$11:$G$101,3)*'Monthly Revenue-Usage'!F$9/100)),(VLOOKUP($B34,'Rate Projection'!$A$11:$G$101,3)*('Monthly Revenue-Usage'!F34/100))))</f>
        <v>#REF!</v>
      </c>
      <c r="Q34" s="54" t="e">
        <f>IF(AND(G34&gt;G$9, G34&gt;(G$9+G$8),$D34&gt;'RV ERU Connections'!$F$38),Q33,IF(G34&gt;G$9,((('Rate Projection'!$C$6+(VLOOKUP($B34,'Rate Projection'!$A$11:$G$101,5)))*(G34-G$9)/100)+(VLOOKUP($B34,'Rate Projection'!$A$11:$G$101,3)*'Monthly Revenue-Usage'!G$9/100)),(VLOOKUP($B34,'Rate Projection'!$A$11:$G$101,3)*('Monthly Revenue-Usage'!G34/100))))</f>
        <v>#REF!</v>
      </c>
      <c r="R34" s="54" t="e">
        <f>IF(AND(H34&gt;H$9, H34&gt;(H$9+H$8),$D34&gt;'RV ERU Connections'!$F$38),R33,IF(H34&gt;H$9,((('Rate Projection'!$C$6+(VLOOKUP($B34,'Rate Projection'!$A$11:$G$101,5)))*(H34-H$9)/100)+(VLOOKUP($B34,'Rate Projection'!$A$11:$G$101,3)*'Monthly Revenue-Usage'!H$9/100)),(VLOOKUP($B34,'Rate Projection'!$A$11:$G$101,3)*('Monthly Revenue-Usage'!H34/100))))</f>
        <v>#REF!</v>
      </c>
      <c r="S34" s="54" t="e">
        <f>IF(AND(I34&gt;I$9, I34&gt;(I$9+I$8),$D34&gt;'RV ERU Connections'!$F$38),S33,IF(I34&gt;I$9,((('Rate Projection'!$C$6+(VLOOKUP($B34,'Rate Projection'!$A$11:$G$101,5)))*(I34-I$9)/100)+(VLOOKUP($B34,'Rate Projection'!$A$11:$G$101,3)*'Monthly Revenue-Usage'!I$9/100)),(VLOOKUP($B34,'Rate Projection'!$A$11:$G$101,3)*('Monthly Revenue-Usage'!I34/100))))</f>
        <v>#REF!</v>
      </c>
      <c r="T34" s="52" t="e">
        <f>IF(AND(E34&gt;E$9, E34&gt;(E$9+E$8),$D34&gt;'RV ERU Connections'!$F$38),T33,IF(E34&gt;E$8,((((VLOOKUP($B34,'Rate Projection'!$A$11:$G$101,2)))*(E34-E$8)/100)+(VLOOKUP($B34,'Rate Projection'!$A$11:$G$101,4)*'Monthly Revenue-Usage'!E$8/100)),(VLOOKUP($B34,'Rate Projection'!$A$11:$G$101,4)*('Monthly Revenue-Usage'!E34/100))))</f>
        <v>#REF!</v>
      </c>
      <c r="U34" s="52" t="e">
        <f>IF(AND(F34&gt;F$9, F34&gt;(F$9+F$8),$D34&gt;'RV ERU Connections'!$F$38),U33,IF(F34&gt;F$8,((((VLOOKUP($B34,'Rate Projection'!$A$11:$G$101,3)))*(F34-F$8)/100)+(VLOOKUP($B34,'Rate Projection'!$A$11:$G$101,5)*'Monthly Revenue-Usage'!F$8/100)),(VLOOKUP($B34,'Rate Projection'!$A$11:$G$101,5)*('Monthly Revenue-Usage'!F34/100))))</f>
        <v>#REF!</v>
      </c>
      <c r="V34" s="52" t="e">
        <f>IF(AND(G34&gt;G$9, G34&gt;(G$9+G$8),$D34&gt;'RV ERU Connections'!$F$38),V33,IF(G34&gt;G$8,((((VLOOKUP($B34,'Rate Projection'!$A$11:$G$101,3)))*(G34-G$8)/100)+(VLOOKUP($B34,'Rate Projection'!$A$11:$G$101,5)*'Monthly Revenue-Usage'!G$8/100)),(VLOOKUP($B34,'Rate Projection'!$A$11:$G$101,5)*('Monthly Revenue-Usage'!G34/100))))</f>
        <v>#REF!</v>
      </c>
      <c r="W34" s="52" t="e">
        <f>IF(AND(H34&gt;H$9, H34&gt;(H$9+H$8),$D34&gt;'RV ERU Connections'!$F$38),W33,IF(H34&gt;H$8,((((VLOOKUP($B34,'Rate Projection'!$A$11:$G$101,3)))*(H34-H$8)/100)+(VLOOKUP($B34,'Rate Projection'!$A$11:$G$101,5)*'Monthly Revenue-Usage'!H$8/100)),(VLOOKUP($B34,'Rate Projection'!$A$11:$G$101,5)*('Monthly Revenue-Usage'!H34/100))))</f>
        <v>#REF!</v>
      </c>
      <c r="X34" s="52" t="e">
        <f>IF(AND(I34&gt;I$9, I34&gt;(I$9+I$8),$D34&gt;'RV ERU Connections'!$F$38),X33,IF(I34&gt;I$8,((((VLOOKUP($B34,'Rate Projection'!$A$11:$G$101,3)))*(I34-I$8)/100)+(VLOOKUP($B34,'Rate Projection'!$A$11:$G$101,5)*'Monthly Revenue-Usage'!I$8/100)),(VLOOKUP($B34,'Rate Projection'!$A$11:$G$101,5)*('Monthly Revenue-Usage'!I34/100))))</f>
        <v>#REF!</v>
      </c>
      <c r="Z34" s="53" t="e">
        <f>(-ISPMT('Monthly Revenue-Usage'!$Z$10/12, 1,1*12, Z33)*12)+Z33</f>
        <v>#REF!</v>
      </c>
      <c r="AA34" s="53" t="e">
        <f t="shared" si="7"/>
        <v>#REF!</v>
      </c>
    </row>
    <row r="35" spans="2:27" x14ac:dyDescent="0.3">
      <c r="B35" s="61">
        <f t="shared" si="0"/>
        <v>2033</v>
      </c>
      <c r="C35" s="5" t="e">
        <f t="shared" si="1"/>
        <v>#REF!</v>
      </c>
      <c r="D35" s="5" t="e">
        <f t="shared" si="8"/>
        <v>#REF!</v>
      </c>
      <c r="E35" s="46" t="e">
        <f t="shared" si="2"/>
        <v>#REF!</v>
      </c>
      <c r="F35" s="46" t="e">
        <f t="shared" si="3"/>
        <v>#REF!</v>
      </c>
      <c r="G35" s="46" t="e">
        <f t="shared" si="4"/>
        <v>#REF!</v>
      </c>
      <c r="H35" s="46" t="e">
        <f t="shared" si="5"/>
        <v>#REF!</v>
      </c>
      <c r="I35" s="46" t="e">
        <f t="shared" si="6"/>
        <v>#REF!</v>
      </c>
      <c r="J35" s="53" t="e">
        <f>IF(AND(E35&gt;E$9, $D35&gt;'RV ERU Connections'!$F$37),J34,(VLOOKUP($B35,'Rate Projection'!$A$11:$G$101,2)*(E35/100)))</f>
        <v>#REF!</v>
      </c>
      <c r="K35" s="53" t="e">
        <f>IF(AND(F35&gt;F$9, $D35&gt;'RV ERU Connections'!$F$37),K34,(VLOOKUP($B35,'Rate Projection'!$A$11:$G$101,3)*(F35/100)))</f>
        <v>#REF!</v>
      </c>
      <c r="L35" s="53" t="e">
        <f>IF(AND(G35&gt;G$9, $D35&gt;'RV ERU Connections'!$F$37),L34,(VLOOKUP($B35,'Rate Projection'!$A$11:$G$101,3)*(G35/100)))</f>
        <v>#REF!</v>
      </c>
      <c r="M35" s="53" t="e">
        <f>IF(AND(H35&gt;H$9, $D35&gt;'RV ERU Connections'!$F$37),M34,(VLOOKUP($B35,'Rate Projection'!$A$11:$G$101,3)*(H35/100)))</f>
        <v>#REF!</v>
      </c>
      <c r="N35" s="53" t="e">
        <f>IF(AND(I35&gt;I$9, $D35&gt;'RV ERU Connections'!$F$37),N34,(VLOOKUP($B35,'Rate Projection'!$A$11:$G$101,3)*(I35/100)))</f>
        <v>#REF!</v>
      </c>
      <c r="O35" s="54" t="e">
        <f>IF(AND(E35&gt;E$9, E35&gt;(E$9+E$8),$D35&gt;'RV ERU Connections'!$F$38),O34,IF(E35&gt;E$9,((('Rate Projection'!$C$6+(VLOOKUP($B35,'Rate Projection'!$A$11:$G$101,4)))*(E35-E$9)/100)+(VLOOKUP($B35,'Rate Projection'!$A$11:$G$101,2)*'Monthly Revenue-Usage'!E$9/100)),(VLOOKUP($B35,'Rate Projection'!$A$11:$G$101,2)*('Monthly Revenue-Usage'!E35/100))))</f>
        <v>#REF!</v>
      </c>
      <c r="P35" s="54" t="e">
        <f>IF(AND(F35&gt;F$9, F35&gt;(F$9+F$8),$D35&gt;'RV ERU Connections'!$F$38),P34,IF(F35&gt;F$9,((('Rate Projection'!$C$6+(VLOOKUP($B35,'Rate Projection'!$A$11:$G$101,5)))*(F35-F$9)/100)+(VLOOKUP($B35,'Rate Projection'!$A$11:$G$101,3)*'Monthly Revenue-Usage'!F$9/100)),(VLOOKUP($B35,'Rate Projection'!$A$11:$G$101,3)*('Monthly Revenue-Usage'!F35/100))))</f>
        <v>#REF!</v>
      </c>
      <c r="Q35" s="54" t="e">
        <f>IF(AND(G35&gt;G$9, G35&gt;(G$9+G$8),$D35&gt;'RV ERU Connections'!$F$38),Q34,IF(G35&gt;G$9,((('Rate Projection'!$C$6+(VLOOKUP($B35,'Rate Projection'!$A$11:$G$101,5)))*(G35-G$9)/100)+(VLOOKUP($B35,'Rate Projection'!$A$11:$G$101,3)*'Monthly Revenue-Usage'!G$9/100)),(VLOOKUP($B35,'Rate Projection'!$A$11:$G$101,3)*('Monthly Revenue-Usage'!G35/100))))</f>
        <v>#REF!</v>
      </c>
      <c r="R35" s="54" t="e">
        <f>IF(AND(H35&gt;H$9, H35&gt;(H$9+H$8),$D35&gt;'RV ERU Connections'!$F$38),R34,IF(H35&gt;H$9,((('Rate Projection'!$C$6+(VLOOKUP($B35,'Rate Projection'!$A$11:$G$101,5)))*(H35-H$9)/100)+(VLOOKUP($B35,'Rate Projection'!$A$11:$G$101,3)*'Monthly Revenue-Usage'!H$9/100)),(VLOOKUP($B35,'Rate Projection'!$A$11:$G$101,3)*('Monthly Revenue-Usage'!H35/100))))</f>
        <v>#REF!</v>
      </c>
      <c r="S35" s="54" t="e">
        <f>IF(AND(I35&gt;I$9, I35&gt;(I$9+I$8),$D35&gt;'RV ERU Connections'!$F$38),S34,IF(I35&gt;I$9,((('Rate Projection'!$C$6+(VLOOKUP($B35,'Rate Projection'!$A$11:$G$101,5)))*(I35-I$9)/100)+(VLOOKUP($B35,'Rate Projection'!$A$11:$G$101,3)*'Monthly Revenue-Usage'!I$9/100)),(VLOOKUP($B35,'Rate Projection'!$A$11:$G$101,3)*('Monthly Revenue-Usage'!I35/100))))</f>
        <v>#REF!</v>
      </c>
      <c r="T35" s="52" t="e">
        <f>IF(AND(E35&gt;E$9, E35&gt;(E$9+E$8),$D35&gt;'RV ERU Connections'!$F$38),T34,IF(E35&gt;E$8,((((VLOOKUP($B35,'Rate Projection'!$A$11:$G$101,2)))*(E35-E$8)/100)+(VLOOKUP($B35,'Rate Projection'!$A$11:$G$101,4)*'Monthly Revenue-Usage'!E$8/100)),(VLOOKUP($B35,'Rate Projection'!$A$11:$G$101,4)*('Monthly Revenue-Usage'!E35/100))))</f>
        <v>#REF!</v>
      </c>
      <c r="U35" s="52" t="e">
        <f>IF(AND(F35&gt;F$9, F35&gt;(F$9+F$8),$D35&gt;'RV ERU Connections'!$F$38),U34,IF(F35&gt;F$8,((((VLOOKUP($B35,'Rate Projection'!$A$11:$G$101,3)))*(F35-F$8)/100)+(VLOOKUP($B35,'Rate Projection'!$A$11:$G$101,5)*'Monthly Revenue-Usage'!F$8/100)),(VLOOKUP($B35,'Rate Projection'!$A$11:$G$101,5)*('Monthly Revenue-Usage'!F35/100))))</f>
        <v>#REF!</v>
      </c>
      <c r="V35" s="52" t="e">
        <f>IF(AND(G35&gt;G$9, G35&gt;(G$9+G$8),$D35&gt;'RV ERU Connections'!$F$38),V34,IF(G35&gt;G$8,((((VLOOKUP($B35,'Rate Projection'!$A$11:$G$101,3)))*(G35-G$8)/100)+(VLOOKUP($B35,'Rate Projection'!$A$11:$G$101,5)*'Monthly Revenue-Usage'!G$8/100)),(VLOOKUP($B35,'Rate Projection'!$A$11:$G$101,5)*('Monthly Revenue-Usage'!G35/100))))</f>
        <v>#REF!</v>
      </c>
      <c r="W35" s="52" t="e">
        <f>IF(AND(H35&gt;H$9, H35&gt;(H$9+H$8),$D35&gt;'RV ERU Connections'!$F$38),W34,IF(H35&gt;H$8,((((VLOOKUP($B35,'Rate Projection'!$A$11:$G$101,3)))*(H35-H$8)/100)+(VLOOKUP($B35,'Rate Projection'!$A$11:$G$101,5)*'Monthly Revenue-Usage'!H$8/100)),(VLOOKUP($B35,'Rate Projection'!$A$11:$G$101,5)*('Monthly Revenue-Usage'!H35/100))))</f>
        <v>#REF!</v>
      </c>
      <c r="X35" s="52" t="e">
        <f>IF(AND(I35&gt;I$9, I35&gt;(I$9+I$8),$D35&gt;'RV ERU Connections'!$F$38),X34,IF(I35&gt;I$8,((((VLOOKUP($B35,'Rate Projection'!$A$11:$G$101,3)))*(I35-I$8)/100)+(VLOOKUP($B35,'Rate Projection'!$A$11:$G$101,5)*'Monthly Revenue-Usage'!I$8/100)),(VLOOKUP($B35,'Rate Projection'!$A$11:$G$101,5)*('Monthly Revenue-Usage'!I35/100))))</f>
        <v>#REF!</v>
      </c>
      <c r="Z35" s="53" t="e">
        <f>(-ISPMT('Monthly Revenue-Usage'!$Z$10/12, 1,1*12, Z34)*12)+Z34</f>
        <v>#REF!</v>
      </c>
      <c r="AA35" s="53" t="e">
        <f t="shared" si="7"/>
        <v>#REF!</v>
      </c>
    </row>
    <row r="36" spans="2:27" x14ac:dyDescent="0.3">
      <c r="B36" s="61">
        <f t="shared" si="0"/>
        <v>2034</v>
      </c>
      <c r="C36" s="5" t="e">
        <f t="shared" si="1"/>
        <v>#REF!</v>
      </c>
      <c r="D36" s="5" t="e">
        <f t="shared" si="8"/>
        <v>#REF!</v>
      </c>
      <c r="E36" s="46" t="e">
        <f t="shared" si="2"/>
        <v>#REF!</v>
      </c>
      <c r="F36" s="46" t="e">
        <f t="shared" si="3"/>
        <v>#REF!</v>
      </c>
      <c r="G36" s="46" t="e">
        <f t="shared" si="4"/>
        <v>#REF!</v>
      </c>
      <c r="H36" s="46" t="e">
        <f t="shared" si="5"/>
        <v>#REF!</v>
      </c>
      <c r="I36" s="46" t="e">
        <f t="shared" si="6"/>
        <v>#REF!</v>
      </c>
      <c r="J36" s="53" t="e">
        <f>IF(AND(E36&gt;E$9, $D36&gt;'RV ERU Connections'!$F$37),J35,(VLOOKUP($B36,'Rate Projection'!$A$11:$G$101,2)*(E36/100)))</f>
        <v>#REF!</v>
      </c>
      <c r="K36" s="53" t="e">
        <f>IF(AND(F36&gt;F$9, $D36&gt;'RV ERU Connections'!$F$37),K35,(VLOOKUP($B36,'Rate Projection'!$A$11:$G$101,3)*(F36/100)))</f>
        <v>#REF!</v>
      </c>
      <c r="L36" s="53" t="e">
        <f>IF(AND(G36&gt;G$9, $D36&gt;'RV ERU Connections'!$F$37),L35,(VLOOKUP($B36,'Rate Projection'!$A$11:$G$101,3)*(G36/100)))</f>
        <v>#REF!</v>
      </c>
      <c r="M36" s="53" t="e">
        <f>IF(AND(H36&gt;H$9, $D36&gt;'RV ERU Connections'!$F$37),M35,(VLOOKUP($B36,'Rate Projection'!$A$11:$G$101,3)*(H36/100)))</f>
        <v>#REF!</v>
      </c>
      <c r="N36" s="53" t="e">
        <f>IF(AND(I36&gt;I$9, $D36&gt;'RV ERU Connections'!$F$37),N35,(VLOOKUP($B36,'Rate Projection'!$A$11:$G$101,3)*(I36/100)))</f>
        <v>#REF!</v>
      </c>
      <c r="O36" s="54" t="e">
        <f>IF(AND(E36&gt;E$9, E36&gt;(E$9+E$8),$D36&gt;'RV ERU Connections'!$F$38),O35,IF(E36&gt;E$9,((('Rate Projection'!$C$6+(VLOOKUP($B36,'Rate Projection'!$A$11:$G$101,4)))*(E36-E$9)/100)+(VLOOKUP($B36,'Rate Projection'!$A$11:$G$101,2)*'Monthly Revenue-Usage'!E$9/100)),(VLOOKUP($B36,'Rate Projection'!$A$11:$G$101,2)*('Monthly Revenue-Usage'!E36/100))))</f>
        <v>#REF!</v>
      </c>
      <c r="P36" s="54" t="e">
        <f>IF(AND(F36&gt;F$9, F36&gt;(F$9+F$8),$D36&gt;'RV ERU Connections'!$F$38),P35,IF(F36&gt;F$9,((('Rate Projection'!$C$6+(VLOOKUP($B36,'Rate Projection'!$A$11:$G$101,5)))*(F36-F$9)/100)+(VLOOKUP($B36,'Rate Projection'!$A$11:$G$101,3)*'Monthly Revenue-Usage'!F$9/100)),(VLOOKUP($B36,'Rate Projection'!$A$11:$G$101,3)*('Monthly Revenue-Usage'!F36/100))))</f>
        <v>#REF!</v>
      </c>
      <c r="Q36" s="54" t="e">
        <f>IF(AND(G36&gt;G$9, G36&gt;(G$9+G$8),$D36&gt;'RV ERU Connections'!$F$38),Q35,IF(G36&gt;G$9,((('Rate Projection'!$C$6+(VLOOKUP($B36,'Rate Projection'!$A$11:$G$101,5)))*(G36-G$9)/100)+(VLOOKUP($B36,'Rate Projection'!$A$11:$G$101,3)*'Monthly Revenue-Usage'!G$9/100)),(VLOOKUP($B36,'Rate Projection'!$A$11:$G$101,3)*('Monthly Revenue-Usage'!G36/100))))</f>
        <v>#REF!</v>
      </c>
      <c r="R36" s="54" t="e">
        <f>IF(AND(H36&gt;H$9, H36&gt;(H$9+H$8),$D36&gt;'RV ERU Connections'!$F$38),R35,IF(H36&gt;H$9,((('Rate Projection'!$C$6+(VLOOKUP($B36,'Rate Projection'!$A$11:$G$101,5)))*(H36-H$9)/100)+(VLOOKUP($B36,'Rate Projection'!$A$11:$G$101,3)*'Monthly Revenue-Usage'!H$9/100)),(VLOOKUP($B36,'Rate Projection'!$A$11:$G$101,3)*('Monthly Revenue-Usage'!H36/100))))</f>
        <v>#REF!</v>
      </c>
      <c r="S36" s="54" t="e">
        <f>IF(AND(I36&gt;I$9, I36&gt;(I$9+I$8),$D36&gt;'RV ERU Connections'!$F$38),S35,IF(I36&gt;I$9,((('Rate Projection'!$C$6+(VLOOKUP($B36,'Rate Projection'!$A$11:$G$101,5)))*(I36-I$9)/100)+(VLOOKUP($B36,'Rate Projection'!$A$11:$G$101,3)*'Monthly Revenue-Usage'!I$9/100)),(VLOOKUP($B36,'Rate Projection'!$A$11:$G$101,3)*('Monthly Revenue-Usage'!I36/100))))</f>
        <v>#REF!</v>
      </c>
      <c r="T36" s="52" t="e">
        <f>IF(AND(E36&gt;E$9, E36&gt;(E$9+E$8),$D36&gt;'RV ERU Connections'!$F$38),T35,IF(E36&gt;E$8,((((VLOOKUP($B36,'Rate Projection'!$A$11:$G$101,2)))*(E36-E$8)/100)+(VLOOKUP($B36,'Rate Projection'!$A$11:$G$101,4)*'Monthly Revenue-Usage'!E$8/100)),(VLOOKUP($B36,'Rate Projection'!$A$11:$G$101,4)*('Monthly Revenue-Usage'!E36/100))))</f>
        <v>#REF!</v>
      </c>
      <c r="U36" s="52" t="e">
        <f>IF(AND(F36&gt;F$9, F36&gt;(F$9+F$8),$D36&gt;'RV ERU Connections'!$F$38),U35,IF(F36&gt;F$8,((((VLOOKUP($B36,'Rate Projection'!$A$11:$G$101,3)))*(F36-F$8)/100)+(VLOOKUP($B36,'Rate Projection'!$A$11:$G$101,5)*'Monthly Revenue-Usage'!F$8/100)),(VLOOKUP($B36,'Rate Projection'!$A$11:$G$101,5)*('Monthly Revenue-Usage'!F36/100))))</f>
        <v>#REF!</v>
      </c>
      <c r="V36" s="52" t="e">
        <f>IF(AND(G36&gt;G$9, G36&gt;(G$9+G$8),$D36&gt;'RV ERU Connections'!$F$38),V35,IF(G36&gt;G$8,((((VLOOKUP($B36,'Rate Projection'!$A$11:$G$101,3)))*(G36-G$8)/100)+(VLOOKUP($B36,'Rate Projection'!$A$11:$G$101,5)*'Monthly Revenue-Usage'!G$8/100)),(VLOOKUP($B36,'Rate Projection'!$A$11:$G$101,5)*('Monthly Revenue-Usage'!G36/100))))</f>
        <v>#REF!</v>
      </c>
      <c r="W36" s="52" t="e">
        <f>IF(AND(H36&gt;H$9, H36&gt;(H$9+H$8),$D36&gt;'RV ERU Connections'!$F$38),W35,IF(H36&gt;H$8,((((VLOOKUP($B36,'Rate Projection'!$A$11:$G$101,3)))*(H36-H$8)/100)+(VLOOKUP($B36,'Rate Projection'!$A$11:$G$101,5)*'Monthly Revenue-Usage'!H$8/100)),(VLOOKUP($B36,'Rate Projection'!$A$11:$G$101,5)*('Monthly Revenue-Usage'!H36/100))))</f>
        <v>#REF!</v>
      </c>
      <c r="X36" s="52" t="e">
        <f>IF(AND(I36&gt;I$9, I36&gt;(I$9+I$8),$D36&gt;'RV ERU Connections'!$F$38),X35,IF(I36&gt;I$8,((((VLOOKUP($B36,'Rate Projection'!$A$11:$G$101,3)))*(I36-I$8)/100)+(VLOOKUP($B36,'Rate Projection'!$A$11:$G$101,5)*'Monthly Revenue-Usage'!I$8/100)),(VLOOKUP($B36,'Rate Projection'!$A$11:$G$101,5)*('Monthly Revenue-Usage'!I36/100))))</f>
        <v>#REF!</v>
      </c>
      <c r="Z36" s="53" t="e">
        <f>(-ISPMT('Monthly Revenue-Usage'!$Z$10/12, 1,1*12, Z35)*12)+Z35</f>
        <v>#REF!</v>
      </c>
      <c r="AA36" s="53" t="e">
        <f t="shared" si="7"/>
        <v>#REF!</v>
      </c>
    </row>
    <row r="37" spans="2:27" x14ac:dyDescent="0.3">
      <c r="B37" s="61">
        <f t="shared" si="0"/>
        <v>2035</v>
      </c>
      <c r="C37" s="5" t="e">
        <f t="shared" si="1"/>
        <v>#REF!</v>
      </c>
      <c r="D37" s="5" t="e">
        <f t="shared" si="8"/>
        <v>#REF!</v>
      </c>
      <c r="E37" s="46" t="e">
        <f t="shared" si="2"/>
        <v>#REF!</v>
      </c>
      <c r="F37" s="46" t="e">
        <f t="shared" si="3"/>
        <v>#REF!</v>
      </c>
      <c r="G37" s="46" t="e">
        <f t="shared" si="4"/>
        <v>#REF!</v>
      </c>
      <c r="H37" s="46" t="e">
        <f t="shared" si="5"/>
        <v>#REF!</v>
      </c>
      <c r="I37" s="46" t="e">
        <f t="shared" si="6"/>
        <v>#REF!</v>
      </c>
      <c r="J37" s="53" t="e">
        <f>IF(AND(E37&gt;E$9, $D37&gt;'RV ERU Connections'!$F$37),J36,(VLOOKUP($B37,'Rate Projection'!$A$11:$G$101,2)*(E37/100)))</f>
        <v>#REF!</v>
      </c>
      <c r="K37" s="53" t="e">
        <f>IF(AND(F37&gt;F$9, $D37&gt;'RV ERU Connections'!$F$37),K36,(VLOOKUP($B37,'Rate Projection'!$A$11:$G$101,3)*(F37/100)))</f>
        <v>#REF!</v>
      </c>
      <c r="L37" s="53" t="e">
        <f>IF(AND(G37&gt;G$9, $D37&gt;'RV ERU Connections'!$F$37),L36,(VLOOKUP($B37,'Rate Projection'!$A$11:$G$101,3)*(G37/100)))</f>
        <v>#REF!</v>
      </c>
      <c r="M37" s="53" t="e">
        <f>IF(AND(H37&gt;H$9, $D37&gt;'RV ERU Connections'!$F$37),M36,(VLOOKUP($B37,'Rate Projection'!$A$11:$G$101,3)*(H37/100)))</f>
        <v>#REF!</v>
      </c>
      <c r="N37" s="53" t="e">
        <f>IF(AND(I37&gt;I$9, $D37&gt;'RV ERU Connections'!$F$37),N36,(VLOOKUP($B37,'Rate Projection'!$A$11:$G$101,3)*(I37/100)))</f>
        <v>#REF!</v>
      </c>
      <c r="O37" s="54" t="e">
        <f>IF(AND(E37&gt;E$9, E37&gt;(E$9+E$8),$D37&gt;'RV ERU Connections'!$F$38),O36,IF(E37&gt;E$9,((('Rate Projection'!$C$6+(VLOOKUP($B37,'Rate Projection'!$A$11:$G$101,4)))*(E37-E$9)/100)+(VLOOKUP($B37,'Rate Projection'!$A$11:$G$101,2)*'Monthly Revenue-Usage'!E$9/100)),(VLOOKUP($B37,'Rate Projection'!$A$11:$G$101,2)*('Monthly Revenue-Usage'!E37/100))))</f>
        <v>#REF!</v>
      </c>
      <c r="P37" s="54" t="e">
        <f>IF(AND(F37&gt;F$9, F37&gt;(F$9+F$8),$D37&gt;'RV ERU Connections'!$F$38),P36,IF(F37&gt;F$9,((('Rate Projection'!$C$6+(VLOOKUP($B37,'Rate Projection'!$A$11:$G$101,5)))*(F37-F$9)/100)+(VLOOKUP($B37,'Rate Projection'!$A$11:$G$101,3)*'Monthly Revenue-Usage'!F$9/100)),(VLOOKUP($B37,'Rate Projection'!$A$11:$G$101,3)*('Monthly Revenue-Usage'!F37/100))))</f>
        <v>#REF!</v>
      </c>
      <c r="Q37" s="54" t="e">
        <f>IF(AND(G37&gt;G$9, G37&gt;(G$9+G$8),$D37&gt;'RV ERU Connections'!$F$38),Q36,IF(G37&gt;G$9,((('Rate Projection'!$C$6+(VLOOKUP($B37,'Rate Projection'!$A$11:$G$101,5)))*(G37-G$9)/100)+(VLOOKUP($B37,'Rate Projection'!$A$11:$G$101,3)*'Monthly Revenue-Usage'!G$9/100)),(VLOOKUP($B37,'Rate Projection'!$A$11:$G$101,3)*('Monthly Revenue-Usage'!G37/100))))</f>
        <v>#REF!</v>
      </c>
      <c r="R37" s="54" t="e">
        <f>IF(AND(H37&gt;H$9, H37&gt;(H$9+H$8),$D37&gt;'RV ERU Connections'!$F$38),R36,IF(H37&gt;H$9,((('Rate Projection'!$C$6+(VLOOKUP($B37,'Rate Projection'!$A$11:$G$101,5)))*(H37-H$9)/100)+(VLOOKUP($B37,'Rate Projection'!$A$11:$G$101,3)*'Monthly Revenue-Usage'!H$9/100)),(VLOOKUP($B37,'Rate Projection'!$A$11:$G$101,3)*('Monthly Revenue-Usage'!H37/100))))</f>
        <v>#REF!</v>
      </c>
      <c r="S37" s="54" t="e">
        <f>IF(AND(I37&gt;I$9, I37&gt;(I$9+I$8),$D37&gt;'RV ERU Connections'!$F$38),S36,IF(I37&gt;I$9,((('Rate Projection'!$C$6+(VLOOKUP($B37,'Rate Projection'!$A$11:$G$101,5)))*(I37-I$9)/100)+(VLOOKUP($B37,'Rate Projection'!$A$11:$G$101,3)*'Monthly Revenue-Usage'!I$9/100)),(VLOOKUP($B37,'Rate Projection'!$A$11:$G$101,3)*('Monthly Revenue-Usage'!I37/100))))</f>
        <v>#REF!</v>
      </c>
      <c r="T37" s="52" t="e">
        <f>IF(AND(E37&gt;E$9, E37&gt;(E$9+E$8),$D37&gt;'RV ERU Connections'!$F$38),T36,IF(E37&gt;E$8,((((VLOOKUP($B37,'Rate Projection'!$A$11:$G$101,2)))*(E37-E$8)/100)+(VLOOKUP($B37,'Rate Projection'!$A$11:$G$101,4)*'Monthly Revenue-Usage'!E$8/100)),(VLOOKUP($B37,'Rate Projection'!$A$11:$G$101,4)*('Monthly Revenue-Usage'!E37/100))))</f>
        <v>#REF!</v>
      </c>
      <c r="U37" s="52" t="e">
        <f>IF(AND(F37&gt;F$9, F37&gt;(F$9+F$8),$D37&gt;'RV ERU Connections'!$F$38),U36,IF(F37&gt;F$8,((((VLOOKUP($B37,'Rate Projection'!$A$11:$G$101,3)))*(F37-F$8)/100)+(VLOOKUP($B37,'Rate Projection'!$A$11:$G$101,5)*'Monthly Revenue-Usage'!F$8/100)),(VLOOKUP($B37,'Rate Projection'!$A$11:$G$101,5)*('Monthly Revenue-Usage'!F37/100))))</f>
        <v>#REF!</v>
      </c>
      <c r="V37" s="52" t="e">
        <f>IF(AND(G37&gt;G$9, G37&gt;(G$9+G$8),$D37&gt;'RV ERU Connections'!$F$38),V36,IF(G37&gt;G$8,((((VLOOKUP($B37,'Rate Projection'!$A$11:$G$101,3)))*(G37-G$8)/100)+(VLOOKUP($B37,'Rate Projection'!$A$11:$G$101,5)*'Monthly Revenue-Usage'!G$8/100)),(VLOOKUP($B37,'Rate Projection'!$A$11:$G$101,5)*('Monthly Revenue-Usage'!G37/100))))</f>
        <v>#REF!</v>
      </c>
      <c r="W37" s="52" t="e">
        <f>IF(AND(H37&gt;H$9, H37&gt;(H$9+H$8),$D37&gt;'RV ERU Connections'!$F$38),W36,IF(H37&gt;H$8,((((VLOOKUP($B37,'Rate Projection'!$A$11:$G$101,3)))*(H37-H$8)/100)+(VLOOKUP($B37,'Rate Projection'!$A$11:$G$101,5)*'Monthly Revenue-Usage'!H$8/100)),(VLOOKUP($B37,'Rate Projection'!$A$11:$G$101,5)*('Monthly Revenue-Usage'!H37/100))))</f>
        <v>#REF!</v>
      </c>
      <c r="X37" s="52" t="e">
        <f>IF(AND(I37&gt;I$9, I37&gt;(I$9+I$8),$D37&gt;'RV ERU Connections'!$F$38),X36,IF(I37&gt;I$8,((((VLOOKUP($B37,'Rate Projection'!$A$11:$G$101,3)))*(I37-I$8)/100)+(VLOOKUP($B37,'Rate Projection'!$A$11:$G$101,5)*'Monthly Revenue-Usage'!I$8/100)),(VLOOKUP($B37,'Rate Projection'!$A$11:$G$101,5)*('Monthly Revenue-Usage'!I37/100))))</f>
        <v>#REF!</v>
      </c>
      <c r="Z37" s="53" t="e">
        <f>(-ISPMT('Monthly Revenue-Usage'!$Z$10/12, 1,1*12, Z36)*12)+Z36</f>
        <v>#REF!</v>
      </c>
      <c r="AA37" s="53" t="e">
        <f t="shared" si="7"/>
        <v>#REF!</v>
      </c>
    </row>
    <row r="38" spans="2:27" x14ac:dyDescent="0.3">
      <c r="B38" s="61">
        <f t="shared" si="0"/>
        <v>2036</v>
      </c>
      <c r="C38" s="5" t="e">
        <f t="shared" si="1"/>
        <v>#REF!</v>
      </c>
      <c r="D38" s="5" t="e">
        <f t="shared" si="8"/>
        <v>#REF!</v>
      </c>
      <c r="E38" s="46" t="e">
        <f t="shared" si="2"/>
        <v>#REF!</v>
      </c>
      <c r="F38" s="46" t="e">
        <f t="shared" si="3"/>
        <v>#REF!</v>
      </c>
      <c r="G38" s="46" t="e">
        <f t="shared" si="4"/>
        <v>#REF!</v>
      </c>
      <c r="H38" s="46" t="e">
        <f t="shared" si="5"/>
        <v>#REF!</v>
      </c>
      <c r="I38" s="46" t="e">
        <f t="shared" si="6"/>
        <v>#REF!</v>
      </c>
      <c r="J38" s="53" t="e">
        <f>IF(AND(E38&gt;E$9, $D38&gt;'RV ERU Connections'!$F$37),J37,(VLOOKUP($B38,'Rate Projection'!$A$11:$G$101,2)*(E38/100)))</f>
        <v>#REF!</v>
      </c>
      <c r="K38" s="53" t="e">
        <f>IF(AND(F38&gt;F$9, $D38&gt;'RV ERU Connections'!$F$37),K37,(VLOOKUP($B38,'Rate Projection'!$A$11:$G$101,3)*(F38/100)))</f>
        <v>#REF!</v>
      </c>
      <c r="L38" s="53" t="e">
        <f>IF(AND(G38&gt;G$9, $D38&gt;'RV ERU Connections'!$F$37),L37,(VLOOKUP($B38,'Rate Projection'!$A$11:$G$101,3)*(G38/100)))</f>
        <v>#REF!</v>
      </c>
      <c r="M38" s="53" t="e">
        <f>IF(AND(H38&gt;H$9, $D38&gt;'RV ERU Connections'!$F$37),M37,(VLOOKUP($B38,'Rate Projection'!$A$11:$G$101,3)*(H38/100)))</f>
        <v>#REF!</v>
      </c>
      <c r="N38" s="53" t="e">
        <f>IF(AND(I38&gt;I$9, $D38&gt;'RV ERU Connections'!$F$37),N37,(VLOOKUP($B38,'Rate Projection'!$A$11:$G$101,3)*(I38/100)))</f>
        <v>#REF!</v>
      </c>
      <c r="O38" s="54" t="e">
        <f>IF(AND(E38&gt;E$9, E38&gt;(E$9+E$8),$D38&gt;'RV ERU Connections'!$F$38),O37,IF(E38&gt;E$9,((('Rate Projection'!$C$6+(VLOOKUP($B38,'Rate Projection'!$A$11:$G$101,4)))*(E38-E$9)/100)+(VLOOKUP($B38,'Rate Projection'!$A$11:$G$101,2)*'Monthly Revenue-Usage'!E$9/100)),(VLOOKUP($B38,'Rate Projection'!$A$11:$G$101,2)*('Monthly Revenue-Usage'!E38/100))))</f>
        <v>#REF!</v>
      </c>
      <c r="P38" s="54" t="e">
        <f>IF(AND(F38&gt;F$9, F38&gt;(F$9+F$8),$D38&gt;'RV ERU Connections'!$F$38),P37,IF(F38&gt;F$9,((('Rate Projection'!$C$6+(VLOOKUP($B38,'Rate Projection'!$A$11:$G$101,5)))*(F38-F$9)/100)+(VLOOKUP($B38,'Rate Projection'!$A$11:$G$101,3)*'Monthly Revenue-Usage'!F$9/100)),(VLOOKUP($B38,'Rate Projection'!$A$11:$G$101,3)*('Monthly Revenue-Usage'!F38/100))))</f>
        <v>#REF!</v>
      </c>
      <c r="Q38" s="54" t="e">
        <f>IF(AND(G38&gt;G$9, G38&gt;(G$9+G$8),$D38&gt;'RV ERU Connections'!$F$38),Q37,IF(G38&gt;G$9,((('Rate Projection'!$C$6+(VLOOKUP($B38,'Rate Projection'!$A$11:$G$101,5)))*(G38-G$9)/100)+(VLOOKUP($B38,'Rate Projection'!$A$11:$G$101,3)*'Monthly Revenue-Usage'!G$9/100)),(VLOOKUP($B38,'Rate Projection'!$A$11:$G$101,3)*('Monthly Revenue-Usage'!G38/100))))</f>
        <v>#REF!</v>
      </c>
      <c r="R38" s="54" t="e">
        <f>IF(AND(H38&gt;H$9, H38&gt;(H$9+H$8),$D38&gt;'RV ERU Connections'!$F$38),R37,IF(H38&gt;H$9,((('Rate Projection'!$C$6+(VLOOKUP($B38,'Rate Projection'!$A$11:$G$101,5)))*(H38-H$9)/100)+(VLOOKUP($B38,'Rate Projection'!$A$11:$G$101,3)*'Monthly Revenue-Usage'!H$9/100)),(VLOOKUP($B38,'Rate Projection'!$A$11:$G$101,3)*('Monthly Revenue-Usage'!H38/100))))</f>
        <v>#REF!</v>
      </c>
      <c r="S38" s="54" t="e">
        <f>IF(AND(I38&gt;I$9, I38&gt;(I$9+I$8),$D38&gt;'RV ERU Connections'!$F$38),S37,IF(I38&gt;I$9,((('Rate Projection'!$C$6+(VLOOKUP($B38,'Rate Projection'!$A$11:$G$101,5)))*(I38-I$9)/100)+(VLOOKUP($B38,'Rate Projection'!$A$11:$G$101,3)*'Monthly Revenue-Usage'!I$9/100)),(VLOOKUP($B38,'Rate Projection'!$A$11:$G$101,3)*('Monthly Revenue-Usage'!I38/100))))</f>
        <v>#REF!</v>
      </c>
      <c r="T38" s="52" t="e">
        <f>IF(AND(E38&gt;E$9, E38&gt;(E$9+E$8),$D38&gt;'RV ERU Connections'!$F$38),T37,IF(E38&gt;E$8,((((VLOOKUP($B38,'Rate Projection'!$A$11:$G$101,2)))*(E38-E$8)/100)+(VLOOKUP($B38,'Rate Projection'!$A$11:$G$101,4)*'Monthly Revenue-Usage'!E$8/100)),(VLOOKUP($B38,'Rate Projection'!$A$11:$G$101,4)*('Monthly Revenue-Usage'!E38/100))))</f>
        <v>#REF!</v>
      </c>
      <c r="U38" s="52" t="e">
        <f>IF(AND(F38&gt;F$9, F38&gt;(F$9+F$8),$D38&gt;'RV ERU Connections'!$F$38),U37,IF(F38&gt;F$8,((((VLOOKUP($B38,'Rate Projection'!$A$11:$G$101,3)))*(F38-F$8)/100)+(VLOOKUP($B38,'Rate Projection'!$A$11:$G$101,5)*'Monthly Revenue-Usage'!F$8/100)),(VLOOKUP($B38,'Rate Projection'!$A$11:$G$101,5)*('Monthly Revenue-Usage'!F38/100))))</f>
        <v>#REF!</v>
      </c>
      <c r="V38" s="52" t="e">
        <f>IF(AND(G38&gt;G$9, G38&gt;(G$9+G$8),$D38&gt;'RV ERU Connections'!$F$38),V37,IF(G38&gt;G$8,((((VLOOKUP($B38,'Rate Projection'!$A$11:$G$101,3)))*(G38-G$8)/100)+(VLOOKUP($B38,'Rate Projection'!$A$11:$G$101,5)*'Monthly Revenue-Usage'!G$8/100)),(VLOOKUP($B38,'Rate Projection'!$A$11:$G$101,5)*('Monthly Revenue-Usage'!G38/100))))</f>
        <v>#REF!</v>
      </c>
      <c r="W38" s="52" t="e">
        <f>IF(AND(H38&gt;H$9, H38&gt;(H$9+H$8),$D38&gt;'RV ERU Connections'!$F$38),W37,IF(H38&gt;H$8,((((VLOOKUP($B38,'Rate Projection'!$A$11:$G$101,3)))*(H38-H$8)/100)+(VLOOKUP($B38,'Rate Projection'!$A$11:$G$101,5)*'Monthly Revenue-Usage'!H$8/100)),(VLOOKUP($B38,'Rate Projection'!$A$11:$G$101,5)*('Monthly Revenue-Usage'!H38/100))))</f>
        <v>#REF!</v>
      </c>
      <c r="X38" s="52" t="e">
        <f>IF(AND(I38&gt;I$9, I38&gt;(I$9+I$8),$D38&gt;'RV ERU Connections'!$F$38),X37,IF(I38&gt;I$8,((((VLOOKUP($B38,'Rate Projection'!$A$11:$G$101,3)))*(I38-I$8)/100)+(VLOOKUP($B38,'Rate Projection'!$A$11:$G$101,5)*'Monthly Revenue-Usage'!I$8/100)),(VLOOKUP($B38,'Rate Projection'!$A$11:$G$101,5)*('Monthly Revenue-Usage'!I38/100))))</f>
        <v>#REF!</v>
      </c>
      <c r="Z38" s="53" t="e">
        <f>(-ISPMT('Monthly Revenue-Usage'!$Z$10/12, 1,1*12, Z37)*12)+Z37</f>
        <v>#REF!</v>
      </c>
      <c r="AA38" s="53" t="e">
        <f t="shared" si="7"/>
        <v>#REF!</v>
      </c>
    </row>
    <row r="39" spans="2:27" x14ac:dyDescent="0.3">
      <c r="B39" s="61">
        <f t="shared" si="0"/>
        <v>2037</v>
      </c>
      <c r="C39" s="5" t="e">
        <f t="shared" si="1"/>
        <v>#REF!</v>
      </c>
      <c r="D39" s="5" t="e">
        <f t="shared" si="8"/>
        <v>#REF!</v>
      </c>
      <c r="E39" s="46" t="e">
        <f t="shared" si="2"/>
        <v>#REF!</v>
      </c>
      <c r="F39" s="46" t="e">
        <f t="shared" si="3"/>
        <v>#REF!</v>
      </c>
      <c r="G39" s="46" t="e">
        <f t="shared" si="4"/>
        <v>#REF!</v>
      </c>
      <c r="H39" s="46" t="e">
        <f t="shared" si="5"/>
        <v>#REF!</v>
      </c>
      <c r="I39" s="46" t="e">
        <f t="shared" si="6"/>
        <v>#REF!</v>
      </c>
      <c r="J39" s="53" t="e">
        <f>IF(AND(E39&gt;E$9, $D39&gt;'RV ERU Connections'!$F$37),J38,(VLOOKUP($B39,'Rate Projection'!$A$11:$G$101,2)*(E39/100)))</f>
        <v>#REF!</v>
      </c>
      <c r="K39" s="53" t="e">
        <f>IF(AND(F39&gt;F$9, $D39&gt;'RV ERU Connections'!$F$37),K38,(VLOOKUP($B39,'Rate Projection'!$A$11:$G$101,3)*(F39/100)))</f>
        <v>#REF!</v>
      </c>
      <c r="L39" s="53" t="e">
        <f>IF(AND(G39&gt;G$9, $D39&gt;'RV ERU Connections'!$F$37),L38,(VLOOKUP($B39,'Rate Projection'!$A$11:$G$101,3)*(G39/100)))</f>
        <v>#REF!</v>
      </c>
      <c r="M39" s="53" t="e">
        <f>IF(AND(H39&gt;H$9, $D39&gt;'RV ERU Connections'!$F$37),M38,(VLOOKUP($B39,'Rate Projection'!$A$11:$G$101,3)*(H39/100)))</f>
        <v>#REF!</v>
      </c>
      <c r="N39" s="53" t="e">
        <f>IF(AND(I39&gt;I$9, $D39&gt;'RV ERU Connections'!$F$37),N38,(VLOOKUP($B39,'Rate Projection'!$A$11:$G$101,3)*(I39/100)))</f>
        <v>#REF!</v>
      </c>
      <c r="O39" s="54" t="e">
        <f>IF(AND(E39&gt;E$9, E39&gt;(E$9+E$8),$D39&gt;'RV ERU Connections'!$F$38),O38,IF(E39&gt;E$9,((('Rate Projection'!$C$6+(VLOOKUP($B39,'Rate Projection'!$A$11:$G$101,4)))*(E39-E$9)/100)+(VLOOKUP($B39,'Rate Projection'!$A$11:$G$101,2)*'Monthly Revenue-Usage'!E$9/100)),(VLOOKUP($B39,'Rate Projection'!$A$11:$G$101,2)*('Monthly Revenue-Usage'!E39/100))))</f>
        <v>#REF!</v>
      </c>
      <c r="P39" s="54" t="e">
        <f>IF(AND(F39&gt;F$9, F39&gt;(F$9+F$8),$D39&gt;'RV ERU Connections'!$F$38),P38,IF(F39&gt;F$9,((('Rate Projection'!$C$6+(VLOOKUP($B39,'Rate Projection'!$A$11:$G$101,5)))*(F39-F$9)/100)+(VLOOKUP($B39,'Rate Projection'!$A$11:$G$101,3)*'Monthly Revenue-Usage'!F$9/100)),(VLOOKUP($B39,'Rate Projection'!$A$11:$G$101,3)*('Monthly Revenue-Usage'!F39/100))))</f>
        <v>#REF!</v>
      </c>
      <c r="Q39" s="54" t="e">
        <f>IF(AND(G39&gt;G$9, G39&gt;(G$9+G$8),$D39&gt;'RV ERU Connections'!$F$38),Q38,IF(G39&gt;G$9,((('Rate Projection'!$C$6+(VLOOKUP($B39,'Rate Projection'!$A$11:$G$101,5)))*(G39-G$9)/100)+(VLOOKUP($B39,'Rate Projection'!$A$11:$G$101,3)*'Monthly Revenue-Usage'!G$9/100)),(VLOOKUP($B39,'Rate Projection'!$A$11:$G$101,3)*('Monthly Revenue-Usage'!G39/100))))</f>
        <v>#REF!</v>
      </c>
      <c r="R39" s="54" t="e">
        <f>IF(AND(H39&gt;H$9, H39&gt;(H$9+H$8),$D39&gt;'RV ERU Connections'!$F$38),R38,IF(H39&gt;H$9,((('Rate Projection'!$C$6+(VLOOKUP($B39,'Rate Projection'!$A$11:$G$101,5)))*(H39-H$9)/100)+(VLOOKUP($B39,'Rate Projection'!$A$11:$G$101,3)*'Monthly Revenue-Usage'!H$9/100)),(VLOOKUP($B39,'Rate Projection'!$A$11:$G$101,3)*('Monthly Revenue-Usage'!H39/100))))</f>
        <v>#REF!</v>
      </c>
      <c r="S39" s="54" t="e">
        <f>IF(AND(I39&gt;I$9, I39&gt;(I$9+I$8),$D39&gt;'RV ERU Connections'!$F$38),S38,IF(I39&gt;I$9,((('Rate Projection'!$C$6+(VLOOKUP($B39,'Rate Projection'!$A$11:$G$101,5)))*(I39-I$9)/100)+(VLOOKUP($B39,'Rate Projection'!$A$11:$G$101,3)*'Monthly Revenue-Usage'!I$9/100)),(VLOOKUP($B39,'Rate Projection'!$A$11:$G$101,3)*('Monthly Revenue-Usage'!I39/100))))</f>
        <v>#REF!</v>
      </c>
      <c r="T39" s="52" t="e">
        <f>IF(AND(E39&gt;E$9, E39&gt;(E$9+E$8),$D39&gt;'RV ERU Connections'!$F$38),T38,IF(E39&gt;E$8,((((VLOOKUP($B39,'Rate Projection'!$A$11:$G$101,2)))*(E39-E$8)/100)+(VLOOKUP($B39,'Rate Projection'!$A$11:$G$101,4)*'Monthly Revenue-Usage'!E$8/100)),(VLOOKUP($B39,'Rate Projection'!$A$11:$G$101,4)*('Monthly Revenue-Usage'!E39/100))))</f>
        <v>#REF!</v>
      </c>
      <c r="U39" s="52" t="e">
        <f>IF(AND(F39&gt;F$9, F39&gt;(F$9+F$8),$D39&gt;'RV ERU Connections'!$F$38),U38,IF(F39&gt;F$8,((((VLOOKUP($B39,'Rate Projection'!$A$11:$G$101,3)))*(F39-F$8)/100)+(VLOOKUP($B39,'Rate Projection'!$A$11:$G$101,5)*'Monthly Revenue-Usage'!F$8/100)),(VLOOKUP($B39,'Rate Projection'!$A$11:$G$101,5)*('Monthly Revenue-Usage'!F39/100))))</f>
        <v>#REF!</v>
      </c>
      <c r="V39" s="52" t="e">
        <f>IF(AND(G39&gt;G$9, G39&gt;(G$9+G$8),$D39&gt;'RV ERU Connections'!$F$38),V38,IF(G39&gt;G$8,((((VLOOKUP($B39,'Rate Projection'!$A$11:$G$101,3)))*(G39-G$8)/100)+(VLOOKUP($B39,'Rate Projection'!$A$11:$G$101,5)*'Monthly Revenue-Usage'!G$8/100)),(VLOOKUP($B39,'Rate Projection'!$A$11:$G$101,5)*('Monthly Revenue-Usage'!G39/100))))</f>
        <v>#REF!</v>
      </c>
      <c r="W39" s="52" t="e">
        <f>IF(AND(H39&gt;H$9, H39&gt;(H$9+H$8),$D39&gt;'RV ERU Connections'!$F$38),W38,IF(H39&gt;H$8,((((VLOOKUP($B39,'Rate Projection'!$A$11:$G$101,3)))*(H39-H$8)/100)+(VLOOKUP($B39,'Rate Projection'!$A$11:$G$101,5)*'Monthly Revenue-Usage'!H$8/100)),(VLOOKUP($B39,'Rate Projection'!$A$11:$G$101,5)*('Monthly Revenue-Usage'!H39/100))))</f>
        <v>#REF!</v>
      </c>
      <c r="X39" s="52" t="e">
        <f>IF(AND(I39&gt;I$9, I39&gt;(I$9+I$8),$D39&gt;'RV ERU Connections'!$F$38),X38,IF(I39&gt;I$8,((((VLOOKUP($B39,'Rate Projection'!$A$11:$G$101,3)))*(I39-I$8)/100)+(VLOOKUP($B39,'Rate Projection'!$A$11:$G$101,5)*'Monthly Revenue-Usage'!I$8/100)),(VLOOKUP($B39,'Rate Projection'!$A$11:$G$101,5)*('Monthly Revenue-Usage'!I39/100))))</f>
        <v>#REF!</v>
      </c>
      <c r="Z39" s="53" t="e">
        <f>(-ISPMT('Monthly Revenue-Usage'!$Z$10/12, 1,1*12, Z38)*12)+Z38</f>
        <v>#REF!</v>
      </c>
      <c r="AA39" s="53" t="e">
        <f t="shared" si="7"/>
        <v>#REF!</v>
      </c>
    </row>
    <row r="40" spans="2:27" x14ac:dyDescent="0.3">
      <c r="B40" s="61">
        <f t="shared" si="0"/>
        <v>2038</v>
      </c>
      <c r="C40" s="5" t="e">
        <f t="shared" si="1"/>
        <v>#REF!</v>
      </c>
      <c r="D40" s="5" t="e">
        <f t="shared" si="8"/>
        <v>#REF!</v>
      </c>
      <c r="E40" s="46" t="e">
        <f t="shared" si="2"/>
        <v>#REF!</v>
      </c>
      <c r="F40" s="46" t="e">
        <f t="shared" si="3"/>
        <v>#REF!</v>
      </c>
      <c r="G40" s="46" t="e">
        <f t="shared" si="4"/>
        <v>#REF!</v>
      </c>
      <c r="H40" s="46" t="e">
        <f t="shared" si="5"/>
        <v>#REF!</v>
      </c>
      <c r="I40" s="46" t="e">
        <f t="shared" si="6"/>
        <v>#REF!</v>
      </c>
      <c r="J40" s="53" t="e">
        <f>IF(AND(E40&gt;E$9, $D40&gt;'RV ERU Connections'!$F$37),J39,(VLOOKUP($B40,'Rate Projection'!$A$11:$G$101,2)*(E40/100)))</f>
        <v>#REF!</v>
      </c>
      <c r="K40" s="53" t="e">
        <f>IF(AND(F40&gt;F$9, $D40&gt;'RV ERU Connections'!$F$37),K39,(VLOOKUP($B40,'Rate Projection'!$A$11:$G$101,3)*(F40/100)))</f>
        <v>#REF!</v>
      </c>
      <c r="L40" s="53" t="e">
        <f>IF(AND(G40&gt;G$9, $D40&gt;'RV ERU Connections'!$F$37),L39,(VLOOKUP($B40,'Rate Projection'!$A$11:$G$101,3)*(G40/100)))</f>
        <v>#REF!</v>
      </c>
      <c r="M40" s="53" t="e">
        <f>IF(AND(H40&gt;H$9, $D40&gt;'RV ERU Connections'!$F$37),M39,(VLOOKUP($B40,'Rate Projection'!$A$11:$G$101,3)*(H40/100)))</f>
        <v>#REF!</v>
      </c>
      <c r="N40" s="53" t="e">
        <f>IF(AND(I40&gt;I$9, $D40&gt;'RV ERU Connections'!$F$37),N39,(VLOOKUP($B40,'Rate Projection'!$A$11:$G$101,3)*(I40/100)))</f>
        <v>#REF!</v>
      </c>
      <c r="O40" s="54" t="e">
        <f>IF(AND(E40&gt;E$9, E40&gt;(E$9+E$8),$D40&gt;'RV ERU Connections'!$F$38),O39,IF(E40&gt;E$9,((('Rate Projection'!$C$6+(VLOOKUP($B40,'Rate Projection'!$A$11:$G$101,4)))*(E40-E$9)/100)+(VLOOKUP($B40,'Rate Projection'!$A$11:$G$101,2)*'Monthly Revenue-Usage'!E$9/100)),(VLOOKUP($B40,'Rate Projection'!$A$11:$G$101,2)*('Monthly Revenue-Usage'!E40/100))))</f>
        <v>#REF!</v>
      </c>
      <c r="P40" s="54" t="e">
        <f>IF(AND(F40&gt;F$9, F40&gt;(F$9+F$8),$D40&gt;'RV ERU Connections'!$F$38),P39,IF(F40&gt;F$9,((('Rate Projection'!$C$6+(VLOOKUP($B40,'Rate Projection'!$A$11:$G$101,5)))*(F40-F$9)/100)+(VLOOKUP($B40,'Rate Projection'!$A$11:$G$101,3)*'Monthly Revenue-Usage'!F$9/100)),(VLOOKUP($B40,'Rate Projection'!$A$11:$G$101,3)*('Monthly Revenue-Usage'!F40/100))))</f>
        <v>#REF!</v>
      </c>
      <c r="Q40" s="54" t="e">
        <f>IF(AND(G40&gt;G$9, G40&gt;(G$9+G$8),$D40&gt;'RV ERU Connections'!$F$38),Q39,IF(G40&gt;G$9,((('Rate Projection'!$C$6+(VLOOKUP($B40,'Rate Projection'!$A$11:$G$101,5)))*(G40-G$9)/100)+(VLOOKUP($B40,'Rate Projection'!$A$11:$G$101,3)*'Monthly Revenue-Usage'!G$9/100)),(VLOOKUP($B40,'Rate Projection'!$A$11:$G$101,3)*('Monthly Revenue-Usage'!G40/100))))</f>
        <v>#REF!</v>
      </c>
      <c r="R40" s="54" t="e">
        <f>IF(AND(H40&gt;H$9, H40&gt;(H$9+H$8),$D40&gt;'RV ERU Connections'!$F$38),R39,IF(H40&gt;H$9,((('Rate Projection'!$C$6+(VLOOKUP($B40,'Rate Projection'!$A$11:$G$101,5)))*(H40-H$9)/100)+(VLOOKUP($B40,'Rate Projection'!$A$11:$G$101,3)*'Monthly Revenue-Usage'!H$9/100)),(VLOOKUP($B40,'Rate Projection'!$A$11:$G$101,3)*('Monthly Revenue-Usage'!H40/100))))</f>
        <v>#REF!</v>
      </c>
      <c r="S40" s="54" t="e">
        <f>IF(AND(I40&gt;I$9, I40&gt;(I$9+I$8),$D40&gt;'RV ERU Connections'!$F$38),S39,IF(I40&gt;I$9,((('Rate Projection'!$C$6+(VLOOKUP($B40,'Rate Projection'!$A$11:$G$101,5)))*(I40-I$9)/100)+(VLOOKUP($B40,'Rate Projection'!$A$11:$G$101,3)*'Monthly Revenue-Usage'!I$9/100)),(VLOOKUP($B40,'Rate Projection'!$A$11:$G$101,3)*('Monthly Revenue-Usage'!I40/100))))</f>
        <v>#REF!</v>
      </c>
      <c r="T40" s="52" t="e">
        <f>IF(AND(E40&gt;E$9, E40&gt;(E$9+E$8),$D40&gt;'RV ERU Connections'!$F$38),T39,IF(E40&gt;E$8,((((VLOOKUP($B40,'Rate Projection'!$A$11:$G$101,2)))*(E40-E$8)/100)+(VLOOKUP($B40,'Rate Projection'!$A$11:$G$101,4)*'Monthly Revenue-Usage'!E$8/100)),(VLOOKUP($B40,'Rate Projection'!$A$11:$G$101,4)*('Monthly Revenue-Usage'!E40/100))))</f>
        <v>#REF!</v>
      </c>
      <c r="U40" s="52" t="e">
        <f>IF(AND(F40&gt;F$9, F40&gt;(F$9+F$8),$D40&gt;'RV ERU Connections'!$F$38),U39,IF(F40&gt;F$8,((((VLOOKUP($B40,'Rate Projection'!$A$11:$G$101,3)))*(F40-F$8)/100)+(VLOOKUP($B40,'Rate Projection'!$A$11:$G$101,5)*'Monthly Revenue-Usage'!F$8/100)),(VLOOKUP($B40,'Rate Projection'!$A$11:$G$101,5)*('Monthly Revenue-Usage'!F40/100))))</f>
        <v>#REF!</v>
      </c>
      <c r="V40" s="52" t="e">
        <f>IF(AND(G40&gt;G$9, G40&gt;(G$9+G$8),$D40&gt;'RV ERU Connections'!$F$38),V39,IF(G40&gt;G$8,((((VLOOKUP($B40,'Rate Projection'!$A$11:$G$101,3)))*(G40-G$8)/100)+(VLOOKUP($B40,'Rate Projection'!$A$11:$G$101,5)*'Monthly Revenue-Usage'!G$8/100)),(VLOOKUP($B40,'Rate Projection'!$A$11:$G$101,5)*('Monthly Revenue-Usage'!G40/100))))</f>
        <v>#REF!</v>
      </c>
      <c r="W40" s="52" t="e">
        <f>IF(AND(H40&gt;H$9, H40&gt;(H$9+H$8),$D40&gt;'RV ERU Connections'!$F$38),W39,IF(H40&gt;H$8,((((VLOOKUP($B40,'Rate Projection'!$A$11:$G$101,3)))*(H40-H$8)/100)+(VLOOKUP($B40,'Rate Projection'!$A$11:$G$101,5)*'Monthly Revenue-Usage'!H$8/100)),(VLOOKUP($B40,'Rate Projection'!$A$11:$G$101,5)*('Monthly Revenue-Usage'!H40/100))))</f>
        <v>#REF!</v>
      </c>
      <c r="X40" s="52" t="e">
        <f>IF(AND(I40&gt;I$9, I40&gt;(I$9+I$8),$D40&gt;'RV ERU Connections'!$F$38),X39,IF(I40&gt;I$8,((((VLOOKUP($B40,'Rate Projection'!$A$11:$G$101,3)))*(I40-I$8)/100)+(VLOOKUP($B40,'Rate Projection'!$A$11:$G$101,5)*'Monthly Revenue-Usage'!I$8/100)),(VLOOKUP($B40,'Rate Projection'!$A$11:$G$101,5)*('Monthly Revenue-Usage'!I40/100))))</f>
        <v>#REF!</v>
      </c>
      <c r="Z40" s="53" t="e">
        <f>(-ISPMT('Monthly Revenue-Usage'!$Z$10/12, 1,1*12, Z39)*12)+Z39</f>
        <v>#REF!</v>
      </c>
      <c r="AA40" s="53" t="e">
        <f t="shared" si="7"/>
        <v>#REF!</v>
      </c>
    </row>
    <row r="41" spans="2:27" x14ac:dyDescent="0.3">
      <c r="B41" s="61">
        <f t="shared" si="0"/>
        <v>2039</v>
      </c>
      <c r="C41" s="5" t="e">
        <f t="shared" si="1"/>
        <v>#REF!</v>
      </c>
      <c r="D41" s="5" t="e">
        <f t="shared" si="8"/>
        <v>#REF!</v>
      </c>
      <c r="E41" s="46" t="e">
        <f>E40+(E40*$G$4)</f>
        <v>#REF!</v>
      </c>
      <c r="F41" s="46" t="e">
        <f t="shared" si="3"/>
        <v>#REF!</v>
      </c>
      <c r="G41" s="46" t="e">
        <f t="shared" si="4"/>
        <v>#REF!</v>
      </c>
      <c r="H41" s="46" t="e">
        <f t="shared" si="5"/>
        <v>#REF!</v>
      </c>
      <c r="I41" s="46" t="e">
        <f t="shared" si="6"/>
        <v>#REF!</v>
      </c>
      <c r="J41" s="53" t="e">
        <f>IF(AND(E41&gt;E$9, $D41&gt;'RV ERU Connections'!$F$37),J40,(VLOOKUP($B41,'Rate Projection'!$A$11:$G$101,2)*(E41/100)))</f>
        <v>#REF!</v>
      </c>
      <c r="K41" s="53" t="e">
        <f>IF(AND(F41&gt;F$9, $D41&gt;'RV ERU Connections'!$F$37),K40,(VLOOKUP($B41,'Rate Projection'!$A$11:$G$101,3)*(F41/100)))</f>
        <v>#REF!</v>
      </c>
      <c r="L41" s="53" t="e">
        <f>IF(AND(G41&gt;G$9, $D41&gt;'RV ERU Connections'!$F$37),L40,(VLOOKUP($B41,'Rate Projection'!$A$11:$G$101,3)*(G41/100)))</f>
        <v>#REF!</v>
      </c>
      <c r="M41" s="53" t="e">
        <f>IF(AND(H41&gt;H$9, $D41&gt;'RV ERU Connections'!$F$37),M40,(VLOOKUP($B41,'Rate Projection'!$A$11:$G$101,3)*(H41/100)))</f>
        <v>#REF!</v>
      </c>
      <c r="N41" s="53" t="e">
        <f>IF(AND(I41&gt;I$9, $D41&gt;'RV ERU Connections'!$F$37),N40,(VLOOKUP($B41,'Rate Projection'!$A$11:$G$101,3)*(I41/100)))</f>
        <v>#REF!</v>
      </c>
      <c r="O41" s="54" t="e">
        <f>IF(AND(E41&gt;E$9, E41&gt;(E$9+E$8),$D41&gt;'RV ERU Connections'!$F$38),O40,IF(E41&gt;E$9,((('Rate Projection'!$C$6+(VLOOKUP($B41,'Rate Projection'!$A$11:$G$101,4)))*(E41-E$9)/100)+(VLOOKUP($B41,'Rate Projection'!$A$11:$G$101,2)*'Monthly Revenue-Usage'!E$9/100)),(VLOOKUP($B41,'Rate Projection'!$A$11:$G$101,2)*('Monthly Revenue-Usage'!E41/100))))</f>
        <v>#REF!</v>
      </c>
      <c r="P41" s="54" t="e">
        <f>IF(AND(F41&gt;F$9, F41&gt;(F$9+F$8),$D41&gt;'RV ERU Connections'!$F$38),P40,IF(F41&gt;F$9,((('Rate Projection'!$C$6+(VLOOKUP($B41,'Rate Projection'!$A$11:$G$101,5)))*(F41-F$9)/100)+(VLOOKUP($B41,'Rate Projection'!$A$11:$G$101,3)*'Monthly Revenue-Usage'!F$9/100)),(VLOOKUP($B41,'Rate Projection'!$A$11:$G$101,3)*('Monthly Revenue-Usage'!F41/100))))</f>
        <v>#REF!</v>
      </c>
      <c r="Q41" s="54" t="e">
        <f>IF(AND(G41&gt;G$9, G41&gt;(G$9+G$8),$D41&gt;'RV ERU Connections'!$F$38),Q40,IF(G41&gt;G$9,((('Rate Projection'!$C$6+(VLOOKUP($B41,'Rate Projection'!$A$11:$G$101,5)))*(G41-G$9)/100)+(VLOOKUP($B41,'Rate Projection'!$A$11:$G$101,3)*'Monthly Revenue-Usage'!G$9/100)),(VLOOKUP($B41,'Rate Projection'!$A$11:$G$101,3)*('Monthly Revenue-Usage'!G41/100))))</f>
        <v>#REF!</v>
      </c>
      <c r="R41" s="54" t="e">
        <f>IF(AND(H41&gt;H$9, H41&gt;(H$9+H$8),$D41&gt;'RV ERU Connections'!$F$38),R40,IF(H41&gt;H$9,((('Rate Projection'!$C$6+(VLOOKUP($B41,'Rate Projection'!$A$11:$G$101,5)))*(H41-H$9)/100)+(VLOOKUP($B41,'Rate Projection'!$A$11:$G$101,3)*'Monthly Revenue-Usage'!H$9/100)),(VLOOKUP($B41,'Rate Projection'!$A$11:$G$101,3)*('Monthly Revenue-Usage'!H41/100))))</f>
        <v>#REF!</v>
      </c>
      <c r="S41" s="54" t="e">
        <f>IF(AND(I41&gt;I$9, I41&gt;(I$9+I$8),$D41&gt;'RV ERU Connections'!$F$38),S40,IF(I41&gt;I$9,((('Rate Projection'!$C$6+(VLOOKUP($B41,'Rate Projection'!$A$11:$G$101,5)))*(I41-I$9)/100)+(VLOOKUP($B41,'Rate Projection'!$A$11:$G$101,3)*'Monthly Revenue-Usage'!I$9/100)),(VLOOKUP($B41,'Rate Projection'!$A$11:$G$101,3)*('Monthly Revenue-Usage'!I41/100))))</f>
        <v>#REF!</v>
      </c>
      <c r="T41" s="52" t="e">
        <f>IF(AND(E41&gt;E$9, E41&gt;(E$9+E$8),$D41&gt;'RV ERU Connections'!$F$38),T40,IF(E41&gt;E$8,((((VLOOKUP($B41,'Rate Projection'!$A$11:$G$101,2)))*(E41-E$8)/100)+(VLOOKUP($B41,'Rate Projection'!$A$11:$G$101,4)*'Monthly Revenue-Usage'!E$8/100)),(VLOOKUP($B41,'Rate Projection'!$A$11:$G$101,4)*('Monthly Revenue-Usage'!E41/100))))</f>
        <v>#REF!</v>
      </c>
      <c r="U41" s="52" t="e">
        <f>IF(AND(F41&gt;F$9, F41&gt;(F$9+F$8),$D41&gt;'RV ERU Connections'!$F$38),U40,IF(F41&gt;F$8,((((VLOOKUP($B41,'Rate Projection'!$A$11:$G$101,3)))*(F41-F$8)/100)+(VLOOKUP($B41,'Rate Projection'!$A$11:$G$101,5)*'Monthly Revenue-Usage'!F$8/100)),(VLOOKUP($B41,'Rate Projection'!$A$11:$G$101,5)*('Monthly Revenue-Usage'!F41/100))))</f>
        <v>#REF!</v>
      </c>
      <c r="V41" s="52" t="e">
        <f>IF(AND(G41&gt;G$9, G41&gt;(G$9+G$8),$D41&gt;'RV ERU Connections'!$F$38),V40,IF(G41&gt;G$8,((((VLOOKUP($B41,'Rate Projection'!$A$11:$G$101,3)))*(G41-G$8)/100)+(VLOOKUP($B41,'Rate Projection'!$A$11:$G$101,5)*'Monthly Revenue-Usage'!G$8/100)),(VLOOKUP($B41,'Rate Projection'!$A$11:$G$101,5)*('Monthly Revenue-Usage'!G41/100))))</f>
        <v>#REF!</v>
      </c>
      <c r="W41" s="52" t="e">
        <f>IF(AND(H41&gt;H$9, H41&gt;(H$9+H$8),$D41&gt;'RV ERU Connections'!$F$38),W40,IF(H41&gt;H$8,((((VLOOKUP($B41,'Rate Projection'!$A$11:$G$101,3)))*(H41-H$8)/100)+(VLOOKUP($B41,'Rate Projection'!$A$11:$G$101,5)*'Monthly Revenue-Usage'!H$8/100)),(VLOOKUP($B41,'Rate Projection'!$A$11:$G$101,5)*('Monthly Revenue-Usage'!H41/100))))</f>
        <v>#REF!</v>
      </c>
      <c r="X41" s="52" t="e">
        <f>IF(AND(I41&gt;I$9, I41&gt;(I$9+I$8),$D41&gt;'RV ERU Connections'!$F$38),X40,IF(I41&gt;I$8,((((VLOOKUP($B41,'Rate Projection'!$A$11:$G$101,3)))*(I41-I$8)/100)+(VLOOKUP($B41,'Rate Projection'!$A$11:$G$101,5)*'Monthly Revenue-Usage'!I$8/100)),(VLOOKUP($B41,'Rate Projection'!$A$11:$G$101,5)*('Monthly Revenue-Usage'!I41/100))))</f>
        <v>#REF!</v>
      </c>
      <c r="Z41" s="53" t="e">
        <f>(-ISPMT('Monthly Revenue-Usage'!$Z$10/12, 1,1*12, Z40)*12)+Z40</f>
        <v>#REF!</v>
      </c>
      <c r="AA41" s="53" t="e">
        <f t="shared" si="7"/>
        <v>#REF!</v>
      </c>
    </row>
    <row r="42" spans="2:27" x14ac:dyDescent="0.3">
      <c r="B42" s="61">
        <f t="shared" si="0"/>
        <v>2040</v>
      </c>
      <c r="C42" s="5" t="e">
        <f t="shared" si="1"/>
        <v>#REF!</v>
      </c>
      <c r="D42" s="5" t="e">
        <f t="shared" si="8"/>
        <v>#REF!</v>
      </c>
      <c r="E42" s="46" t="e">
        <f t="shared" ref="E42:E102" si="9">E41+(E41*$G$4)</f>
        <v>#REF!</v>
      </c>
      <c r="F42" s="46" t="e">
        <f t="shared" ref="F42:F102" si="10">F41+(F41*$G$4)</f>
        <v>#REF!</v>
      </c>
      <c r="G42" s="46" t="e">
        <f t="shared" ref="G42:G102" si="11">G41+(G41*$G$4)</f>
        <v>#REF!</v>
      </c>
      <c r="H42" s="46" t="e">
        <f t="shared" ref="H42:H102" si="12">H41+(H41*$G$4)</f>
        <v>#REF!</v>
      </c>
      <c r="I42" s="46" t="e">
        <f t="shared" ref="I42:I102" si="13">I41+(I41*$G$4)</f>
        <v>#REF!</v>
      </c>
      <c r="J42" s="53" t="e">
        <f>IF(AND(E42&gt;E$9, $D42&gt;'RV ERU Connections'!$F$37),J41,(VLOOKUP($B42,'Rate Projection'!$A$11:$G$101,2)*(E42/100)))</f>
        <v>#REF!</v>
      </c>
      <c r="K42" s="53" t="e">
        <f>IF(AND(F42&gt;F$9, $D42&gt;'RV ERU Connections'!$F$37),K41,(VLOOKUP($B42,'Rate Projection'!$A$11:$G$101,3)*(F42/100)))</f>
        <v>#REF!</v>
      </c>
      <c r="L42" s="53" t="e">
        <f>IF(AND(G42&gt;G$9, $D42&gt;'RV ERU Connections'!$F$37),L41,(VLOOKUP($B42,'Rate Projection'!$A$11:$G$101,3)*(G42/100)))</f>
        <v>#REF!</v>
      </c>
      <c r="M42" s="53" t="e">
        <f>IF(AND(H42&gt;H$9, $D42&gt;'RV ERU Connections'!$F$37),M41,(VLOOKUP($B42,'Rate Projection'!$A$11:$G$101,3)*(H42/100)))</f>
        <v>#REF!</v>
      </c>
      <c r="N42" s="53" t="e">
        <f>IF(AND(I42&gt;I$9, $D42&gt;'RV ERU Connections'!$F$37),N41,(VLOOKUP($B42,'Rate Projection'!$A$11:$G$101,3)*(I42/100)))</f>
        <v>#REF!</v>
      </c>
      <c r="O42" s="54" t="e">
        <f>IF(AND(E42&gt;E$9, E42&gt;(E$9+E$8),$D42&gt;'RV ERU Connections'!$F$38),O41,IF(E42&gt;E$9,((('Rate Projection'!$C$6+(VLOOKUP($B42,'Rate Projection'!$A$11:$G$101,4)))*(E42-E$9)/100)+(VLOOKUP($B42,'Rate Projection'!$A$11:$G$101,2)*'Monthly Revenue-Usage'!E$9/100)),(VLOOKUP($B42,'Rate Projection'!$A$11:$G$101,2)*('Monthly Revenue-Usage'!E42/100))))</f>
        <v>#REF!</v>
      </c>
      <c r="P42" s="54" t="e">
        <f>IF(AND(F42&gt;F$9, F42&gt;(F$9+F$8),$D42&gt;'RV ERU Connections'!$F$38),P41,IF(F42&gt;F$9,((('Rate Projection'!$C$6+(VLOOKUP($B42,'Rate Projection'!$A$11:$G$101,5)))*(F42-F$9)/100)+(VLOOKUP($B42,'Rate Projection'!$A$11:$G$101,3)*'Monthly Revenue-Usage'!F$9/100)),(VLOOKUP($B42,'Rate Projection'!$A$11:$G$101,3)*('Monthly Revenue-Usage'!F42/100))))</f>
        <v>#REF!</v>
      </c>
      <c r="Q42" s="54" t="e">
        <f>IF(AND(G42&gt;G$9, G42&gt;(G$9+G$8),$D42&gt;'RV ERU Connections'!$F$38),Q41,IF(G42&gt;G$9,((('Rate Projection'!$C$6+(VLOOKUP($B42,'Rate Projection'!$A$11:$G$101,5)))*(G42-G$9)/100)+(VLOOKUP($B42,'Rate Projection'!$A$11:$G$101,3)*'Monthly Revenue-Usage'!G$9/100)),(VLOOKUP($B42,'Rate Projection'!$A$11:$G$101,3)*('Monthly Revenue-Usage'!G42/100))))</f>
        <v>#REF!</v>
      </c>
      <c r="R42" s="54" t="e">
        <f>IF(AND(H42&gt;H$9, H42&gt;(H$9+H$8),$D42&gt;'RV ERU Connections'!$F$38),R41,IF(H42&gt;H$9,((('Rate Projection'!$C$6+(VLOOKUP($B42,'Rate Projection'!$A$11:$G$101,5)))*(H42-H$9)/100)+(VLOOKUP($B42,'Rate Projection'!$A$11:$G$101,3)*'Monthly Revenue-Usage'!H$9/100)),(VLOOKUP($B42,'Rate Projection'!$A$11:$G$101,3)*('Monthly Revenue-Usage'!H42/100))))</f>
        <v>#REF!</v>
      </c>
      <c r="S42" s="54" t="e">
        <f>IF(AND(I42&gt;I$9, I42&gt;(I$9+I$8),$D42&gt;'RV ERU Connections'!$F$38),S41,IF(I42&gt;I$9,((('Rate Projection'!$C$6+(VLOOKUP($B42,'Rate Projection'!$A$11:$G$101,5)))*(I42-I$9)/100)+(VLOOKUP($B42,'Rate Projection'!$A$11:$G$101,3)*'Monthly Revenue-Usage'!I$9/100)),(VLOOKUP($B42,'Rate Projection'!$A$11:$G$101,3)*('Monthly Revenue-Usage'!I42/100))))</f>
        <v>#REF!</v>
      </c>
      <c r="T42" s="52" t="e">
        <f>IF(AND(E42&gt;E$9, E42&gt;(E$9+E$8),$D42&gt;'RV ERU Connections'!$F$38),T41,IF(E42&gt;E$8,((((VLOOKUP($B42,'Rate Projection'!$A$11:$G$101,2)))*(E42-E$8)/100)+(VLOOKUP($B42,'Rate Projection'!$A$11:$G$101,4)*'Monthly Revenue-Usage'!E$8/100)),(VLOOKUP($B42,'Rate Projection'!$A$11:$G$101,4)*('Monthly Revenue-Usage'!E42/100))))</f>
        <v>#REF!</v>
      </c>
      <c r="U42" s="52" t="e">
        <f>IF(AND(F42&gt;F$9, F42&gt;(F$9+F$8),$D42&gt;'RV ERU Connections'!$F$38),U41,IF(F42&gt;F$8,((((VLOOKUP($B42,'Rate Projection'!$A$11:$G$101,3)))*(F42-F$8)/100)+(VLOOKUP($B42,'Rate Projection'!$A$11:$G$101,5)*'Monthly Revenue-Usage'!F$8/100)),(VLOOKUP($B42,'Rate Projection'!$A$11:$G$101,5)*('Monthly Revenue-Usage'!F42/100))))</f>
        <v>#REF!</v>
      </c>
      <c r="V42" s="52" t="e">
        <f>IF(AND(G42&gt;G$9, G42&gt;(G$9+G$8),$D42&gt;'RV ERU Connections'!$F$38),V41,IF(G42&gt;G$8,((((VLOOKUP($B42,'Rate Projection'!$A$11:$G$101,3)))*(G42-G$8)/100)+(VLOOKUP($B42,'Rate Projection'!$A$11:$G$101,5)*'Monthly Revenue-Usage'!G$8/100)),(VLOOKUP($B42,'Rate Projection'!$A$11:$G$101,5)*('Monthly Revenue-Usage'!G42/100))))</f>
        <v>#REF!</v>
      </c>
      <c r="W42" s="52" t="e">
        <f>IF(AND(H42&gt;H$9, H42&gt;(H$9+H$8),$D42&gt;'RV ERU Connections'!$F$38),W41,IF(H42&gt;H$8,((((VLOOKUP($B42,'Rate Projection'!$A$11:$G$101,3)))*(H42-H$8)/100)+(VLOOKUP($B42,'Rate Projection'!$A$11:$G$101,5)*'Monthly Revenue-Usage'!H$8/100)),(VLOOKUP($B42,'Rate Projection'!$A$11:$G$101,5)*('Monthly Revenue-Usage'!H42/100))))</f>
        <v>#REF!</v>
      </c>
      <c r="X42" s="52" t="e">
        <f>IF(AND(I42&gt;I$9, I42&gt;(I$9+I$8),$D42&gt;'RV ERU Connections'!$F$38),X41,IF(I42&gt;I$8,((((VLOOKUP($B42,'Rate Projection'!$A$11:$G$101,3)))*(I42-I$8)/100)+(VLOOKUP($B42,'Rate Projection'!$A$11:$G$101,5)*'Monthly Revenue-Usage'!I$8/100)),(VLOOKUP($B42,'Rate Projection'!$A$11:$G$101,5)*('Monthly Revenue-Usage'!I42/100))))</f>
        <v>#REF!</v>
      </c>
      <c r="Z42" s="53" t="e">
        <f>(-ISPMT('Monthly Revenue-Usage'!$Z$10/12, 1,1*12, Z41)*12)+Z41</f>
        <v>#REF!</v>
      </c>
      <c r="AA42" s="53" t="e">
        <f t="shared" si="7"/>
        <v>#REF!</v>
      </c>
    </row>
    <row r="43" spans="2:27" x14ac:dyDescent="0.3">
      <c r="B43" s="61">
        <f t="shared" si="0"/>
        <v>2041</v>
      </c>
      <c r="C43" s="5" t="e">
        <f t="shared" si="1"/>
        <v>#REF!</v>
      </c>
      <c r="D43" s="5" t="e">
        <f t="shared" si="8"/>
        <v>#REF!</v>
      </c>
      <c r="E43" s="46" t="e">
        <f t="shared" si="9"/>
        <v>#REF!</v>
      </c>
      <c r="F43" s="46" t="e">
        <f t="shared" si="10"/>
        <v>#REF!</v>
      </c>
      <c r="G43" s="46" t="e">
        <f t="shared" si="11"/>
        <v>#REF!</v>
      </c>
      <c r="H43" s="46" t="e">
        <f t="shared" si="12"/>
        <v>#REF!</v>
      </c>
      <c r="I43" s="46" t="e">
        <f t="shared" si="13"/>
        <v>#REF!</v>
      </c>
      <c r="J43" s="53" t="e">
        <f>IF(AND(E43&gt;E$9, $D43&gt;'RV ERU Connections'!$F$37),J42,(VLOOKUP($B43,'Rate Projection'!$A$11:$G$101,2)*(E43/100)))</f>
        <v>#REF!</v>
      </c>
      <c r="K43" s="53" t="e">
        <f>IF(AND(F43&gt;F$9, $D43&gt;'RV ERU Connections'!$F$37),K42,(VLOOKUP($B43,'Rate Projection'!$A$11:$G$101,3)*(F43/100)))</f>
        <v>#REF!</v>
      </c>
      <c r="L43" s="53" t="e">
        <f>IF(AND(G43&gt;G$9, $D43&gt;'RV ERU Connections'!$F$37),L42,(VLOOKUP($B43,'Rate Projection'!$A$11:$G$101,3)*(G43/100)))</f>
        <v>#REF!</v>
      </c>
      <c r="M43" s="53" t="e">
        <f>IF(AND(H43&gt;H$9, $D43&gt;'RV ERU Connections'!$F$37),M42,(VLOOKUP($B43,'Rate Projection'!$A$11:$G$101,3)*(H43/100)))</f>
        <v>#REF!</v>
      </c>
      <c r="N43" s="53" t="e">
        <f>IF(AND(I43&gt;I$9, $D43&gt;'RV ERU Connections'!$F$37),N42,(VLOOKUP($B43,'Rate Projection'!$A$11:$G$101,3)*(I43/100)))</f>
        <v>#REF!</v>
      </c>
      <c r="O43" s="54" t="e">
        <f>IF(AND(E43&gt;E$9, E43&gt;(E$9+E$8),$D43&gt;'RV ERU Connections'!$F$38),O42,IF(E43&gt;E$9,((('Rate Projection'!$C$6+(VLOOKUP($B43,'Rate Projection'!$A$11:$G$101,4)))*(E43-E$9)/100)+(VLOOKUP($B43,'Rate Projection'!$A$11:$G$101,2)*'Monthly Revenue-Usage'!E$9/100)),(VLOOKUP($B43,'Rate Projection'!$A$11:$G$101,2)*('Monthly Revenue-Usage'!E43/100))))</f>
        <v>#REF!</v>
      </c>
      <c r="P43" s="54" t="e">
        <f>IF(AND(F43&gt;F$9, F43&gt;(F$9+F$8),$D43&gt;'RV ERU Connections'!$F$38),P42,IF(F43&gt;F$9,((('Rate Projection'!$C$6+(VLOOKUP($B43,'Rate Projection'!$A$11:$G$101,5)))*(F43-F$9)/100)+(VLOOKUP($B43,'Rate Projection'!$A$11:$G$101,3)*'Monthly Revenue-Usage'!F$9/100)),(VLOOKUP($B43,'Rate Projection'!$A$11:$G$101,3)*('Monthly Revenue-Usage'!F43/100))))</f>
        <v>#REF!</v>
      </c>
      <c r="Q43" s="54" t="e">
        <f>IF(AND(G43&gt;G$9, G43&gt;(G$9+G$8),$D43&gt;'RV ERU Connections'!$F$38),Q42,IF(G43&gt;G$9,((('Rate Projection'!$C$6+(VLOOKUP($B43,'Rate Projection'!$A$11:$G$101,5)))*(G43-G$9)/100)+(VLOOKUP($B43,'Rate Projection'!$A$11:$G$101,3)*'Monthly Revenue-Usage'!G$9/100)),(VLOOKUP($B43,'Rate Projection'!$A$11:$G$101,3)*('Monthly Revenue-Usage'!G43/100))))</f>
        <v>#REF!</v>
      </c>
      <c r="R43" s="54" t="e">
        <f>IF(AND(H43&gt;H$9, H43&gt;(H$9+H$8),$D43&gt;'RV ERU Connections'!$F$38),R42,IF(H43&gt;H$9,((('Rate Projection'!$C$6+(VLOOKUP($B43,'Rate Projection'!$A$11:$G$101,5)))*(H43-H$9)/100)+(VLOOKUP($B43,'Rate Projection'!$A$11:$G$101,3)*'Monthly Revenue-Usage'!H$9/100)),(VLOOKUP($B43,'Rate Projection'!$A$11:$G$101,3)*('Monthly Revenue-Usage'!H43/100))))</f>
        <v>#REF!</v>
      </c>
      <c r="S43" s="54" t="e">
        <f>IF(AND(I43&gt;I$9, I43&gt;(I$9+I$8),$D43&gt;'RV ERU Connections'!$F$38),S42,IF(I43&gt;I$9,((('Rate Projection'!$C$6+(VLOOKUP($B43,'Rate Projection'!$A$11:$G$101,5)))*(I43-I$9)/100)+(VLOOKUP($B43,'Rate Projection'!$A$11:$G$101,3)*'Monthly Revenue-Usage'!I$9/100)),(VLOOKUP($B43,'Rate Projection'!$A$11:$G$101,3)*('Monthly Revenue-Usage'!I43/100))))</f>
        <v>#REF!</v>
      </c>
      <c r="T43" s="52" t="e">
        <f>IF(AND(E43&gt;E$9, E43&gt;(E$9+E$8),$D43&gt;'RV ERU Connections'!$F$38),T42,IF(E43&gt;E$8,((((VLOOKUP($B43,'Rate Projection'!$A$11:$G$101,2)))*(E43-E$8)/100)+(VLOOKUP($B43,'Rate Projection'!$A$11:$G$101,4)*'Monthly Revenue-Usage'!E$8/100)),(VLOOKUP($B43,'Rate Projection'!$A$11:$G$101,4)*('Monthly Revenue-Usage'!E43/100))))</f>
        <v>#REF!</v>
      </c>
      <c r="U43" s="52" t="e">
        <f>IF(AND(F43&gt;F$9, F43&gt;(F$9+F$8),$D43&gt;'RV ERU Connections'!$F$38),U42,IF(F43&gt;F$8,((((VLOOKUP($B43,'Rate Projection'!$A$11:$G$101,3)))*(F43-F$8)/100)+(VLOOKUP($B43,'Rate Projection'!$A$11:$G$101,5)*'Monthly Revenue-Usage'!F$8/100)),(VLOOKUP($B43,'Rate Projection'!$A$11:$G$101,5)*('Monthly Revenue-Usage'!F43/100))))</f>
        <v>#REF!</v>
      </c>
      <c r="V43" s="52" t="e">
        <f>IF(AND(G43&gt;G$9, G43&gt;(G$9+G$8),$D43&gt;'RV ERU Connections'!$F$38),V42,IF(G43&gt;G$8,((((VLOOKUP($B43,'Rate Projection'!$A$11:$G$101,3)))*(G43-G$8)/100)+(VLOOKUP($B43,'Rate Projection'!$A$11:$G$101,5)*'Monthly Revenue-Usage'!G$8/100)),(VLOOKUP($B43,'Rate Projection'!$A$11:$G$101,5)*('Monthly Revenue-Usage'!G43/100))))</f>
        <v>#REF!</v>
      </c>
      <c r="W43" s="52" t="e">
        <f>IF(AND(H43&gt;H$9, H43&gt;(H$9+H$8),$D43&gt;'RV ERU Connections'!$F$38),W42,IF(H43&gt;H$8,((((VLOOKUP($B43,'Rate Projection'!$A$11:$G$101,3)))*(H43-H$8)/100)+(VLOOKUP($B43,'Rate Projection'!$A$11:$G$101,5)*'Monthly Revenue-Usage'!H$8/100)),(VLOOKUP($B43,'Rate Projection'!$A$11:$G$101,5)*('Monthly Revenue-Usage'!H43/100))))</f>
        <v>#REF!</v>
      </c>
      <c r="X43" s="52" t="e">
        <f>IF(AND(I43&gt;I$9, I43&gt;(I$9+I$8),$D43&gt;'RV ERU Connections'!$F$38),X42,IF(I43&gt;I$8,((((VLOOKUP($B43,'Rate Projection'!$A$11:$G$101,3)))*(I43-I$8)/100)+(VLOOKUP($B43,'Rate Projection'!$A$11:$G$101,5)*'Monthly Revenue-Usage'!I$8/100)),(VLOOKUP($B43,'Rate Projection'!$A$11:$G$101,5)*('Monthly Revenue-Usage'!I43/100))))</f>
        <v>#REF!</v>
      </c>
      <c r="Z43" s="53" t="e">
        <f>(-ISPMT('Monthly Revenue-Usage'!$Z$10/12, 1,1*12, Z42)*12)+Z42</f>
        <v>#REF!</v>
      </c>
      <c r="AA43" s="53" t="e">
        <f t="shared" si="7"/>
        <v>#REF!</v>
      </c>
    </row>
    <row r="44" spans="2:27" x14ac:dyDescent="0.3">
      <c r="B44" s="61">
        <f t="shared" si="0"/>
        <v>2042</v>
      </c>
      <c r="C44" s="5" t="e">
        <f t="shared" si="1"/>
        <v>#REF!</v>
      </c>
      <c r="D44" s="5" t="e">
        <f t="shared" si="8"/>
        <v>#REF!</v>
      </c>
      <c r="E44" s="46" t="e">
        <f t="shared" si="9"/>
        <v>#REF!</v>
      </c>
      <c r="F44" s="46" t="e">
        <f t="shared" si="10"/>
        <v>#REF!</v>
      </c>
      <c r="G44" s="46" t="e">
        <f t="shared" si="11"/>
        <v>#REF!</v>
      </c>
      <c r="H44" s="46" t="e">
        <f t="shared" si="12"/>
        <v>#REF!</v>
      </c>
      <c r="I44" s="46" t="e">
        <f t="shared" si="13"/>
        <v>#REF!</v>
      </c>
      <c r="J44" s="53" t="e">
        <f>IF(AND(E44&gt;E$9, $D44&gt;'RV ERU Connections'!$F$37),J43,(VLOOKUP($B44,'Rate Projection'!$A$11:$G$101,2)*(E44/100)))</f>
        <v>#REF!</v>
      </c>
      <c r="K44" s="53" t="e">
        <f>IF(AND(F44&gt;F$9, $D44&gt;'RV ERU Connections'!$F$37),K43,(VLOOKUP($B44,'Rate Projection'!$A$11:$G$101,3)*(F44/100)))</f>
        <v>#REF!</v>
      </c>
      <c r="L44" s="53" t="e">
        <f>IF(AND(G44&gt;G$9, $D44&gt;'RV ERU Connections'!$F$37),L43,(VLOOKUP($B44,'Rate Projection'!$A$11:$G$101,3)*(G44/100)))</f>
        <v>#REF!</v>
      </c>
      <c r="M44" s="53" t="e">
        <f>IF(AND(H44&gt;H$9, $D44&gt;'RV ERU Connections'!$F$37),M43,(VLOOKUP($B44,'Rate Projection'!$A$11:$G$101,3)*(H44/100)))</f>
        <v>#REF!</v>
      </c>
      <c r="N44" s="53" t="e">
        <f>IF(AND(I44&gt;I$9, $D44&gt;'RV ERU Connections'!$F$37),N43,(VLOOKUP($B44,'Rate Projection'!$A$11:$G$101,3)*(I44/100)))</f>
        <v>#REF!</v>
      </c>
      <c r="O44" s="54" t="e">
        <f>IF(AND(E44&gt;E$9, E44&gt;(E$9+E$8),$D44&gt;'RV ERU Connections'!$F$38),O43,IF(E44&gt;E$9,((('Rate Projection'!$C$6+(VLOOKUP($B44,'Rate Projection'!$A$11:$G$101,4)))*(E44-E$9)/100)+(VLOOKUP($B44,'Rate Projection'!$A$11:$G$101,2)*'Monthly Revenue-Usage'!E$9/100)),(VLOOKUP($B44,'Rate Projection'!$A$11:$G$101,2)*('Monthly Revenue-Usage'!E44/100))))</f>
        <v>#REF!</v>
      </c>
      <c r="P44" s="54" t="e">
        <f>IF(AND(F44&gt;F$9, F44&gt;(F$9+F$8),$D44&gt;'RV ERU Connections'!$F$38),P43,IF(F44&gt;F$9,((('Rate Projection'!$C$6+(VLOOKUP($B44,'Rate Projection'!$A$11:$G$101,5)))*(F44-F$9)/100)+(VLOOKUP($B44,'Rate Projection'!$A$11:$G$101,3)*'Monthly Revenue-Usage'!F$9/100)),(VLOOKUP($B44,'Rate Projection'!$A$11:$G$101,3)*('Monthly Revenue-Usage'!F44/100))))</f>
        <v>#REF!</v>
      </c>
      <c r="Q44" s="54" t="e">
        <f>IF(AND(G44&gt;G$9, G44&gt;(G$9+G$8),$D44&gt;'RV ERU Connections'!$F$38),Q43,IF(G44&gt;G$9,((('Rate Projection'!$C$6+(VLOOKUP($B44,'Rate Projection'!$A$11:$G$101,5)))*(G44-G$9)/100)+(VLOOKUP($B44,'Rate Projection'!$A$11:$G$101,3)*'Monthly Revenue-Usage'!G$9/100)),(VLOOKUP($B44,'Rate Projection'!$A$11:$G$101,3)*('Monthly Revenue-Usage'!G44/100))))</f>
        <v>#REF!</v>
      </c>
      <c r="R44" s="54" t="e">
        <f>IF(AND(H44&gt;H$9, H44&gt;(H$9+H$8),$D44&gt;'RV ERU Connections'!$F$38),R43,IF(H44&gt;H$9,((('Rate Projection'!$C$6+(VLOOKUP($B44,'Rate Projection'!$A$11:$G$101,5)))*(H44-H$9)/100)+(VLOOKUP($B44,'Rate Projection'!$A$11:$G$101,3)*'Monthly Revenue-Usage'!H$9/100)),(VLOOKUP($B44,'Rate Projection'!$A$11:$G$101,3)*('Monthly Revenue-Usage'!H44/100))))</f>
        <v>#REF!</v>
      </c>
      <c r="S44" s="54" t="e">
        <f>IF(AND(I44&gt;I$9, I44&gt;(I$9+I$8),$D44&gt;'RV ERU Connections'!$F$38),S43,IF(I44&gt;I$9,((('Rate Projection'!$C$6+(VLOOKUP($B44,'Rate Projection'!$A$11:$G$101,5)))*(I44-I$9)/100)+(VLOOKUP($B44,'Rate Projection'!$A$11:$G$101,3)*'Monthly Revenue-Usage'!I$9/100)),(VLOOKUP($B44,'Rate Projection'!$A$11:$G$101,3)*('Monthly Revenue-Usage'!I44/100))))</f>
        <v>#REF!</v>
      </c>
      <c r="T44" s="52" t="e">
        <f>IF(AND(E44&gt;E$9, E44&gt;(E$9+E$8),$D44&gt;'RV ERU Connections'!$F$38),T43,IF(E44&gt;E$8,((((VLOOKUP($B44,'Rate Projection'!$A$11:$G$101,2)))*(E44-E$8)/100)+(VLOOKUP($B44,'Rate Projection'!$A$11:$G$101,4)*'Monthly Revenue-Usage'!E$8/100)),(VLOOKUP($B44,'Rate Projection'!$A$11:$G$101,4)*('Monthly Revenue-Usage'!E44/100))))</f>
        <v>#REF!</v>
      </c>
      <c r="U44" s="52" t="e">
        <f>IF(AND(F44&gt;F$9, F44&gt;(F$9+F$8),$D44&gt;'RV ERU Connections'!$F$38),U43,IF(F44&gt;F$8,((((VLOOKUP($B44,'Rate Projection'!$A$11:$G$101,3)))*(F44-F$8)/100)+(VLOOKUP($B44,'Rate Projection'!$A$11:$G$101,5)*'Monthly Revenue-Usage'!F$8/100)),(VLOOKUP($B44,'Rate Projection'!$A$11:$G$101,5)*('Monthly Revenue-Usage'!F44/100))))</f>
        <v>#REF!</v>
      </c>
      <c r="V44" s="52" t="e">
        <f>IF(AND(G44&gt;G$9, G44&gt;(G$9+G$8),$D44&gt;'RV ERU Connections'!$F$38),V43,IF(G44&gt;G$8,((((VLOOKUP($B44,'Rate Projection'!$A$11:$G$101,3)))*(G44-G$8)/100)+(VLOOKUP($B44,'Rate Projection'!$A$11:$G$101,5)*'Monthly Revenue-Usage'!G$8/100)),(VLOOKUP($B44,'Rate Projection'!$A$11:$G$101,5)*('Monthly Revenue-Usage'!G44/100))))</f>
        <v>#REF!</v>
      </c>
      <c r="W44" s="52" t="e">
        <f>IF(AND(H44&gt;H$9, H44&gt;(H$9+H$8),$D44&gt;'RV ERU Connections'!$F$38),W43,IF(H44&gt;H$8,((((VLOOKUP($B44,'Rate Projection'!$A$11:$G$101,3)))*(H44-H$8)/100)+(VLOOKUP($B44,'Rate Projection'!$A$11:$G$101,5)*'Monthly Revenue-Usage'!H$8/100)),(VLOOKUP($B44,'Rate Projection'!$A$11:$G$101,5)*('Monthly Revenue-Usage'!H44/100))))</f>
        <v>#REF!</v>
      </c>
      <c r="X44" s="52" t="e">
        <f>IF(AND(I44&gt;I$9, I44&gt;(I$9+I$8),$D44&gt;'RV ERU Connections'!$F$38),X43,IF(I44&gt;I$8,((((VLOOKUP($B44,'Rate Projection'!$A$11:$G$101,3)))*(I44-I$8)/100)+(VLOOKUP($B44,'Rate Projection'!$A$11:$G$101,5)*'Monthly Revenue-Usage'!I$8/100)),(VLOOKUP($B44,'Rate Projection'!$A$11:$G$101,5)*('Monthly Revenue-Usage'!I44/100))))</f>
        <v>#REF!</v>
      </c>
      <c r="Z44" s="53" t="e">
        <f>(-ISPMT('Monthly Revenue-Usage'!$Z$10/12, 1,1*12, Z43)*12)+Z43</f>
        <v>#REF!</v>
      </c>
      <c r="AA44" s="53" t="e">
        <f t="shared" si="7"/>
        <v>#REF!</v>
      </c>
    </row>
    <row r="45" spans="2:27" x14ac:dyDescent="0.3">
      <c r="B45" s="61">
        <f t="shared" si="0"/>
        <v>2043</v>
      </c>
      <c r="C45" s="5" t="e">
        <f t="shared" si="1"/>
        <v>#REF!</v>
      </c>
      <c r="D45" s="5" t="e">
        <f t="shared" si="8"/>
        <v>#REF!</v>
      </c>
      <c r="E45" s="46" t="e">
        <f t="shared" si="9"/>
        <v>#REF!</v>
      </c>
      <c r="F45" s="46" t="e">
        <f t="shared" si="10"/>
        <v>#REF!</v>
      </c>
      <c r="G45" s="46" t="e">
        <f t="shared" si="11"/>
        <v>#REF!</v>
      </c>
      <c r="H45" s="46" t="e">
        <f t="shared" si="12"/>
        <v>#REF!</v>
      </c>
      <c r="I45" s="46" t="e">
        <f t="shared" si="13"/>
        <v>#REF!</v>
      </c>
      <c r="J45" s="53" t="e">
        <f>IF(AND(E45&gt;E$9, $D45&gt;'RV ERU Connections'!$F$37),J44,(VLOOKUP($B45,'Rate Projection'!$A$11:$G$101,2)*(E45/100)))</f>
        <v>#REF!</v>
      </c>
      <c r="K45" s="53" t="e">
        <f>IF(AND(F45&gt;F$9, $D45&gt;'RV ERU Connections'!$F$37),K44,(VLOOKUP($B45,'Rate Projection'!$A$11:$G$101,3)*(F45/100)))</f>
        <v>#REF!</v>
      </c>
      <c r="L45" s="53" t="e">
        <f>IF(AND(G45&gt;G$9, $D45&gt;'RV ERU Connections'!$F$37),L44,(VLOOKUP($B45,'Rate Projection'!$A$11:$G$101,3)*(G45/100)))</f>
        <v>#REF!</v>
      </c>
      <c r="M45" s="53" t="e">
        <f>IF(AND(H45&gt;H$9, $D45&gt;'RV ERU Connections'!$F$37),M44,(VLOOKUP($B45,'Rate Projection'!$A$11:$G$101,3)*(H45/100)))</f>
        <v>#REF!</v>
      </c>
      <c r="N45" s="53" t="e">
        <f>IF(AND(I45&gt;I$9, $D45&gt;'RV ERU Connections'!$F$37),N44,(VLOOKUP($B45,'Rate Projection'!$A$11:$G$101,3)*(I45/100)))</f>
        <v>#REF!</v>
      </c>
      <c r="O45" s="54" t="e">
        <f>IF(AND(E45&gt;E$9, E45&gt;(E$9+E$8),$D45&gt;'RV ERU Connections'!$F$38),O44,IF(E45&gt;E$9,((('Rate Projection'!$C$6+(VLOOKUP($B45,'Rate Projection'!$A$11:$G$101,4)))*(E45-E$9)/100)+(VLOOKUP($B45,'Rate Projection'!$A$11:$G$101,2)*'Monthly Revenue-Usage'!E$9/100)),(VLOOKUP($B45,'Rate Projection'!$A$11:$G$101,2)*('Monthly Revenue-Usage'!E45/100))))</f>
        <v>#REF!</v>
      </c>
      <c r="P45" s="54" t="e">
        <f>IF(AND(F45&gt;F$9, F45&gt;(F$9+F$8),$D45&gt;'RV ERU Connections'!$F$38),P44,IF(F45&gt;F$9,((('Rate Projection'!$C$6+(VLOOKUP($B45,'Rate Projection'!$A$11:$G$101,5)))*(F45-F$9)/100)+(VLOOKUP($B45,'Rate Projection'!$A$11:$G$101,3)*'Monthly Revenue-Usage'!F$9/100)),(VLOOKUP($B45,'Rate Projection'!$A$11:$G$101,3)*('Monthly Revenue-Usage'!F45/100))))</f>
        <v>#REF!</v>
      </c>
      <c r="Q45" s="54" t="e">
        <f>IF(AND(G45&gt;G$9, G45&gt;(G$9+G$8),$D45&gt;'RV ERU Connections'!$F$38),Q44,IF(G45&gt;G$9,((('Rate Projection'!$C$6+(VLOOKUP($B45,'Rate Projection'!$A$11:$G$101,5)))*(G45-G$9)/100)+(VLOOKUP($B45,'Rate Projection'!$A$11:$G$101,3)*'Monthly Revenue-Usage'!G$9/100)),(VLOOKUP($B45,'Rate Projection'!$A$11:$G$101,3)*('Monthly Revenue-Usage'!G45/100))))</f>
        <v>#REF!</v>
      </c>
      <c r="R45" s="54" t="e">
        <f>IF(AND(H45&gt;H$9, H45&gt;(H$9+H$8),$D45&gt;'RV ERU Connections'!$F$38),R44,IF(H45&gt;H$9,((('Rate Projection'!$C$6+(VLOOKUP($B45,'Rate Projection'!$A$11:$G$101,5)))*(H45-H$9)/100)+(VLOOKUP($B45,'Rate Projection'!$A$11:$G$101,3)*'Monthly Revenue-Usage'!H$9/100)),(VLOOKUP($B45,'Rate Projection'!$A$11:$G$101,3)*('Monthly Revenue-Usage'!H45/100))))</f>
        <v>#REF!</v>
      </c>
      <c r="S45" s="54" t="e">
        <f>IF(AND(I45&gt;I$9, I45&gt;(I$9+I$8),$D45&gt;'RV ERU Connections'!$F$38),S44,IF(I45&gt;I$9,((('Rate Projection'!$C$6+(VLOOKUP($B45,'Rate Projection'!$A$11:$G$101,5)))*(I45-I$9)/100)+(VLOOKUP($B45,'Rate Projection'!$A$11:$G$101,3)*'Monthly Revenue-Usage'!I$9/100)),(VLOOKUP($B45,'Rate Projection'!$A$11:$G$101,3)*('Monthly Revenue-Usage'!I45/100))))</f>
        <v>#REF!</v>
      </c>
      <c r="T45" s="52" t="e">
        <f>IF(AND(E45&gt;E$9, E45&gt;(E$9+E$8),$D45&gt;'RV ERU Connections'!$F$38),T44,IF(E45&gt;E$8,((((VLOOKUP($B45,'Rate Projection'!$A$11:$G$101,2)))*(E45-E$8)/100)+(VLOOKUP($B45,'Rate Projection'!$A$11:$G$101,4)*'Monthly Revenue-Usage'!E$8/100)),(VLOOKUP($B45,'Rate Projection'!$A$11:$G$101,4)*('Monthly Revenue-Usage'!E45/100))))</f>
        <v>#REF!</v>
      </c>
      <c r="U45" s="52" t="e">
        <f>IF(AND(F45&gt;F$9, F45&gt;(F$9+F$8),$D45&gt;'RV ERU Connections'!$F$38),U44,IF(F45&gt;F$8,((((VLOOKUP($B45,'Rate Projection'!$A$11:$G$101,3)))*(F45-F$8)/100)+(VLOOKUP($B45,'Rate Projection'!$A$11:$G$101,5)*'Monthly Revenue-Usage'!F$8/100)),(VLOOKUP($B45,'Rate Projection'!$A$11:$G$101,5)*('Monthly Revenue-Usage'!F45/100))))</f>
        <v>#REF!</v>
      </c>
      <c r="V45" s="52" t="e">
        <f>IF(AND(G45&gt;G$9, G45&gt;(G$9+G$8),$D45&gt;'RV ERU Connections'!$F$38),V44,IF(G45&gt;G$8,((((VLOOKUP($B45,'Rate Projection'!$A$11:$G$101,3)))*(G45-G$8)/100)+(VLOOKUP($B45,'Rate Projection'!$A$11:$G$101,5)*'Monthly Revenue-Usage'!G$8/100)),(VLOOKUP($B45,'Rate Projection'!$A$11:$G$101,5)*('Monthly Revenue-Usage'!G45/100))))</f>
        <v>#REF!</v>
      </c>
      <c r="W45" s="52" t="e">
        <f>IF(AND(H45&gt;H$9, H45&gt;(H$9+H$8),$D45&gt;'RV ERU Connections'!$F$38),W44,IF(H45&gt;H$8,((((VLOOKUP($B45,'Rate Projection'!$A$11:$G$101,3)))*(H45-H$8)/100)+(VLOOKUP($B45,'Rate Projection'!$A$11:$G$101,5)*'Monthly Revenue-Usage'!H$8/100)),(VLOOKUP($B45,'Rate Projection'!$A$11:$G$101,5)*('Monthly Revenue-Usage'!H45/100))))</f>
        <v>#REF!</v>
      </c>
      <c r="X45" s="52" t="e">
        <f>IF(AND(I45&gt;I$9, I45&gt;(I$9+I$8),$D45&gt;'RV ERU Connections'!$F$38),X44,IF(I45&gt;I$8,((((VLOOKUP($B45,'Rate Projection'!$A$11:$G$101,3)))*(I45-I$8)/100)+(VLOOKUP($B45,'Rate Projection'!$A$11:$G$101,5)*'Monthly Revenue-Usage'!I$8/100)),(VLOOKUP($B45,'Rate Projection'!$A$11:$G$101,5)*('Monthly Revenue-Usage'!I45/100))))</f>
        <v>#REF!</v>
      </c>
      <c r="Z45" s="53" t="e">
        <f>(-ISPMT('Monthly Revenue-Usage'!$Z$10/12, 1,1*12, Z44)*12)+Z44</f>
        <v>#REF!</v>
      </c>
      <c r="AA45" s="53" t="e">
        <f t="shared" si="7"/>
        <v>#REF!</v>
      </c>
    </row>
    <row r="46" spans="2:27" x14ac:dyDescent="0.3">
      <c r="B46" s="61">
        <f t="shared" si="0"/>
        <v>2044</v>
      </c>
      <c r="C46" s="5" t="e">
        <f t="shared" si="1"/>
        <v>#REF!</v>
      </c>
      <c r="D46" s="5" t="e">
        <f t="shared" si="8"/>
        <v>#REF!</v>
      </c>
      <c r="E46" s="46" t="e">
        <f t="shared" si="9"/>
        <v>#REF!</v>
      </c>
      <c r="F46" s="46" t="e">
        <f t="shared" si="10"/>
        <v>#REF!</v>
      </c>
      <c r="G46" s="46" t="e">
        <f t="shared" si="11"/>
        <v>#REF!</v>
      </c>
      <c r="H46" s="46" t="e">
        <f t="shared" si="12"/>
        <v>#REF!</v>
      </c>
      <c r="I46" s="46" t="e">
        <f t="shared" si="13"/>
        <v>#REF!</v>
      </c>
      <c r="J46" s="53" t="e">
        <f>IF(AND(E46&gt;E$9, $D46&gt;'RV ERU Connections'!$F$37),J45,(VLOOKUP($B46,'Rate Projection'!$A$11:$G$101,2)*(E46/100)))</f>
        <v>#REF!</v>
      </c>
      <c r="K46" s="53" t="e">
        <f>IF(AND(F46&gt;F$9, $D46&gt;'RV ERU Connections'!$F$37),K45,(VLOOKUP($B46,'Rate Projection'!$A$11:$G$101,3)*(F46/100)))</f>
        <v>#REF!</v>
      </c>
      <c r="L46" s="53" t="e">
        <f>IF(AND(G46&gt;G$9, $D46&gt;'RV ERU Connections'!$F$37),L45,(VLOOKUP($B46,'Rate Projection'!$A$11:$G$101,3)*(G46/100)))</f>
        <v>#REF!</v>
      </c>
      <c r="M46" s="53" t="e">
        <f>IF(AND(H46&gt;H$9, $D46&gt;'RV ERU Connections'!$F$37),M45,(VLOOKUP($B46,'Rate Projection'!$A$11:$G$101,3)*(H46/100)))</f>
        <v>#REF!</v>
      </c>
      <c r="N46" s="53" t="e">
        <f>IF(AND(I46&gt;I$9, $D46&gt;'RV ERU Connections'!$F$37),N45,(VLOOKUP($B46,'Rate Projection'!$A$11:$G$101,3)*(I46/100)))</f>
        <v>#REF!</v>
      </c>
      <c r="O46" s="54" t="e">
        <f>IF(AND(E46&gt;E$9, E46&gt;(E$9+E$8),$D46&gt;'RV ERU Connections'!$F$38),O45,IF(E46&gt;E$9,((('Rate Projection'!$C$6+(VLOOKUP($B46,'Rate Projection'!$A$11:$G$101,4)))*(E46-E$9)/100)+(VLOOKUP($B46,'Rate Projection'!$A$11:$G$101,2)*'Monthly Revenue-Usage'!E$9/100)),(VLOOKUP($B46,'Rate Projection'!$A$11:$G$101,2)*('Monthly Revenue-Usage'!E46/100))))</f>
        <v>#REF!</v>
      </c>
      <c r="P46" s="54" t="e">
        <f>IF(AND(F46&gt;F$9, F46&gt;(F$9+F$8),$D46&gt;'RV ERU Connections'!$F$38),P45,IF(F46&gt;F$9,((('Rate Projection'!$C$6+(VLOOKUP($B46,'Rate Projection'!$A$11:$G$101,5)))*(F46-F$9)/100)+(VLOOKUP($B46,'Rate Projection'!$A$11:$G$101,3)*'Monthly Revenue-Usage'!F$9/100)),(VLOOKUP($B46,'Rate Projection'!$A$11:$G$101,3)*('Monthly Revenue-Usage'!F46/100))))</f>
        <v>#REF!</v>
      </c>
      <c r="Q46" s="54" t="e">
        <f>IF(AND(G46&gt;G$9, G46&gt;(G$9+G$8),$D46&gt;'RV ERU Connections'!$F$38),Q45,IF(G46&gt;G$9,((('Rate Projection'!$C$6+(VLOOKUP($B46,'Rate Projection'!$A$11:$G$101,5)))*(G46-G$9)/100)+(VLOOKUP($B46,'Rate Projection'!$A$11:$G$101,3)*'Monthly Revenue-Usage'!G$9/100)),(VLOOKUP($B46,'Rate Projection'!$A$11:$G$101,3)*('Monthly Revenue-Usage'!G46/100))))</f>
        <v>#REF!</v>
      </c>
      <c r="R46" s="54" t="e">
        <f>IF(AND(H46&gt;H$9, H46&gt;(H$9+H$8),$D46&gt;'RV ERU Connections'!$F$38),R45,IF(H46&gt;H$9,((('Rate Projection'!$C$6+(VLOOKUP($B46,'Rate Projection'!$A$11:$G$101,5)))*(H46-H$9)/100)+(VLOOKUP($B46,'Rate Projection'!$A$11:$G$101,3)*'Monthly Revenue-Usage'!H$9/100)),(VLOOKUP($B46,'Rate Projection'!$A$11:$G$101,3)*('Monthly Revenue-Usage'!H46/100))))</f>
        <v>#REF!</v>
      </c>
      <c r="S46" s="54" t="e">
        <f>IF(AND(I46&gt;I$9, I46&gt;(I$9+I$8),$D46&gt;'RV ERU Connections'!$F$38),S45,IF(I46&gt;I$9,((('Rate Projection'!$C$6+(VLOOKUP($B46,'Rate Projection'!$A$11:$G$101,5)))*(I46-I$9)/100)+(VLOOKUP($B46,'Rate Projection'!$A$11:$G$101,3)*'Monthly Revenue-Usage'!I$9/100)),(VLOOKUP($B46,'Rate Projection'!$A$11:$G$101,3)*('Monthly Revenue-Usage'!I46/100))))</f>
        <v>#REF!</v>
      </c>
      <c r="T46" s="52" t="e">
        <f>IF(AND(E46&gt;E$9, E46&gt;(E$9+E$8),$D46&gt;'RV ERU Connections'!$F$38),T45,IF(E46&gt;E$8,((((VLOOKUP($B46,'Rate Projection'!$A$11:$G$101,2)))*(E46-E$8)/100)+(VLOOKUP($B46,'Rate Projection'!$A$11:$G$101,4)*'Monthly Revenue-Usage'!E$8/100)),(VLOOKUP($B46,'Rate Projection'!$A$11:$G$101,4)*('Monthly Revenue-Usage'!E46/100))))</f>
        <v>#REF!</v>
      </c>
      <c r="U46" s="52" t="e">
        <f>IF(AND(F46&gt;F$9, F46&gt;(F$9+F$8),$D46&gt;'RV ERU Connections'!$F$38),U45,IF(F46&gt;F$8,((((VLOOKUP($B46,'Rate Projection'!$A$11:$G$101,3)))*(F46-F$8)/100)+(VLOOKUP($B46,'Rate Projection'!$A$11:$G$101,5)*'Monthly Revenue-Usage'!F$8/100)),(VLOOKUP($B46,'Rate Projection'!$A$11:$G$101,5)*('Monthly Revenue-Usage'!F46/100))))</f>
        <v>#REF!</v>
      </c>
      <c r="V46" s="52" t="e">
        <f>IF(AND(G46&gt;G$9, G46&gt;(G$9+G$8),$D46&gt;'RV ERU Connections'!$F$38),V45,IF(G46&gt;G$8,((((VLOOKUP($B46,'Rate Projection'!$A$11:$G$101,3)))*(G46-G$8)/100)+(VLOOKUP($B46,'Rate Projection'!$A$11:$G$101,5)*'Monthly Revenue-Usage'!G$8/100)),(VLOOKUP($B46,'Rate Projection'!$A$11:$G$101,5)*('Monthly Revenue-Usage'!G46/100))))</f>
        <v>#REF!</v>
      </c>
      <c r="W46" s="52" t="e">
        <f>IF(AND(H46&gt;H$9, H46&gt;(H$9+H$8),$D46&gt;'RV ERU Connections'!$F$38),W45,IF(H46&gt;H$8,((((VLOOKUP($B46,'Rate Projection'!$A$11:$G$101,3)))*(H46-H$8)/100)+(VLOOKUP($B46,'Rate Projection'!$A$11:$G$101,5)*'Monthly Revenue-Usage'!H$8/100)),(VLOOKUP($B46,'Rate Projection'!$A$11:$G$101,5)*('Monthly Revenue-Usage'!H46/100))))</f>
        <v>#REF!</v>
      </c>
      <c r="X46" s="52" t="e">
        <f>IF(AND(I46&gt;I$9, I46&gt;(I$9+I$8),$D46&gt;'RV ERU Connections'!$F$38),X45,IF(I46&gt;I$8,((((VLOOKUP($B46,'Rate Projection'!$A$11:$G$101,3)))*(I46-I$8)/100)+(VLOOKUP($B46,'Rate Projection'!$A$11:$G$101,5)*'Monthly Revenue-Usage'!I$8/100)),(VLOOKUP($B46,'Rate Projection'!$A$11:$G$101,5)*('Monthly Revenue-Usage'!I46/100))))</f>
        <v>#REF!</v>
      </c>
      <c r="Z46" s="53" t="e">
        <f>(-ISPMT('Monthly Revenue-Usage'!$Z$10/12, 1,1*12, Z45)*12)+Z45</f>
        <v>#REF!</v>
      </c>
      <c r="AA46" s="53" t="e">
        <f t="shared" si="7"/>
        <v>#REF!</v>
      </c>
    </row>
    <row r="47" spans="2:27" x14ac:dyDescent="0.3">
      <c r="B47" s="61">
        <f t="shared" si="0"/>
        <v>2045</v>
      </c>
      <c r="C47" s="5" t="e">
        <f t="shared" si="1"/>
        <v>#REF!</v>
      </c>
      <c r="D47" s="5" t="e">
        <f t="shared" si="8"/>
        <v>#REF!</v>
      </c>
      <c r="E47" s="46" t="e">
        <f t="shared" si="9"/>
        <v>#REF!</v>
      </c>
      <c r="F47" s="46" t="e">
        <f t="shared" si="10"/>
        <v>#REF!</v>
      </c>
      <c r="G47" s="46" t="e">
        <f t="shared" si="11"/>
        <v>#REF!</v>
      </c>
      <c r="H47" s="46" t="e">
        <f t="shared" si="12"/>
        <v>#REF!</v>
      </c>
      <c r="I47" s="46" t="e">
        <f t="shared" si="13"/>
        <v>#REF!</v>
      </c>
      <c r="J47" s="53" t="e">
        <f>IF(AND(E47&gt;E$9, $D47&gt;'RV ERU Connections'!$F$37),J46,(VLOOKUP($B47,'Rate Projection'!$A$11:$G$101,2)*(E47/100)))</f>
        <v>#REF!</v>
      </c>
      <c r="K47" s="53" t="e">
        <f>IF(AND(F47&gt;F$9, $D47&gt;'RV ERU Connections'!$F$37),K46,(VLOOKUP($B47,'Rate Projection'!$A$11:$G$101,3)*(F47/100)))</f>
        <v>#REF!</v>
      </c>
      <c r="L47" s="53" t="e">
        <f>IF(AND(G47&gt;G$9, $D47&gt;'RV ERU Connections'!$F$37),L46,(VLOOKUP($B47,'Rate Projection'!$A$11:$G$101,3)*(G47/100)))</f>
        <v>#REF!</v>
      </c>
      <c r="M47" s="53" t="e">
        <f>IF(AND(H47&gt;H$9, $D47&gt;'RV ERU Connections'!$F$37),M46,(VLOOKUP($B47,'Rate Projection'!$A$11:$G$101,3)*(H47/100)))</f>
        <v>#REF!</v>
      </c>
      <c r="N47" s="53" t="e">
        <f>IF(AND(I47&gt;I$9, $D47&gt;'RV ERU Connections'!$F$37),N46,(VLOOKUP($B47,'Rate Projection'!$A$11:$G$101,3)*(I47/100)))</f>
        <v>#REF!</v>
      </c>
      <c r="O47" s="54" t="e">
        <f>IF(AND(E47&gt;E$9, E47&gt;(E$9+E$8),$D47&gt;'RV ERU Connections'!$F$38),O46,IF(E47&gt;E$9,((('Rate Projection'!$C$6+(VLOOKUP($B47,'Rate Projection'!$A$11:$G$101,4)))*(E47-E$9)/100)+(VLOOKUP($B47,'Rate Projection'!$A$11:$G$101,2)*'Monthly Revenue-Usage'!E$9/100)),(VLOOKUP($B47,'Rate Projection'!$A$11:$G$101,2)*('Monthly Revenue-Usage'!E47/100))))</f>
        <v>#REF!</v>
      </c>
      <c r="P47" s="54" t="e">
        <f>IF(AND(F47&gt;F$9, F47&gt;(F$9+F$8),$D47&gt;'RV ERU Connections'!$F$38),P46,IF(F47&gt;F$9,((('Rate Projection'!$C$6+(VLOOKUP($B47,'Rate Projection'!$A$11:$G$101,5)))*(F47-F$9)/100)+(VLOOKUP($B47,'Rate Projection'!$A$11:$G$101,3)*'Monthly Revenue-Usage'!F$9/100)),(VLOOKUP($B47,'Rate Projection'!$A$11:$G$101,3)*('Monthly Revenue-Usage'!F47/100))))</f>
        <v>#REF!</v>
      </c>
      <c r="Q47" s="54" t="e">
        <f>IF(AND(G47&gt;G$9, G47&gt;(G$9+G$8),$D47&gt;'RV ERU Connections'!$F$38),Q46,IF(G47&gt;G$9,((('Rate Projection'!$C$6+(VLOOKUP($B47,'Rate Projection'!$A$11:$G$101,5)))*(G47-G$9)/100)+(VLOOKUP($B47,'Rate Projection'!$A$11:$G$101,3)*'Monthly Revenue-Usage'!G$9/100)),(VLOOKUP($B47,'Rate Projection'!$A$11:$G$101,3)*('Monthly Revenue-Usage'!G47/100))))</f>
        <v>#REF!</v>
      </c>
      <c r="R47" s="54" t="e">
        <f>IF(AND(H47&gt;H$9, H47&gt;(H$9+H$8),$D47&gt;'RV ERU Connections'!$F$38),R46,IF(H47&gt;H$9,((('Rate Projection'!$C$6+(VLOOKUP($B47,'Rate Projection'!$A$11:$G$101,5)))*(H47-H$9)/100)+(VLOOKUP($B47,'Rate Projection'!$A$11:$G$101,3)*'Monthly Revenue-Usage'!H$9/100)),(VLOOKUP($B47,'Rate Projection'!$A$11:$G$101,3)*('Monthly Revenue-Usage'!H47/100))))</f>
        <v>#REF!</v>
      </c>
      <c r="S47" s="54" t="e">
        <f>IF(AND(I47&gt;I$9, I47&gt;(I$9+I$8),$D47&gt;'RV ERU Connections'!$F$38),S46,IF(I47&gt;I$9,((('Rate Projection'!$C$6+(VLOOKUP($B47,'Rate Projection'!$A$11:$G$101,5)))*(I47-I$9)/100)+(VLOOKUP($B47,'Rate Projection'!$A$11:$G$101,3)*'Monthly Revenue-Usage'!I$9/100)),(VLOOKUP($B47,'Rate Projection'!$A$11:$G$101,3)*('Monthly Revenue-Usage'!I47/100))))</f>
        <v>#REF!</v>
      </c>
      <c r="T47" s="52" t="e">
        <f>IF(AND(E47&gt;E$9, E47&gt;(E$9+E$8),$D47&gt;'RV ERU Connections'!$F$38),T46,IF(E47&gt;E$8,((((VLOOKUP($B47,'Rate Projection'!$A$11:$G$101,2)))*(E47-E$8)/100)+(VLOOKUP($B47,'Rate Projection'!$A$11:$G$101,4)*'Monthly Revenue-Usage'!E$8/100)),(VLOOKUP($B47,'Rate Projection'!$A$11:$G$101,4)*('Monthly Revenue-Usage'!E47/100))))</f>
        <v>#REF!</v>
      </c>
      <c r="U47" s="52" t="e">
        <f>IF(AND(F47&gt;F$9, F47&gt;(F$9+F$8),$D47&gt;'RV ERU Connections'!$F$38),U46,IF(F47&gt;F$8,((((VLOOKUP($B47,'Rate Projection'!$A$11:$G$101,3)))*(F47-F$8)/100)+(VLOOKUP($B47,'Rate Projection'!$A$11:$G$101,5)*'Monthly Revenue-Usage'!F$8/100)),(VLOOKUP($B47,'Rate Projection'!$A$11:$G$101,5)*('Monthly Revenue-Usage'!F47/100))))</f>
        <v>#REF!</v>
      </c>
      <c r="V47" s="52" t="e">
        <f>IF(AND(G47&gt;G$9, G47&gt;(G$9+G$8),$D47&gt;'RV ERU Connections'!$F$38),V46,IF(G47&gt;G$8,((((VLOOKUP($B47,'Rate Projection'!$A$11:$G$101,3)))*(G47-G$8)/100)+(VLOOKUP($B47,'Rate Projection'!$A$11:$G$101,5)*'Monthly Revenue-Usage'!G$8/100)),(VLOOKUP($B47,'Rate Projection'!$A$11:$G$101,5)*('Monthly Revenue-Usage'!G47/100))))</f>
        <v>#REF!</v>
      </c>
      <c r="W47" s="52" t="e">
        <f>IF(AND(H47&gt;H$9, H47&gt;(H$9+H$8),$D47&gt;'RV ERU Connections'!$F$38),W46,IF(H47&gt;H$8,((((VLOOKUP($B47,'Rate Projection'!$A$11:$G$101,3)))*(H47-H$8)/100)+(VLOOKUP($B47,'Rate Projection'!$A$11:$G$101,5)*'Monthly Revenue-Usage'!H$8/100)),(VLOOKUP($B47,'Rate Projection'!$A$11:$G$101,5)*('Monthly Revenue-Usage'!H47/100))))</f>
        <v>#REF!</v>
      </c>
      <c r="X47" s="52" t="e">
        <f>IF(AND(I47&gt;I$9, I47&gt;(I$9+I$8),$D47&gt;'RV ERU Connections'!$F$38),X46,IF(I47&gt;I$8,((((VLOOKUP($B47,'Rate Projection'!$A$11:$G$101,3)))*(I47-I$8)/100)+(VLOOKUP($B47,'Rate Projection'!$A$11:$G$101,5)*'Monthly Revenue-Usage'!I$8/100)),(VLOOKUP($B47,'Rate Projection'!$A$11:$G$101,5)*('Monthly Revenue-Usage'!I47/100))))</f>
        <v>#REF!</v>
      </c>
      <c r="Z47" s="53" t="e">
        <f>(-ISPMT('Monthly Revenue-Usage'!$Z$10/12, 1,1*12, Z46)*12)+Z46</f>
        <v>#REF!</v>
      </c>
      <c r="AA47" s="53" t="e">
        <f t="shared" si="7"/>
        <v>#REF!</v>
      </c>
    </row>
    <row r="48" spans="2:27" x14ac:dyDescent="0.3">
      <c r="B48" s="61">
        <f t="shared" si="0"/>
        <v>2046</v>
      </c>
      <c r="C48" s="5" t="e">
        <f t="shared" si="1"/>
        <v>#REF!</v>
      </c>
      <c r="D48" s="5" t="e">
        <f t="shared" si="8"/>
        <v>#REF!</v>
      </c>
      <c r="E48" s="46" t="e">
        <f t="shared" si="9"/>
        <v>#REF!</v>
      </c>
      <c r="F48" s="46" t="e">
        <f t="shared" si="10"/>
        <v>#REF!</v>
      </c>
      <c r="G48" s="46" t="e">
        <f t="shared" si="11"/>
        <v>#REF!</v>
      </c>
      <c r="H48" s="46" t="e">
        <f t="shared" si="12"/>
        <v>#REF!</v>
      </c>
      <c r="I48" s="46" t="e">
        <f t="shared" si="13"/>
        <v>#REF!</v>
      </c>
      <c r="J48" s="53" t="e">
        <f>IF(AND(E48&gt;E$9, $D48&gt;'RV ERU Connections'!$F$37),J47,(VLOOKUP($B48,'Rate Projection'!$A$11:$G$101,2)*(E48/100)))</f>
        <v>#REF!</v>
      </c>
      <c r="K48" s="53" t="e">
        <f>IF(AND(F48&gt;F$9, $D48&gt;'RV ERU Connections'!$F$37),K47,(VLOOKUP($B48,'Rate Projection'!$A$11:$G$101,3)*(F48/100)))</f>
        <v>#REF!</v>
      </c>
      <c r="L48" s="53" t="e">
        <f>IF(AND(G48&gt;G$9, $D48&gt;'RV ERU Connections'!$F$37),L47,(VLOOKUP($B48,'Rate Projection'!$A$11:$G$101,3)*(G48/100)))</f>
        <v>#REF!</v>
      </c>
      <c r="M48" s="53" t="e">
        <f>IF(AND(H48&gt;H$9, $D48&gt;'RV ERU Connections'!$F$37),M47,(VLOOKUP($B48,'Rate Projection'!$A$11:$G$101,3)*(H48/100)))</f>
        <v>#REF!</v>
      </c>
      <c r="N48" s="53" t="e">
        <f>IF(AND(I48&gt;I$9, $D48&gt;'RV ERU Connections'!$F$37),N47,(VLOOKUP($B48,'Rate Projection'!$A$11:$G$101,3)*(I48/100)))</f>
        <v>#REF!</v>
      </c>
      <c r="O48" s="54" t="e">
        <f>IF(AND(E48&gt;E$9, E48&gt;(E$9+E$8),$D48&gt;'RV ERU Connections'!$F$38),O47,IF(E48&gt;E$9,((('Rate Projection'!$C$6+(VLOOKUP($B48,'Rate Projection'!$A$11:$G$101,4)))*(E48-E$9)/100)+(VLOOKUP($B48,'Rate Projection'!$A$11:$G$101,2)*'Monthly Revenue-Usage'!E$9/100)),(VLOOKUP($B48,'Rate Projection'!$A$11:$G$101,2)*('Monthly Revenue-Usage'!E48/100))))</f>
        <v>#REF!</v>
      </c>
      <c r="P48" s="54" t="e">
        <f>IF(AND(F48&gt;F$9, F48&gt;(F$9+F$8),$D48&gt;'RV ERU Connections'!$F$38),P47,IF(F48&gt;F$9,((('Rate Projection'!$C$6+(VLOOKUP($B48,'Rate Projection'!$A$11:$G$101,5)))*(F48-F$9)/100)+(VLOOKUP($B48,'Rate Projection'!$A$11:$G$101,3)*'Monthly Revenue-Usage'!F$9/100)),(VLOOKUP($B48,'Rate Projection'!$A$11:$G$101,3)*('Monthly Revenue-Usage'!F48/100))))</f>
        <v>#REF!</v>
      </c>
      <c r="Q48" s="54" t="e">
        <f>IF(AND(G48&gt;G$9, G48&gt;(G$9+G$8),$D48&gt;'RV ERU Connections'!$F$38),Q47,IF(G48&gt;G$9,((('Rate Projection'!$C$6+(VLOOKUP($B48,'Rate Projection'!$A$11:$G$101,5)))*(G48-G$9)/100)+(VLOOKUP($B48,'Rate Projection'!$A$11:$G$101,3)*'Monthly Revenue-Usage'!G$9/100)),(VLOOKUP($B48,'Rate Projection'!$A$11:$G$101,3)*('Monthly Revenue-Usage'!G48/100))))</f>
        <v>#REF!</v>
      </c>
      <c r="R48" s="54" t="e">
        <f>IF(AND(H48&gt;H$9, H48&gt;(H$9+H$8),$D48&gt;'RV ERU Connections'!$F$38),R47,IF(H48&gt;H$9,((('Rate Projection'!$C$6+(VLOOKUP($B48,'Rate Projection'!$A$11:$G$101,5)))*(H48-H$9)/100)+(VLOOKUP($B48,'Rate Projection'!$A$11:$G$101,3)*'Monthly Revenue-Usage'!H$9/100)),(VLOOKUP($B48,'Rate Projection'!$A$11:$G$101,3)*('Monthly Revenue-Usage'!H48/100))))</f>
        <v>#REF!</v>
      </c>
      <c r="S48" s="54" t="e">
        <f>IF(AND(I48&gt;I$9, I48&gt;(I$9+I$8),$D48&gt;'RV ERU Connections'!$F$38),S47,IF(I48&gt;I$9,((('Rate Projection'!$C$6+(VLOOKUP($B48,'Rate Projection'!$A$11:$G$101,5)))*(I48-I$9)/100)+(VLOOKUP($B48,'Rate Projection'!$A$11:$G$101,3)*'Monthly Revenue-Usage'!I$9/100)),(VLOOKUP($B48,'Rate Projection'!$A$11:$G$101,3)*('Monthly Revenue-Usage'!I48/100))))</f>
        <v>#REF!</v>
      </c>
      <c r="T48" s="52" t="e">
        <f>IF(AND(E48&gt;E$9, E48&gt;(E$9+E$8),$D48&gt;'RV ERU Connections'!$F$38),T47,IF(E48&gt;E$8,((((VLOOKUP($B48,'Rate Projection'!$A$11:$G$101,2)))*(E48-E$8)/100)+(VLOOKUP($B48,'Rate Projection'!$A$11:$G$101,4)*'Monthly Revenue-Usage'!E$8/100)),(VLOOKUP($B48,'Rate Projection'!$A$11:$G$101,4)*('Monthly Revenue-Usage'!E48/100))))</f>
        <v>#REF!</v>
      </c>
      <c r="U48" s="52" t="e">
        <f>IF(AND(F48&gt;F$9, F48&gt;(F$9+F$8),$D48&gt;'RV ERU Connections'!$F$38),U47,IF(F48&gt;F$8,((((VLOOKUP($B48,'Rate Projection'!$A$11:$G$101,3)))*(F48-F$8)/100)+(VLOOKUP($B48,'Rate Projection'!$A$11:$G$101,5)*'Monthly Revenue-Usage'!F$8/100)),(VLOOKUP($B48,'Rate Projection'!$A$11:$G$101,5)*('Monthly Revenue-Usage'!F48/100))))</f>
        <v>#REF!</v>
      </c>
      <c r="V48" s="52" t="e">
        <f>IF(AND(G48&gt;G$9, G48&gt;(G$9+G$8),$D48&gt;'RV ERU Connections'!$F$38),V47,IF(G48&gt;G$8,((((VLOOKUP($B48,'Rate Projection'!$A$11:$G$101,3)))*(G48-G$8)/100)+(VLOOKUP($B48,'Rate Projection'!$A$11:$G$101,5)*'Monthly Revenue-Usage'!G$8/100)),(VLOOKUP($B48,'Rate Projection'!$A$11:$G$101,5)*('Monthly Revenue-Usage'!G48/100))))</f>
        <v>#REF!</v>
      </c>
      <c r="W48" s="52" t="e">
        <f>IF(AND(H48&gt;H$9, H48&gt;(H$9+H$8),$D48&gt;'RV ERU Connections'!$F$38),W47,IF(H48&gt;H$8,((((VLOOKUP($B48,'Rate Projection'!$A$11:$G$101,3)))*(H48-H$8)/100)+(VLOOKUP($B48,'Rate Projection'!$A$11:$G$101,5)*'Monthly Revenue-Usage'!H$8/100)),(VLOOKUP($B48,'Rate Projection'!$A$11:$G$101,5)*('Monthly Revenue-Usage'!H48/100))))</f>
        <v>#REF!</v>
      </c>
      <c r="X48" s="52" t="e">
        <f>IF(AND(I48&gt;I$9, I48&gt;(I$9+I$8),$D48&gt;'RV ERU Connections'!$F$38),X47,IF(I48&gt;I$8,((((VLOOKUP($B48,'Rate Projection'!$A$11:$G$101,3)))*(I48-I$8)/100)+(VLOOKUP($B48,'Rate Projection'!$A$11:$G$101,5)*'Monthly Revenue-Usage'!I$8/100)),(VLOOKUP($B48,'Rate Projection'!$A$11:$G$101,5)*('Monthly Revenue-Usage'!I48/100))))</f>
        <v>#REF!</v>
      </c>
      <c r="Z48" s="53" t="e">
        <f>(-ISPMT('Monthly Revenue-Usage'!$Z$10/12, 1,1*12, Z47)*12)+Z47</f>
        <v>#REF!</v>
      </c>
      <c r="AA48" s="53" t="e">
        <f t="shared" si="7"/>
        <v>#REF!</v>
      </c>
    </row>
    <row r="49" spans="2:27" x14ac:dyDescent="0.3">
      <c r="B49" s="61">
        <f t="shared" si="0"/>
        <v>2047</v>
      </c>
      <c r="C49" s="5" t="e">
        <f t="shared" si="1"/>
        <v>#REF!</v>
      </c>
      <c r="D49" s="5" t="e">
        <f t="shared" si="8"/>
        <v>#REF!</v>
      </c>
      <c r="E49" s="46" t="e">
        <f t="shared" si="9"/>
        <v>#REF!</v>
      </c>
      <c r="F49" s="46" t="e">
        <f t="shared" si="10"/>
        <v>#REF!</v>
      </c>
      <c r="G49" s="46" t="e">
        <f t="shared" si="11"/>
        <v>#REF!</v>
      </c>
      <c r="H49" s="46" t="e">
        <f t="shared" si="12"/>
        <v>#REF!</v>
      </c>
      <c r="I49" s="46" t="e">
        <f t="shared" si="13"/>
        <v>#REF!</v>
      </c>
      <c r="J49" s="53" t="e">
        <f>IF(AND(E49&gt;E$9, $D49&gt;'RV ERU Connections'!$F$37),J48,(VLOOKUP($B49,'Rate Projection'!$A$11:$G$101,2)*(E49/100)))</f>
        <v>#REF!</v>
      </c>
      <c r="K49" s="53" t="e">
        <f>IF(AND(F49&gt;F$9, $D49&gt;'RV ERU Connections'!$F$37),K48,(VLOOKUP($B49,'Rate Projection'!$A$11:$G$101,3)*(F49/100)))</f>
        <v>#REF!</v>
      </c>
      <c r="L49" s="53" t="e">
        <f>IF(AND(G49&gt;G$9, $D49&gt;'RV ERU Connections'!$F$37),L48,(VLOOKUP($B49,'Rate Projection'!$A$11:$G$101,3)*(G49/100)))</f>
        <v>#REF!</v>
      </c>
      <c r="M49" s="53" t="e">
        <f>IF(AND(H49&gt;H$9, $D49&gt;'RV ERU Connections'!$F$37),M48,(VLOOKUP($B49,'Rate Projection'!$A$11:$G$101,3)*(H49/100)))</f>
        <v>#REF!</v>
      </c>
      <c r="N49" s="53" t="e">
        <f>IF(AND(I49&gt;I$9, $D49&gt;'RV ERU Connections'!$F$37),N48,(VLOOKUP($B49,'Rate Projection'!$A$11:$G$101,3)*(I49/100)))</f>
        <v>#REF!</v>
      </c>
      <c r="O49" s="54" t="e">
        <f>IF(AND(E49&gt;E$9, E49&gt;(E$9+E$8),$D49&gt;'RV ERU Connections'!$F$38),O48,IF(E49&gt;E$9,((('Rate Projection'!$C$6+(VLOOKUP($B49,'Rate Projection'!$A$11:$G$101,4)))*(E49-E$9)/100)+(VLOOKUP($B49,'Rate Projection'!$A$11:$G$101,2)*'Monthly Revenue-Usage'!E$9/100)),(VLOOKUP($B49,'Rate Projection'!$A$11:$G$101,2)*('Monthly Revenue-Usage'!E49/100))))</f>
        <v>#REF!</v>
      </c>
      <c r="P49" s="54" t="e">
        <f>IF(AND(F49&gt;F$9, F49&gt;(F$9+F$8),$D49&gt;'RV ERU Connections'!$F$38),P48,IF(F49&gt;F$9,((('Rate Projection'!$C$6+(VLOOKUP($B49,'Rate Projection'!$A$11:$G$101,5)))*(F49-F$9)/100)+(VLOOKUP($B49,'Rate Projection'!$A$11:$G$101,3)*'Monthly Revenue-Usage'!F$9/100)),(VLOOKUP($B49,'Rate Projection'!$A$11:$G$101,3)*('Monthly Revenue-Usage'!F49/100))))</f>
        <v>#REF!</v>
      </c>
      <c r="Q49" s="54" t="e">
        <f>IF(AND(G49&gt;G$9, G49&gt;(G$9+G$8),$D49&gt;'RV ERU Connections'!$F$38),Q48,IF(G49&gt;G$9,((('Rate Projection'!$C$6+(VLOOKUP($B49,'Rate Projection'!$A$11:$G$101,5)))*(G49-G$9)/100)+(VLOOKUP($B49,'Rate Projection'!$A$11:$G$101,3)*'Monthly Revenue-Usage'!G$9/100)),(VLOOKUP($B49,'Rate Projection'!$A$11:$G$101,3)*('Monthly Revenue-Usage'!G49/100))))</f>
        <v>#REF!</v>
      </c>
      <c r="R49" s="54" t="e">
        <f>IF(AND(H49&gt;H$9, H49&gt;(H$9+H$8),$D49&gt;'RV ERU Connections'!$F$38),R48,IF(H49&gt;H$9,((('Rate Projection'!$C$6+(VLOOKUP($B49,'Rate Projection'!$A$11:$G$101,5)))*(H49-H$9)/100)+(VLOOKUP($B49,'Rate Projection'!$A$11:$G$101,3)*'Monthly Revenue-Usage'!H$9/100)),(VLOOKUP($B49,'Rate Projection'!$A$11:$G$101,3)*('Monthly Revenue-Usage'!H49/100))))</f>
        <v>#REF!</v>
      </c>
      <c r="S49" s="54" t="e">
        <f>IF(AND(I49&gt;I$9, I49&gt;(I$9+I$8),$D49&gt;'RV ERU Connections'!$F$38),S48,IF(I49&gt;I$9,((('Rate Projection'!$C$6+(VLOOKUP($B49,'Rate Projection'!$A$11:$G$101,5)))*(I49-I$9)/100)+(VLOOKUP($B49,'Rate Projection'!$A$11:$G$101,3)*'Monthly Revenue-Usage'!I$9/100)),(VLOOKUP($B49,'Rate Projection'!$A$11:$G$101,3)*('Monthly Revenue-Usage'!I49/100))))</f>
        <v>#REF!</v>
      </c>
      <c r="T49" s="52" t="e">
        <f>IF(AND(E49&gt;E$9, E49&gt;(E$9+E$8),$D49&gt;'RV ERU Connections'!$F$38),T48,IF(E49&gt;E$8,((((VLOOKUP($B49,'Rate Projection'!$A$11:$G$101,2)))*(E49-E$8)/100)+(VLOOKUP($B49,'Rate Projection'!$A$11:$G$101,4)*'Monthly Revenue-Usage'!E$8/100)),(VLOOKUP($B49,'Rate Projection'!$A$11:$G$101,4)*('Monthly Revenue-Usage'!E49/100))))</f>
        <v>#REF!</v>
      </c>
      <c r="U49" s="52" t="e">
        <f>IF(AND(F49&gt;F$9, F49&gt;(F$9+F$8),$D49&gt;'RV ERU Connections'!$F$38),U48,IF(F49&gt;F$8,((((VLOOKUP($B49,'Rate Projection'!$A$11:$G$101,3)))*(F49-F$8)/100)+(VLOOKUP($B49,'Rate Projection'!$A$11:$G$101,5)*'Monthly Revenue-Usage'!F$8/100)),(VLOOKUP($B49,'Rate Projection'!$A$11:$G$101,5)*('Monthly Revenue-Usage'!F49/100))))</f>
        <v>#REF!</v>
      </c>
      <c r="V49" s="52" t="e">
        <f>IF(AND(G49&gt;G$9, G49&gt;(G$9+G$8),$D49&gt;'RV ERU Connections'!$F$38),V48,IF(G49&gt;G$8,((((VLOOKUP($B49,'Rate Projection'!$A$11:$G$101,3)))*(G49-G$8)/100)+(VLOOKUP($B49,'Rate Projection'!$A$11:$G$101,5)*'Monthly Revenue-Usage'!G$8/100)),(VLOOKUP($B49,'Rate Projection'!$A$11:$G$101,5)*('Monthly Revenue-Usage'!G49/100))))</f>
        <v>#REF!</v>
      </c>
      <c r="W49" s="52" t="e">
        <f>IF(AND(H49&gt;H$9, H49&gt;(H$9+H$8),$D49&gt;'RV ERU Connections'!$F$38),W48,IF(H49&gt;H$8,((((VLOOKUP($B49,'Rate Projection'!$A$11:$G$101,3)))*(H49-H$8)/100)+(VLOOKUP($B49,'Rate Projection'!$A$11:$G$101,5)*'Monthly Revenue-Usage'!H$8/100)),(VLOOKUP($B49,'Rate Projection'!$A$11:$G$101,5)*('Monthly Revenue-Usage'!H49/100))))</f>
        <v>#REF!</v>
      </c>
      <c r="X49" s="52" t="e">
        <f>IF(AND(I49&gt;I$9, I49&gt;(I$9+I$8),$D49&gt;'RV ERU Connections'!$F$38),X48,IF(I49&gt;I$8,((((VLOOKUP($B49,'Rate Projection'!$A$11:$G$101,3)))*(I49-I$8)/100)+(VLOOKUP($B49,'Rate Projection'!$A$11:$G$101,5)*'Monthly Revenue-Usage'!I$8/100)),(VLOOKUP($B49,'Rate Projection'!$A$11:$G$101,5)*('Monthly Revenue-Usage'!I49/100))))</f>
        <v>#REF!</v>
      </c>
      <c r="Z49" s="53" t="e">
        <f>(-ISPMT('Monthly Revenue-Usage'!$Z$10/12, 1,1*12, Z48)*12)+Z48</f>
        <v>#REF!</v>
      </c>
      <c r="AA49" s="53" t="e">
        <f t="shared" si="7"/>
        <v>#REF!</v>
      </c>
    </row>
    <row r="50" spans="2:27" x14ac:dyDescent="0.3">
      <c r="B50" s="61">
        <f t="shared" si="0"/>
        <v>2048</v>
      </c>
      <c r="C50" s="5" t="e">
        <f t="shared" si="1"/>
        <v>#REF!</v>
      </c>
      <c r="D50" s="5" t="e">
        <f t="shared" si="8"/>
        <v>#REF!</v>
      </c>
      <c r="E50" s="46" t="e">
        <f t="shared" si="9"/>
        <v>#REF!</v>
      </c>
      <c r="F50" s="46" t="e">
        <f t="shared" si="10"/>
        <v>#REF!</v>
      </c>
      <c r="G50" s="46" t="e">
        <f t="shared" si="11"/>
        <v>#REF!</v>
      </c>
      <c r="H50" s="46" t="e">
        <f t="shared" si="12"/>
        <v>#REF!</v>
      </c>
      <c r="I50" s="46" t="e">
        <f t="shared" si="13"/>
        <v>#REF!</v>
      </c>
      <c r="J50" s="53" t="e">
        <f>IF(AND(E50&gt;E$9, $D50&gt;'RV ERU Connections'!$F$37),J49,(VLOOKUP($B50,'Rate Projection'!$A$11:$G$101,2)*(E50/100)))</f>
        <v>#REF!</v>
      </c>
      <c r="K50" s="53" t="e">
        <f>IF(AND(F50&gt;F$9, $D50&gt;'RV ERU Connections'!$F$37),K49,(VLOOKUP($B50,'Rate Projection'!$A$11:$G$101,3)*(F50/100)))</f>
        <v>#REF!</v>
      </c>
      <c r="L50" s="53" t="e">
        <f>IF(AND(G50&gt;G$9, $D50&gt;'RV ERU Connections'!$F$37),L49,(VLOOKUP($B50,'Rate Projection'!$A$11:$G$101,3)*(G50/100)))</f>
        <v>#REF!</v>
      </c>
      <c r="M50" s="53" t="e">
        <f>IF(AND(H50&gt;H$9, $D50&gt;'RV ERU Connections'!$F$37),M49,(VLOOKUP($B50,'Rate Projection'!$A$11:$G$101,3)*(H50/100)))</f>
        <v>#REF!</v>
      </c>
      <c r="N50" s="53" t="e">
        <f>IF(AND(I50&gt;I$9, $D50&gt;'RV ERU Connections'!$F$37),N49,(VLOOKUP($B50,'Rate Projection'!$A$11:$G$101,3)*(I50/100)))</f>
        <v>#REF!</v>
      </c>
      <c r="O50" s="54" t="e">
        <f>IF(AND(E50&gt;E$9, E50&gt;(E$9+E$8),$D50&gt;'RV ERU Connections'!$F$38),O49,IF(E50&gt;E$9,((('Rate Projection'!$C$6+(VLOOKUP($B50,'Rate Projection'!$A$11:$G$101,4)))*(E50-E$9)/100)+(VLOOKUP($B50,'Rate Projection'!$A$11:$G$101,2)*'Monthly Revenue-Usage'!E$9/100)),(VLOOKUP($B50,'Rate Projection'!$A$11:$G$101,2)*('Monthly Revenue-Usage'!E50/100))))</f>
        <v>#REF!</v>
      </c>
      <c r="P50" s="54" t="e">
        <f>IF(AND(F50&gt;F$9, F50&gt;(F$9+F$8),$D50&gt;'RV ERU Connections'!$F$38),P49,IF(F50&gt;F$9,((('Rate Projection'!$C$6+(VLOOKUP($B50,'Rate Projection'!$A$11:$G$101,5)))*(F50-F$9)/100)+(VLOOKUP($B50,'Rate Projection'!$A$11:$G$101,3)*'Monthly Revenue-Usage'!F$9/100)),(VLOOKUP($B50,'Rate Projection'!$A$11:$G$101,3)*('Monthly Revenue-Usage'!F50/100))))</f>
        <v>#REF!</v>
      </c>
      <c r="Q50" s="54" t="e">
        <f>IF(AND(G50&gt;G$9, G50&gt;(G$9+G$8),$D50&gt;'RV ERU Connections'!$F$38),Q49,IF(G50&gt;G$9,((('Rate Projection'!$C$6+(VLOOKUP($B50,'Rate Projection'!$A$11:$G$101,5)))*(G50-G$9)/100)+(VLOOKUP($B50,'Rate Projection'!$A$11:$G$101,3)*'Monthly Revenue-Usage'!G$9/100)),(VLOOKUP($B50,'Rate Projection'!$A$11:$G$101,3)*('Monthly Revenue-Usage'!G50/100))))</f>
        <v>#REF!</v>
      </c>
      <c r="R50" s="54" t="e">
        <f>IF(AND(H50&gt;H$9, H50&gt;(H$9+H$8),$D50&gt;'RV ERU Connections'!$F$38),R49,IF(H50&gt;H$9,((('Rate Projection'!$C$6+(VLOOKUP($B50,'Rate Projection'!$A$11:$G$101,5)))*(H50-H$9)/100)+(VLOOKUP($B50,'Rate Projection'!$A$11:$G$101,3)*'Monthly Revenue-Usage'!H$9/100)),(VLOOKUP($B50,'Rate Projection'!$A$11:$G$101,3)*('Monthly Revenue-Usage'!H50/100))))</f>
        <v>#REF!</v>
      </c>
      <c r="S50" s="54" t="e">
        <f>IF(AND(I50&gt;I$9, I50&gt;(I$9+I$8),$D50&gt;'RV ERU Connections'!$F$38),S49,IF(I50&gt;I$9,((('Rate Projection'!$C$6+(VLOOKUP($B50,'Rate Projection'!$A$11:$G$101,5)))*(I50-I$9)/100)+(VLOOKUP($B50,'Rate Projection'!$A$11:$G$101,3)*'Monthly Revenue-Usage'!I$9/100)),(VLOOKUP($B50,'Rate Projection'!$A$11:$G$101,3)*('Monthly Revenue-Usage'!I50/100))))</f>
        <v>#REF!</v>
      </c>
      <c r="T50" s="52" t="e">
        <f>IF(AND(E50&gt;E$9, E50&gt;(E$9+E$8),$D50&gt;'RV ERU Connections'!$F$38),T49,IF(E50&gt;E$8,((((VLOOKUP($B50,'Rate Projection'!$A$11:$G$101,2)))*(E50-E$8)/100)+(VLOOKUP($B50,'Rate Projection'!$A$11:$G$101,4)*'Monthly Revenue-Usage'!E$8/100)),(VLOOKUP($B50,'Rate Projection'!$A$11:$G$101,4)*('Monthly Revenue-Usage'!E50/100))))</f>
        <v>#REF!</v>
      </c>
      <c r="U50" s="52" t="e">
        <f>IF(AND(F50&gt;F$9, F50&gt;(F$9+F$8),$D50&gt;'RV ERU Connections'!$F$38),U49,IF(F50&gt;F$8,((((VLOOKUP($B50,'Rate Projection'!$A$11:$G$101,3)))*(F50-F$8)/100)+(VLOOKUP($B50,'Rate Projection'!$A$11:$G$101,5)*'Monthly Revenue-Usage'!F$8/100)),(VLOOKUP($B50,'Rate Projection'!$A$11:$G$101,5)*('Monthly Revenue-Usage'!F50/100))))</f>
        <v>#REF!</v>
      </c>
      <c r="V50" s="52" t="e">
        <f>IF(AND(G50&gt;G$9, G50&gt;(G$9+G$8),$D50&gt;'RV ERU Connections'!$F$38),V49,IF(G50&gt;G$8,((((VLOOKUP($B50,'Rate Projection'!$A$11:$G$101,3)))*(G50-G$8)/100)+(VLOOKUP($B50,'Rate Projection'!$A$11:$G$101,5)*'Monthly Revenue-Usage'!G$8/100)),(VLOOKUP($B50,'Rate Projection'!$A$11:$G$101,5)*('Monthly Revenue-Usage'!G50/100))))</f>
        <v>#REF!</v>
      </c>
      <c r="W50" s="52" t="e">
        <f>IF(AND(H50&gt;H$9, H50&gt;(H$9+H$8),$D50&gt;'RV ERU Connections'!$F$38),W49,IF(H50&gt;H$8,((((VLOOKUP($B50,'Rate Projection'!$A$11:$G$101,3)))*(H50-H$8)/100)+(VLOOKUP($B50,'Rate Projection'!$A$11:$G$101,5)*'Monthly Revenue-Usage'!H$8/100)),(VLOOKUP($B50,'Rate Projection'!$A$11:$G$101,5)*('Monthly Revenue-Usage'!H50/100))))</f>
        <v>#REF!</v>
      </c>
      <c r="X50" s="52" t="e">
        <f>IF(AND(I50&gt;I$9, I50&gt;(I$9+I$8),$D50&gt;'RV ERU Connections'!$F$38),X49,IF(I50&gt;I$8,((((VLOOKUP($B50,'Rate Projection'!$A$11:$G$101,3)))*(I50-I$8)/100)+(VLOOKUP($B50,'Rate Projection'!$A$11:$G$101,5)*'Monthly Revenue-Usage'!I$8/100)),(VLOOKUP($B50,'Rate Projection'!$A$11:$G$101,5)*('Monthly Revenue-Usage'!I50/100))))</f>
        <v>#REF!</v>
      </c>
      <c r="Z50" s="53" t="e">
        <f>(-ISPMT('Monthly Revenue-Usage'!$Z$10/12, 1,1*12, Z49)*12)+Z49</f>
        <v>#REF!</v>
      </c>
      <c r="AA50" s="53" t="e">
        <f t="shared" si="7"/>
        <v>#REF!</v>
      </c>
    </row>
    <row r="51" spans="2:27" x14ac:dyDescent="0.3">
      <c r="B51" s="61">
        <f t="shared" si="0"/>
        <v>2049</v>
      </c>
      <c r="C51" s="5" t="e">
        <f t="shared" si="1"/>
        <v>#REF!</v>
      </c>
      <c r="D51" s="5" t="e">
        <f t="shared" si="8"/>
        <v>#REF!</v>
      </c>
      <c r="E51" s="46" t="e">
        <f t="shared" si="9"/>
        <v>#REF!</v>
      </c>
      <c r="F51" s="46" t="e">
        <f t="shared" si="10"/>
        <v>#REF!</v>
      </c>
      <c r="G51" s="46" t="e">
        <f t="shared" si="11"/>
        <v>#REF!</v>
      </c>
      <c r="H51" s="46" t="e">
        <f t="shared" si="12"/>
        <v>#REF!</v>
      </c>
      <c r="I51" s="46" t="e">
        <f t="shared" si="13"/>
        <v>#REF!</v>
      </c>
      <c r="J51" s="53" t="e">
        <f>IF(AND(E51&gt;E$9, $D51&gt;'RV ERU Connections'!$F$37),J50,(VLOOKUP($B51,'Rate Projection'!$A$11:$G$101,2)*(E51/100)))</f>
        <v>#REF!</v>
      </c>
      <c r="K51" s="53" t="e">
        <f>IF(AND(F51&gt;F$9, $D51&gt;'RV ERU Connections'!$F$37),K50,(VLOOKUP($B51,'Rate Projection'!$A$11:$G$101,3)*(F51/100)))</f>
        <v>#REF!</v>
      </c>
      <c r="L51" s="53" t="e">
        <f>IF(AND(G51&gt;G$9, $D51&gt;'RV ERU Connections'!$F$37),L50,(VLOOKUP($B51,'Rate Projection'!$A$11:$G$101,3)*(G51/100)))</f>
        <v>#REF!</v>
      </c>
      <c r="M51" s="53" t="e">
        <f>IF(AND(H51&gt;H$9, $D51&gt;'RV ERU Connections'!$F$37),M50,(VLOOKUP($B51,'Rate Projection'!$A$11:$G$101,3)*(H51/100)))</f>
        <v>#REF!</v>
      </c>
      <c r="N51" s="53" t="e">
        <f>IF(AND(I51&gt;I$9, $D51&gt;'RV ERU Connections'!$F$37),N50,(VLOOKUP($B51,'Rate Projection'!$A$11:$G$101,3)*(I51/100)))</f>
        <v>#REF!</v>
      </c>
      <c r="O51" s="54" t="e">
        <f>IF(AND(E51&gt;E$9, E51&gt;(E$9+E$8),$D51&gt;'RV ERU Connections'!$F$38),O50,IF(E51&gt;E$9,((('Rate Projection'!$C$6+(VLOOKUP($B51,'Rate Projection'!$A$11:$G$101,4)))*(E51-E$9)/100)+(VLOOKUP($B51,'Rate Projection'!$A$11:$G$101,2)*'Monthly Revenue-Usage'!E$9/100)),(VLOOKUP($B51,'Rate Projection'!$A$11:$G$101,2)*('Monthly Revenue-Usage'!E51/100))))</f>
        <v>#REF!</v>
      </c>
      <c r="P51" s="54" t="e">
        <f>IF(AND(F51&gt;F$9, F51&gt;(F$9+F$8),$D51&gt;'RV ERU Connections'!$F$38),P50,IF(F51&gt;F$9,((('Rate Projection'!$C$6+(VLOOKUP($B51,'Rate Projection'!$A$11:$G$101,5)))*(F51-F$9)/100)+(VLOOKUP($B51,'Rate Projection'!$A$11:$G$101,3)*'Monthly Revenue-Usage'!F$9/100)),(VLOOKUP($B51,'Rate Projection'!$A$11:$G$101,3)*('Monthly Revenue-Usage'!F51/100))))</f>
        <v>#REF!</v>
      </c>
      <c r="Q51" s="54" t="e">
        <f>IF(AND(G51&gt;G$9, G51&gt;(G$9+G$8),$D51&gt;'RV ERU Connections'!$F$38),Q50,IF(G51&gt;G$9,((('Rate Projection'!$C$6+(VLOOKUP($B51,'Rate Projection'!$A$11:$G$101,5)))*(G51-G$9)/100)+(VLOOKUP($B51,'Rate Projection'!$A$11:$G$101,3)*'Monthly Revenue-Usage'!G$9/100)),(VLOOKUP($B51,'Rate Projection'!$A$11:$G$101,3)*('Monthly Revenue-Usage'!G51/100))))</f>
        <v>#REF!</v>
      </c>
      <c r="R51" s="54" t="e">
        <f>IF(AND(H51&gt;H$9, H51&gt;(H$9+H$8),$D51&gt;'RV ERU Connections'!$F$38),R50,IF(H51&gt;H$9,((('Rate Projection'!$C$6+(VLOOKUP($B51,'Rate Projection'!$A$11:$G$101,5)))*(H51-H$9)/100)+(VLOOKUP($B51,'Rate Projection'!$A$11:$G$101,3)*'Monthly Revenue-Usage'!H$9/100)),(VLOOKUP($B51,'Rate Projection'!$A$11:$G$101,3)*('Monthly Revenue-Usage'!H51/100))))</f>
        <v>#REF!</v>
      </c>
      <c r="S51" s="54" t="e">
        <f>IF(AND(I51&gt;I$9, I51&gt;(I$9+I$8),$D51&gt;'RV ERU Connections'!$F$38),S50,IF(I51&gt;I$9,((('Rate Projection'!$C$6+(VLOOKUP($B51,'Rate Projection'!$A$11:$G$101,5)))*(I51-I$9)/100)+(VLOOKUP($B51,'Rate Projection'!$A$11:$G$101,3)*'Monthly Revenue-Usage'!I$9/100)),(VLOOKUP($B51,'Rate Projection'!$A$11:$G$101,3)*('Monthly Revenue-Usage'!I51/100))))</f>
        <v>#REF!</v>
      </c>
      <c r="T51" s="52" t="e">
        <f>IF(AND(E51&gt;E$9, E51&gt;(E$9+E$8),$D51&gt;'RV ERU Connections'!$F$38),T50,IF(E51&gt;E$8,((((VLOOKUP($B51,'Rate Projection'!$A$11:$G$101,2)))*(E51-E$8)/100)+(VLOOKUP($B51,'Rate Projection'!$A$11:$G$101,4)*'Monthly Revenue-Usage'!E$8/100)),(VLOOKUP($B51,'Rate Projection'!$A$11:$G$101,4)*('Monthly Revenue-Usage'!E51/100))))</f>
        <v>#REF!</v>
      </c>
      <c r="U51" s="52" t="e">
        <f>IF(AND(F51&gt;F$9, F51&gt;(F$9+F$8),$D51&gt;'RV ERU Connections'!$F$38),U50,IF(F51&gt;F$8,((((VLOOKUP($B51,'Rate Projection'!$A$11:$G$101,3)))*(F51-F$8)/100)+(VLOOKUP($B51,'Rate Projection'!$A$11:$G$101,5)*'Monthly Revenue-Usage'!F$8/100)),(VLOOKUP($B51,'Rate Projection'!$A$11:$G$101,5)*('Monthly Revenue-Usage'!F51/100))))</f>
        <v>#REF!</v>
      </c>
      <c r="V51" s="52" t="e">
        <f>IF(AND(G51&gt;G$9, G51&gt;(G$9+G$8),$D51&gt;'RV ERU Connections'!$F$38),V50,IF(G51&gt;G$8,((((VLOOKUP($B51,'Rate Projection'!$A$11:$G$101,3)))*(G51-G$8)/100)+(VLOOKUP($B51,'Rate Projection'!$A$11:$G$101,5)*'Monthly Revenue-Usage'!G$8/100)),(VLOOKUP($B51,'Rate Projection'!$A$11:$G$101,5)*('Monthly Revenue-Usage'!G51/100))))</f>
        <v>#REF!</v>
      </c>
      <c r="W51" s="52" t="e">
        <f>IF(AND(H51&gt;H$9, H51&gt;(H$9+H$8),$D51&gt;'RV ERU Connections'!$F$38),W50,IF(H51&gt;H$8,((((VLOOKUP($B51,'Rate Projection'!$A$11:$G$101,3)))*(H51-H$8)/100)+(VLOOKUP($B51,'Rate Projection'!$A$11:$G$101,5)*'Monthly Revenue-Usage'!H$8/100)),(VLOOKUP($B51,'Rate Projection'!$A$11:$G$101,5)*('Monthly Revenue-Usage'!H51/100))))</f>
        <v>#REF!</v>
      </c>
      <c r="X51" s="52" t="e">
        <f>IF(AND(I51&gt;I$9, I51&gt;(I$9+I$8),$D51&gt;'RV ERU Connections'!$F$38),X50,IF(I51&gt;I$8,((((VLOOKUP($B51,'Rate Projection'!$A$11:$G$101,3)))*(I51-I$8)/100)+(VLOOKUP($B51,'Rate Projection'!$A$11:$G$101,5)*'Monthly Revenue-Usage'!I$8/100)),(VLOOKUP($B51,'Rate Projection'!$A$11:$G$101,5)*('Monthly Revenue-Usage'!I51/100))))</f>
        <v>#REF!</v>
      </c>
      <c r="Z51" s="53" t="e">
        <f>(-ISPMT('Monthly Revenue-Usage'!$Z$10/12, 1,1*12, Z50)*12)+Z50</f>
        <v>#REF!</v>
      </c>
      <c r="AA51" s="53" t="e">
        <f t="shared" si="7"/>
        <v>#REF!</v>
      </c>
    </row>
    <row r="52" spans="2:27" x14ac:dyDescent="0.3">
      <c r="B52" s="61">
        <f t="shared" si="0"/>
        <v>2050</v>
      </c>
      <c r="C52" s="5" t="e">
        <f t="shared" si="1"/>
        <v>#REF!</v>
      </c>
      <c r="D52" s="5" t="e">
        <f t="shared" si="8"/>
        <v>#REF!</v>
      </c>
      <c r="E52" s="46" t="e">
        <f t="shared" si="9"/>
        <v>#REF!</v>
      </c>
      <c r="F52" s="46" t="e">
        <f t="shared" si="10"/>
        <v>#REF!</v>
      </c>
      <c r="G52" s="46" t="e">
        <f t="shared" si="11"/>
        <v>#REF!</v>
      </c>
      <c r="H52" s="46" t="e">
        <f t="shared" si="12"/>
        <v>#REF!</v>
      </c>
      <c r="I52" s="46" t="e">
        <f t="shared" si="13"/>
        <v>#REF!</v>
      </c>
      <c r="J52" s="53" t="e">
        <f>IF(AND(E52&gt;E$9, $D52&gt;'RV ERU Connections'!$F$37),J51,(VLOOKUP($B52,'Rate Projection'!$A$11:$G$101,2)*(E52/100)))</f>
        <v>#REF!</v>
      </c>
      <c r="K52" s="53" t="e">
        <f>IF(AND(F52&gt;F$9, $D52&gt;'RV ERU Connections'!$F$37),K51,(VLOOKUP($B52,'Rate Projection'!$A$11:$G$101,3)*(F52/100)))</f>
        <v>#REF!</v>
      </c>
      <c r="L52" s="53" t="e">
        <f>IF(AND(G52&gt;G$9, $D52&gt;'RV ERU Connections'!$F$37),L51,(VLOOKUP($B52,'Rate Projection'!$A$11:$G$101,3)*(G52/100)))</f>
        <v>#REF!</v>
      </c>
      <c r="M52" s="53" t="e">
        <f>IF(AND(H52&gt;H$9, $D52&gt;'RV ERU Connections'!$F$37),M51,(VLOOKUP($B52,'Rate Projection'!$A$11:$G$101,3)*(H52/100)))</f>
        <v>#REF!</v>
      </c>
      <c r="N52" s="53" t="e">
        <f>IF(AND(I52&gt;I$9, $D52&gt;'RV ERU Connections'!$F$37),N51,(VLOOKUP($B52,'Rate Projection'!$A$11:$G$101,3)*(I52/100)))</f>
        <v>#REF!</v>
      </c>
      <c r="O52" s="54" t="e">
        <f>IF(AND(E52&gt;E$9, E52&gt;(E$9+E$8),$D52&gt;'RV ERU Connections'!$F$38),O51,IF(E52&gt;E$9,((('Rate Projection'!$C$6+(VLOOKUP($B52,'Rate Projection'!$A$11:$G$101,4)))*(E52-E$9)/100)+(VLOOKUP($B52,'Rate Projection'!$A$11:$G$101,2)*'Monthly Revenue-Usage'!E$9/100)),(VLOOKUP($B52,'Rate Projection'!$A$11:$G$101,2)*('Monthly Revenue-Usage'!E52/100))))</f>
        <v>#REF!</v>
      </c>
      <c r="P52" s="54" t="e">
        <f>IF(AND(F52&gt;F$9, F52&gt;(F$9+F$8),$D52&gt;'RV ERU Connections'!$F$38),P51,IF(F52&gt;F$9,((('Rate Projection'!$C$6+(VLOOKUP($B52,'Rate Projection'!$A$11:$G$101,5)))*(F52-F$9)/100)+(VLOOKUP($B52,'Rate Projection'!$A$11:$G$101,3)*'Monthly Revenue-Usage'!F$9/100)),(VLOOKUP($B52,'Rate Projection'!$A$11:$G$101,3)*('Monthly Revenue-Usage'!F52/100))))</f>
        <v>#REF!</v>
      </c>
      <c r="Q52" s="54" t="e">
        <f>IF(AND(G52&gt;G$9, G52&gt;(G$9+G$8),$D52&gt;'RV ERU Connections'!$F$38),Q51,IF(G52&gt;G$9,((('Rate Projection'!$C$6+(VLOOKUP($B52,'Rate Projection'!$A$11:$G$101,5)))*(G52-G$9)/100)+(VLOOKUP($B52,'Rate Projection'!$A$11:$G$101,3)*'Monthly Revenue-Usage'!G$9/100)),(VLOOKUP($B52,'Rate Projection'!$A$11:$G$101,3)*('Monthly Revenue-Usage'!G52/100))))</f>
        <v>#REF!</v>
      </c>
      <c r="R52" s="54" t="e">
        <f>IF(AND(H52&gt;H$9, H52&gt;(H$9+H$8),$D52&gt;'RV ERU Connections'!$F$38),R51,IF(H52&gt;H$9,((('Rate Projection'!$C$6+(VLOOKUP($B52,'Rate Projection'!$A$11:$G$101,5)))*(H52-H$9)/100)+(VLOOKUP($B52,'Rate Projection'!$A$11:$G$101,3)*'Monthly Revenue-Usage'!H$9/100)),(VLOOKUP($B52,'Rate Projection'!$A$11:$G$101,3)*('Monthly Revenue-Usage'!H52/100))))</f>
        <v>#REF!</v>
      </c>
      <c r="S52" s="54" t="e">
        <f>IF(AND(I52&gt;I$9, I52&gt;(I$9+I$8),$D52&gt;'RV ERU Connections'!$F$38),S51,IF(I52&gt;I$9,((('Rate Projection'!$C$6+(VLOOKUP($B52,'Rate Projection'!$A$11:$G$101,5)))*(I52-I$9)/100)+(VLOOKUP($B52,'Rate Projection'!$A$11:$G$101,3)*'Monthly Revenue-Usage'!I$9/100)),(VLOOKUP($B52,'Rate Projection'!$A$11:$G$101,3)*('Monthly Revenue-Usage'!I52/100))))</f>
        <v>#REF!</v>
      </c>
      <c r="T52" s="52" t="e">
        <f>IF(AND(E52&gt;E$9, E52&gt;(E$9+E$8),$D52&gt;'RV ERU Connections'!$F$38),T51,IF(E52&gt;E$8,((((VLOOKUP($B52,'Rate Projection'!$A$11:$G$101,2)))*(E52-E$8)/100)+(VLOOKUP($B52,'Rate Projection'!$A$11:$G$101,4)*'Monthly Revenue-Usage'!E$8/100)),(VLOOKUP($B52,'Rate Projection'!$A$11:$G$101,4)*('Monthly Revenue-Usage'!E52/100))))</f>
        <v>#REF!</v>
      </c>
      <c r="U52" s="52" t="e">
        <f>IF(AND(F52&gt;F$9, F52&gt;(F$9+F$8),$D52&gt;'RV ERU Connections'!$F$38),U51,IF(F52&gt;F$8,((((VLOOKUP($B52,'Rate Projection'!$A$11:$G$101,3)))*(F52-F$8)/100)+(VLOOKUP($B52,'Rate Projection'!$A$11:$G$101,5)*'Monthly Revenue-Usage'!F$8/100)),(VLOOKUP($B52,'Rate Projection'!$A$11:$G$101,5)*('Monthly Revenue-Usage'!F52/100))))</f>
        <v>#REF!</v>
      </c>
      <c r="V52" s="52" t="e">
        <f>IF(AND(G52&gt;G$9, G52&gt;(G$9+G$8),$D52&gt;'RV ERU Connections'!$F$38),V51,IF(G52&gt;G$8,((((VLOOKUP($B52,'Rate Projection'!$A$11:$G$101,3)))*(G52-G$8)/100)+(VLOOKUP($B52,'Rate Projection'!$A$11:$G$101,5)*'Monthly Revenue-Usage'!G$8/100)),(VLOOKUP($B52,'Rate Projection'!$A$11:$G$101,5)*('Monthly Revenue-Usage'!G52/100))))</f>
        <v>#REF!</v>
      </c>
      <c r="W52" s="52" t="e">
        <f>IF(AND(H52&gt;H$9, H52&gt;(H$9+H$8),$D52&gt;'RV ERU Connections'!$F$38),W51,IF(H52&gt;H$8,((((VLOOKUP($B52,'Rate Projection'!$A$11:$G$101,3)))*(H52-H$8)/100)+(VLOOKUP($B52,'Rate Projection'!$A$11:$G$101,5)*'Monthly Revenue-Usage'!H$8/100)),(VLOOKUP($B52,'Rate Projection'!$A$11:$G$101,5)*('Monthly Revenue-Usage'!H52/100))))</f>
        <v>#REF!</v>
      </c>
      <c r="X52" s="52" t="e">
        <f>IF(AND(I52&gt;I$9, I52&gt;(I$9+I$8),$D52&gt;'RV ERU Connections'!$F$38),X51,IF(I52&gt;I$8,((((VLOOKUP($B52,'Rate Projection'!$A$11:$G$101,3)))*(I52-I$8)/100)+(VLOOKUP($B52,'Rate Projection'!$A$11:$G$101,5)*'Monthly Revenue-Usage'!I$8/100)),(VLOOKUP($B52,'Rate Projection'!$A$11:$G$101,5)*('Monthly Revenue-Usage'!I52/100))))</f>
        <v>#REF!</v>
      </c>
      <c r="Z52" s="53" t="e">
        <f>(-ISPMT('Monthly Revenue-Usage'!$Z$10/12, 1,1*12, Z51)*12)+Z51</f>
        <v>#REF!</v>
      </c>
      <c r="AA52" s="53" t="e">
        <f t="shared" si="7"/>
        <v>#REF!</v>
      </c>
    </row>
    <row r="53" spans="2:27" x14ac:dyDescent="0.3">
      <c r="B53" s="61">
        <f t="shared" si="0"/>
        <v>2051</v>
      </c>
      <c r="C53" s="5" t="e">
        <f t="shared" si="1"/>
        <v>#REF!</v>
      </c>
      <c r="D53" s="5" t="e">
        <f t="shared" si="8"/>
        <v>#REF!</v>
      </c>
      <c r="E53" s="46" t="e">
        <f t="shared" si="9"/>
        <v>#REF!</v>
      </c>
      <c r="F53" s="46" t="e">
        <f t="shared" si="10"/>
        <v>#REF!</v>
      </c>
      <c r="G53" s="46" t="e">
        <f t="shared" si="11"/>
        <v>#REF!</v>
      </c>
      <c r="H53" s="46" t="e">
        <f t="shared" si="12"/>
        <v>#REF!</v>
      </c>
      <c r="I53" s="46" t="e">
        <f t="shared" si="13"/>
        <v>#REF!</v>
      </c>
      <c r="J53" s="53" t="e">
        <f>IF(AND(E53&gt;E$9, $D53&gt;'RV ERU Connections'!$F$37),J52,(VLOOKUP($B53,'Rate Projection'!$A$11:$G$101,2)*(E53/100)))</f>
        <v>#REF!</v>
      </c>
      <c r="K53" s="53" t="e">
        <f>IF(AND(F53&gt;F$9, $D53&gt;'RV ERU Connections'!$F$37),K52,(VLOOKUP($B53,'Rate Projection'!$A$11:$G$101,3)*(F53/100)))</f>
        <v>#REF!</v>
      </c>
      <c r="L53" s="53" t="e">
        <f>IF(AND(G53&gt;G$9, $D53&gt;'RV ERU Connections'!$F$37),L52,(VLOOKUP($B53,'Rate Projection'!$A$11:$G$101,3)*(G53/100)))</f>
        <v>#REF!</v>
      </c>
      <c r="M53" s="53" t="e">
        <f>IF(AND(H53&gt;H$9, $D53&gt;'RV ERU Connections'!$F$37),M52,(VLOOKUP($B53,'Rate Projection'!$A$11:$G$101,3)*(H53/100)))</f>
        <v>#REF!</v>
      </c>
      <c r="N53" s="53" t="e">
        <f>IF(AND(I53&gt;I$9, $D53&gt;'RV ERU Connections'!$F$37),N52,(VLOOKUP($B53,'Rate Projection'!$A$11:$G$101,3)*(I53/100)))</f>
        <v>#REF!</v>
      </c>
      <c r="O53" s="54" t="e">
        <f>IF(AND(E53&gt;E$9, E53&gt;(E$9+E$8),$D53&gt;'RV ERU Connections'!$F$38),O52,IF(E53&gt;E$9,((('Rate Projection'!$C$6+(VLOOKUP($B53,'Rate Projection'!$A$11:$G$101,4)))*(E53-E$9)/100)+(VLOOKUP($B53,'Rate Projection'!$A$11:$G$101,2)*'Monthly Revenue-Usage'!E$9/100)),(VLOOKUP($B53,'Rate Projection'!$A$11:$G$101,2)*('Monthly Revenue-Usage'!E53/100))))</f>
        <v>#REF!</v>
      </c>
      <c r="P53" s="54" t="e">
        <f>IF(AND(F53&gt;F$9, F53&gt;(F$9+F$8),$D53&gt;'RV ERU Connections'!$F$38),P52,IF(F53&gt;F$9,((('Rate Projection'!$C$6+(VLOOKUP($B53,'Rate Projection'!$A$11:$G$101,5)))*(F53-F$9)/100)+(VLOOKUP($B53,'Rate Projection'!$A$11:$G$101,3)*'Monthly Revenue-Usage'!F$9/100)),(VLOOKUP($B53,'Rate Projection'!$A$11:$G$101,3)*('Monthly Revenue-Usage'!F53/100))))</f>
        <v>#REF!</v>
      </c>
      <c r="Q53" s="54" t="e">
        <f>IF(AND(G53&gt;G$9, G53&gt;(G$9+G$8),$D53&gt;'RV ERU Connections'!$F$38),Q52,IF(G53&gt;G$9,((('Rate Projection'!$C$6+(VLOOKUP($B53,'Rate Projection'!$A$11:$G$101,5)))*(G53-G$9)/100)+(VLOOKUP($B53,'Rate Projection'!$A$11:$G$101,3)*'Monthly Revenue-Usage'!G$9/100)),(VLOOKUP($B53,'Rate Projection'!$A$11:$G$101,3)*('Monthly Revenue-Usage'!G53/100))))</f>
        <v>#REF!</v>
      </c>
      <c r="R53" s="54" t="e">
        <f>IF(AND(H53&gt;H$9, H53&gt;(H$9+H$8),$D53&gt;'RV ERU Connections'!$F$38),R52,IF(H53&gt;H$9,((('Rate Projection'!$C$6+(VLOOKUP($B53,'Rate Projection'!$A$11:$G$101,5)))*(H53-H$9)/100)+(VLOOKUP($B53,'Rate Projection'!$A$11:$G$101,3)*'Monthly Revenue-Usage'!H$9/100)),(VLOOKUP($B53,'Rate Projection'!$A$11:$G$101,3)*('Monthly Revenue-Usage'!H53/100))))</f>
        <v>#REF!</v>
      </c>
      <c r="S53" s="54" t="e">
        <f>IF(AND(I53&gt;I$9, I53&gt;(I$9+I$8),$D53&gt;'RV ERU Connections'!$F$38),S52,IF(I53&gt;I$9,((('Rate Projection'!$C$6+(VLOOKUP($B53,'Rate Projection'!$A$11:$G$101,5)))*(I53-I$9)/100)+(VLOOKUP($B53,'Rate Projection'!$A$11:$G$101,3)*'Monthly Revenue-Usage'!I$9/100)),(VLOOKUP($B53,'Rate Projection'!$A$11:$G$101,3)*('Monthly Revenue-Usage'!I53/100))))</f>
        <v>#REF!</v>
      </c>
      <c r="T53" s="52" t="e">
        <f>IF(AND(E53&gt;E$9, E53&gt;(E$9+E$8),$D53&gt;'RV ERU Connections'!$F$38),T52,IF(E53&gt;E$8,((((VLOOKUP($B53,'Rate Projection'!$A$11:$G$101,2)))*(E53-E$8)/100)+(VLOOKUP($B53,'Rate Projection'!$A$11:$G$101,4)*'Monthly Revenue-Usage'!E$8/100)),(VLOOKUP($B53,'Rate Projection'!$A$11:$G$101,4)*('Monthly Revenue-Usage'!E53/100))))</f>
        <v>#REF!</v>
      </c>
      <c r="U53" s="52" t="e">
        <f>IF(AND(F53&gt;F$9, F53&gt;(F$9+F$8),$D53&gt;'RV ERU Connections'!$F$38),U52,IF(F53&gt;F$8,((((VLOOKUP($B53,'Rate Projection'!$A$11:$G$101,3)))*(F53-F$8)/100)+(VLOOKUP($B53,'Rate Projection'!$A$11:$G$101,5)*'Monthly Revenue-Usage'!F$8/100)),(VLOOKUP($B53,'Rate Projection'!$A$11:$G$101,5)*('Monthly Revenue-Usage'!F53/100))))</f>
        <v>#REF!</v>
      </c>
      <c r="V53" s="52" t="e">
        <f>IF(AND(G53&gt;G$9, G53&gt;(G$9+G$8),$D53&gt;'RV ERU Connections'!$F$38),V52,IF(G53&gt;G$8,((((VLOOKUP($B53,'Rate Projection'!$A$11:$G$101,3)))*(G53-G$8)/100)+(VLOOKUP($B53,'Rate Projection'!$A$11:$G$101,5)*'Monthly Revenue-Usage'!G$8/100)),(VLOOKUP($B53,'Rate Projection'!$A$11:$G$101,5)*('Monthly Revenue-Usage'!G53/100))))</f>
        <v>#REF!</v>
      </c>
      <c r="W53" s="52" t="e">
        <f>IF(AND(H53&gt;H$9, H53&gt;(H$9+H$8),$D53&gt;'RV ERU Connections'!$F$38),W52,IF(H53&gt;H$8,((((VLOOKUP($B53,'Rate Projection'!$A$11:$G$101,3)))*(H53-H$8)/100)+(VLOOKUP($B53,'Rate Projection'!$A$11:$G$101,5)*'Monthly Revenue-Usage'!H$8/100)),(VLOOKUP($B53,'Rate Projection'!$A$11:$G$101,5)*('Monthly Revenue-Usage'!H53/100))))</f>
        <v>#REF!</v>
      </c>
      <c r="X53" s="52" t="e">
        <f>IF(AND(I53&gt;I$9, I53&gt;(I$9+I$8),$D53&gt;'RV ERU Connections'!$F$38),X52,IF(I53&gt;I$8,((((VLOOKUP($B53,'Rate Projection'!$A$11:$G$101,3)))*(I53-I$8)/100)+(VLOOKUP($B53,'Rate Projection'!$A$11:$G$101,5)*'Monthly Revenue-Usage'!I$8/100)),(VLOOKUP($B53,'Rate Projection'!$A$11:$G$101,5)*('Monthly Revenue-Usage'!I53/100))))</f>
        <v>#REF!</v>
      </c>
      <c r="Z53" s="53" t="e">
        <f>(-ISPMT('Monthly Revenue-Usage'!$Z$10/12, 1,1*12, Z52)*12)+Z52</f>
        <v>#REF!</v>
      </c>
      <c r="AA53" s="53" t="e">
        <f t="shared" si="7"/>
        <v>#REF!</v>
      </c>
    </row>
    <row r="54" spans="2:27" x14ac:dyDescent="0.3">
      <c r="B54" s="61">
        <f t="shared" si="0"/>
        <v>2052</v>
      </c>
      <c r="C54" s="5" t="e">
        <f t="shared" si="1"/>
        <v>#REF!</v>
      </c>
      <c r="D54" s="5" t="e">
        <f t="shared" si="8"/>
        <v>#REF!</v>
      </c>
      <c r="E54" s="46" t="e">
        <f t="shared" si="9"/>
        <v>#REF!</v>
      </c>
      <c r="F54" s="46" t="e">
        <f t="shared" si="10"/>
        <v>#REF!</v>
      </c>
      <c r="G54" s="46" t="e">
        <f t="shared" si="11"/>
        <v>#REF!</v>
      </c>
      <c r="H54" s="46" t="e">
        <f t="shared" si="12"/>
        <v>#REF!</v>
      </c>
      <c r="I54" s="46" t="e">
        <f t="shared" si="13"/>
        <v>#REF!</v>
      </c>
      <c r="J54" s="53" t="e">
        <f>IF(AND(E54&gt;E$9, $D54&gt;'RV ERU Connections'!$F$37),J53,(VLOOKUP($B54,'Rate Projection'!$A$11:$G$101,2)*(E54/100)))</f>
        <v>#REF!</v>
      </c>
      <c r="K54" s="53" t="e">
        <f>IF(AND(F54&gt;F$9, $D54&gt;'RV ERU Connections'!$F$37),K53,(VLOOKUP($B54,'Rate Projection'!$A$11:$G$101,3)*(F54/100)))</f>
        <v>#REF!</v>
      </c>
      <c r="L54" s="53" t="e">
        <f>IF(AND(G54&gt;G$9, $D54&gt;'RV ERU Connections'!$F$37),L53,(VLOOKUP($B54,'Rate Projection'!$A$11:$G$101,3)*(G54/100)))</f>
        <v>#REF!</v>
      </c>
      <c r="M54" s="53" t="e">
        <f>IF(AND(H54&gt;H$9, $D54&gt;'RV ERU Connections'!$F$37),M53,(VLOOKUP($B54,'Rate Projection'!$A$11:$G$101,3)*(H54/100)))</f>
        <v>#REF!</v>
      </c>
      <c r="N54" s="53" t="e">
        <f>IF(AND(I54&gt;I$9, $D54&gt;'RV ERU Connections'!$F$37),N53,(VLOOKUP($B54,'Rate Projection'!$A$11:$G$101,3)*(I54/100)))</f>
        <v>#REF!</v>
      </c>
      <c r="O54" s="54" t="e">
        <f>IF(AND(E54&gt;E$9, E54&gt;(E$9+E$8),$D54&gt;'RV ERU Connections'!$F$38),O53,IF(E54&gt;E$9,((('Rate Projection'!$C$6+(VLOOKUP($B54,'Rate Projection'!$A$11:$G$101,4)))*(E54-E$9)/100)+(VLOOKUP($B54,'Rate Projection'!$A$11:$G$101,2)*'Monthly Revenue-Usage'!E$9/100)),(VLOOKUP($B54,'Rate Projection'!$A$11:$G$101,2)*('Monthly Revenue-Usage'!E54/100))))</f>
        <v>#REF!</v>
      </c>
      <c r="P54" s="54" t="e">
        <f>IF(AND(F54&gt;F$9, F54&gt;(F$9+F$8),$D54&gt;'RV ERU Connections'!$F$38),P53,IF(F54&gt;F$9,((('Rate Projection'!$C$6+(VLOOKUP($B54,'Rate Projection'!$A$11:$G$101,5)))*(F54-F$9)/100)+(VLOOKUP($B54,'Rate Projection'!$A$11:$G$101,3)*'Monthly Revenue-Usage'!F$9/100)),(VLOOKUP($B54,'Rate Projection'!$A$11:$G$101,3)*('Monthly Revenue-Usage'!F54/100))))</f>
        <v>#REF!</v>
      </c>
      <c r="Q54" s="54" t="e">
        <f>IF(AND(G54&gt;G$9, G54&gt;(G$9+G$8),$D54&gt;'RV ERU Connections'!$F$38),Q53,IF(G54&gt;G$9,((('Rate Projection'!$C$6+(VLOOKUP($B54,'Rate Projection'!$A$11:$G$101,5)))*(G54-G$9)/100)+(VLOOKUP($B54,'Rate Projection'!$A$11:$G$101,3)*'Monthly Revenue-Usage'!G$9/100)),(VLOOKUP($B54,'Rate Projection'!$A$11:$G$101,3)*('Monthly Revenue-Usage'!G54/100))))</f>
        <v>#REF!</v>
      </c>
      <c r="R54" s="54" t="e">
        <f>IF(AND(H54&gt;H$9, H54&gt;(H$9+H$8),$D54&gt;'RV ERU Connections'!$F$38),R53,IF(H54&gt;H$9,((('Rate Projection'!$C$6+(VLOOKUP($B54,'Rate Projection'!$A$11:$G$101,5)))*(H54-H$9)/100)+(VLOOKUP($B54,'Rate Projection'!$A$11:$G$101,3)*'Monthly Revenue-Usage'!H$9/100)),(VLOOKUP($B54,'Rate Projection'!$A$11:$G$101,3)*('Monthly Revenue-Usage'!H54/100))))</f>
        <v>#REF!</v>
      </c>
      <c r="S54" s="54" t="e">
        <f>IF(AND(I54&gt;I$9, I54&gt;(I$9+I$8),$D54&gt;'RV ERU Connections'!$F$38),S53,IF(I54&gt;I$9,((('Rate Projection'!$C$6+(VLOOKUP($B54,'Rate Projection'!$A$11:$G$101,5)))*(I54-I$9)/100)+(VLOOKUP($B54,'Rate Projection'!$A$11:$G$101,3)*'Monthly Revenue-Usage'!I$9/100)),(VLOOKUP($B54,'Rate Projection'!$A$11:$G$101,3)*('Monthly Revenue-Usage'!I54/100))))</f>
        <v>#REF!</v>
      </c>
      <c r="T54" s="52" t="e">
        <f>IF(AND(E54&gt;E$9, E54&gt;(E$9+E$8),$D54&gt;'RV ERU Connections'!$F$38),T53,IF(E54&gt;E$8,((((VLOOKUP($B54,'Rate Projection'!$A$11:$G$101,2)))*(E54-E$8)/100)+(VLOOKUP($B54,'Rate Projection'!$A$11:$G$101,4)*'Monthly Revenue-Usage'!E$8/100)),(VLOOKUP($B54,'Rate Projection'!$A$11:$G$101,4)*('Monthly Revenue-Usage'!E54/100))))</f>
        <v>#REF!</v>
      </c>
      <c r="U54" s="52" t="e">
        <f>IF(AND(F54&gt;F$9, F54&gt;(F$9+F$8),$D54&gt;'RV ERU Connections'!$F$38),U53,IF(F54&gt;F$8,((((VLOOKUP($B54,'Rate Projection'!$A$11:$G$101,3)))*(F54-F$8)/100)+(VLOOKUP($B54,'Rate Projection'!$A$11:$G$101,5)*'Monthly Revenue-Usage'!F$8/100)),(VLOOKUP($B54,'Rate Projection'!$A$11:$G$101,5)*('Monthly Revenue-Usage'!F54/100))))</f>
        <v>#REF!</v>
      </c>
      <c r="V54" s="52" t="e">
        <f>IF(AND(G54&gt;G$9, G54&gt;(G$9+G$8),$D54&gt;'RV ERU Connections'!$F$38),V53,IF(G54&gt;G$8,((((VLOOKUP($B54,'Rate Projection'!$A$11:$G$101,3)))*(G54-G$8)/100)+(VLOOKUP($B54,'Rate Projection'!$A$11:$G$101,5)*'Monthly Revenue-Usage'!G$8/100)),(VLOOKUP($B54,'Rate Projection'!$A$11:$G$101,5)*('Monthly Revenue-Usage'!G54/100))))</f>
        <v>#REF!</v>
      </c>
      <c r="W54" s="52" t="e">
        <f>IF(AND(H54&gt;H$9, H54&gt;(H$9+H$8),$D54&gt;'RV ERU Connections'!$F$38),W53,IF(H54&gt;H$8,((((VLOOKUP($B54,'Rate Projection'!$A$11:$G$101,3)))*(H54-H$8)/100)+(VLOOKUP($B54,'Rate Projection'!$A$11:$G$101,5)*'Monthly Revenue-Usage'!H$8/100)),(VLOOKUP($B54,'Rate Projection'!$A$11:$G$101,5)*('Monthly Revenue-Usage'!H54/100))))</f>
        <v>#REF!</v>
      </c>
      <c r="X54" s="52" t="e">
        <f>IF(AND(I54&gt;I$9, I54&gt;(I$9+I$8),$D54&gt;'RV ERU Connections'!$F$38),X53,IF(I54&gt;I$8,((((VLOOKUP($B54,'Rate Projection'!$A$11:$G$101,3)))*(I54-I$8)/100)+(VLOOKUP($B54,'Rate Projection'!$A$11:$G$101,5)*'Monthly Revenue-Usage'!I$8/100)),(VLOOKUP($B54,'Rate Projection'!$A$11:$G$101,5)*('Monthly Revenue-Usage'!I54/100))))</f>
        <v>#REF!</v>
      </c>
      <c r="Z54" s="53" t="e">
        <f>(-ISPMT('Monthly Revenue-Usage'!$Z$10/12, 1,1*12, Z53)*12)+Z53</f>
        <v>#REF!</v>
      </c>
      <c r="AA54" s="53" t="e">
        <f t="shared" si="7"/>
        <v>#REF!</v>
      </c>
    </row>
    <row r="55" spans="2:27" x14ac:dyDescent="0.3">
      <c r="B55" s="61">
        <f t="shared" si="0"/>
        <v>2053</v>
      </c>
      <c r="C55" s="5" t="e">
        <f t="shared" si="1"/>
        <v>#REF!</v>
      </c>
      <c r="D55" s="5" t="e">
        <f t="shared" si="8"/>
        <v>#REF!</v>
      </c>
      <c r="E55" s="46" t="e">
        <f t="shared" si="9"/>
        <v>#REF!</v>
      </c>
      <c r="F55" s="46" t="e">
        <f t="shared" si="10"/>
        <v>#REF!</v>
      </c>
      <c r="G55" s="46" t="e">
        <f t="shared" si="11"/>
        <v>#REF!</v>
      </c>
      <c r="H55" s="46" t="e">
        <f t="shared" si="12"/>
        <v>#REF!</v>
      </c>
      <c r="I55" s="46" t="e">
        <f t="shared" si="13"/>
        <v>#REF!</v>
      </c>
      <c r="J55" s="53" t="e">
        <f>IF(AND(E55&gt;E$9, $D55&gt;'RV ERU Connections'!$F$37),J54,(VLOOKUP($B55,'Rate Projection'!$A$11:$G$101,2)*(E55/100)))</f>
        <v>#REF!</v>
      </c>
      <c r="K55" s="53" t="e">
        <f>IF(AND(F55&gt;F$9, $D55&gt;'RV ERU Connections'!$F$37),K54,(VLOOKUP($B55,'Rate Projection'!$A$11:$G$101,3)*(F55/100)))</f>
        <v>#REF!</v>
      </c>
      <c r="L55" s="53" t="e">
        <f>IF(AND(G55&gt;G$9, $D55&gt;'RV ERU Connections'!$F$37),L54,(VLOOKUP($B55,'Rate Projection'!$A$11:$G$101,3)*(G55/100)))</f>
        <v>#REF!</v>
      </c>
      <c r="M55" s="53" t="e">
        <f>IF(AND(H55&gt;H$9, $D55&gt;'RV ERU Connections'!$F$37),M54,(VLOOKUP($B55,'Rate Projection'!$A$11:$G$101,3)*(H55/100)))</f>
        <v>#REF!</v>
      </c>
      <c r="N55" s="53" t="e">
        <f>IF(AND(I55&gt;I$9, $D55&gt;'RV ERU Connections'!$F$37),N54,(VLOOKUP($B55,'Rate Projection'!$A$11:$G$101,3)*(I55/100)))</f>
        <v>#REF!</v>
      </c>
      <c r="O55" s="54" t="e">
        <f>IF(AND(E55&gt;E$9, E55&gt;(E$9+E$8),$D55&gt;'RV ERU Connections'!$F$38),O54,IF(E55&gt;E$9,((('Rate Projection'!$C$6+(VLOOKUP($B55,'Rate Projection'!$A$11:$G$101,4)))*(E55-E$9)/100)+(VLOOKUP($B55,'Rate Projection'!$A$11:$G$101,2)*'Monthly Revenue-Usage'!E$9/100)),(VLOOKUP($B55,'Rate Projection'!$A$11:$G$101,2)*('Monthly Revenue-Usage'!E55/100))))</f>
        <v>#REF!</v>
      </c>
      <c r="P55" s="54" t="e">
        <f>IF(AND(F55&gt;F$9, F55&gt;(F$9+F$8),$D55&gt;'RV ERU Connections'!$F$38),P54,IF(F55&gt;F$9,((('Rate Projection'!$C$6+(VLOOKUP($B55,'Rate Projection'!$A$11:$G$101,5)))*(F55-F$9)/100)+(VLOOKUP($B55,'Rate Projection'!$A$11:$G$101,3)*'Monthly Revenue-Usage'!F$9/100)),(VLOOKUP($B55,'Rate Projection'!$A$11:$G$101,3)*('Monthly Revenue-Usage'!F55/100))))</f>
        <v>#REF!</v>
      </c>
      <c r="Q55" s="54" t="e">
        <f>IF(AND(G55&gt;G$9, G55&gt;(G$9+G$8),$D55&gt;'RV ERU Connections'!$F$38),Q54,IF(G55&gt;G$9,((('Rate Projection'!$C$6+(VLOOKUP($B55,'Rate Projection'!$A$11:$G$101,5)))*(G55-G$9)/100)+(VLOOKUP($B55,'Rate Projection'!$A$11:$G$101,3)*'Monthly Revenue-Usage'!G$9/100)),(VLOOKUP($B55,'Rate Projection'!$A$11:$G$101,3)*('Monthly Revenue-Usage'!G55/100))))</f>
        <v>#REF!</v>
      </c>
      <c r="R55" s="54" t="e">
        <f>IF(AND(H55&gt;H$9, H55&gt;(H$9+H$8),$D55&gt;'RV ERU Connections'!$F$38),R54,IF(H55&gt;H$9,((('Rate Projection'!$C$6+(VLOOKUP($B55,'Rate Projection'!$A$11:$G$101,5)))*(H55-H$9)/100)+(VLOOKUP($B55,'Rate Projection'!$A$11:$G$101,3)*'Monthly Revenue-Usage'!H$9/100)),(VLOOKUP($B55,'Rate Projection'!$A$11:$G$101,3)*('Monthly Revenue-Usage'!H55/100))))</f>
        <v>#REF!</v>
      </c>
      <c r="S55" s="54" t="e">
        <f>IF(AND(I55&gt;I$9, I55&gt;(I$9+I$8),$D55&gt;'RV ERU Connections'!$F$38),S54,IF(I55&gt;I$9,((('Rate Projection'!$C$6+(VLOOKUP($B55,'Rate Projection'!$A$11:$G$101,5)))*(I55-I$9)/100)+(VLOOKUP($B55,'Rate Projection'!$A$11:$G$101,3)*'Monthly Revenue-Usage'!I$9/100)),(VLOOKUP($B55,'Rate Projection'!$A$11:$G$101,3)*('Monthly Revenue-Usage'!I55/100))))</f>
        <v>#REF!</v>
      </c>
      <c r="T55" s="52" t="e">
        <f>IF(AND(E55&gt;E$9, E55&gt;(E$9+E$8),$D55&gt;'RV ERU Connections'!$F$38),T54,IF(E55&gt;E$8,((((VLOOKUP($B55,'Rate Projection'!$A$11:$G$101,2)))*(E55-E$8)/100)+(VLOOKUP($B55,'Rate Projection'!$A$11:$G$101,4)*'Monthly Revenue-Usage'!E$8/100)),(VLOOKUP($B55,'Rate Projection'!$A$11:$G$101,4)*('Monthly Revenue-Usage'!E55/100))))</f>
        <v>#REF!</v>
      </c>
      <c r="U55" s="52" t="e">
        <f>IF(AND(F55&gt;F$9, F55&gt;(F$9+F$8),$D55&gt;'RV ERU Connections'!$F$38),U54,IF(F55&gt;F$8,((((VLOOKUP($B55,'Rate Projection'!$A$11:$G$101,3)))*(F55-F$8)/100)+(VLOOKUP($B55,'Rate Projection'!$A$11:$G$101,5)*'Monthly Revenue-Usage'!F$8/100)),(VLOOKUP($B55,'Rate Projection'!$A$11:$G$101,5)*('Monthly Revenue-Usage'!F55/100))))</f>
        <v>#REF!</v>
      </c>
      <c r="V55" s="52" t="e">
        <f>IF(AND(G55&gt;G$9, G55&gt;(G$9+G$8),$D55&gt;'RV ERU Connections'!$F$38),V54,IF(G55&gt;G$8,((((VLOOKUP($B55,'Rate Projection'!$A$11:$G$101,3)))*(G55-G$8)/100)+(VLOOKUP($B55,'Rate Projection'!$A$11:$G$101,5)*'Monthly Revenue-Usage'!G$8/100)),(VLOOKUP($B55,'Rate Projection'!$A$11:$G$101,5)*('Monthly Revenue-Usage'!G55/100))))</f>
        <v>#REF!</v>
      </c>
      <c r="W55" s="52" t="e">
        <f>IF(AND(H55&gt;H$9, H55&gt;(H$9+H$8),$D55&gt;'RV ERU Connections'!$F$38),W54,IF(H55&gt;H$8,((((VLOOKUP($B55,'Rate Projection'!$A$11:$G$101,3)))*(H55-H$8)/100)+(VLOOKUP($B55,'Rate Projection'!$A$11:$G$101,5)*'Monthly Revenue-Usage'!H$8/100)),(VLOOKUP($B55,'Rate Projection'!$A$11:$G$101,5)*('Monthly Revenue-Usage'!H55/100))))</f>
        <v>#REF!</v>
      </c>
      <c r="X55" s="52" t="e">
        <f>IF(AND(I55&gt;I$9, I55&gt;(I$9+I$8),$D55&gt;'RV ERU Connections'!$F$38),X54,IF(I55&gt;I$8,((((VLOOKUP($B55,'Rate Projection'!$A$11:$G$101,3)))*(I55-I$8)/100)+(VLOOKUP($B55,'Rate Projection'!$A$11:$G$101,5)*'Monthly Revenue-Usage'!I$8/100)),(VLOOKUP($B55,'Rate Projection'!$A$11:$G$101,5)*('Monthly Revenue-Usage'!I55/100))))</f>
        <v>#REF!</v>
      </c>
      <c r="Z55" s="53" t="e">
        <f>(-ISPMT('Monthly Revenue-Usage'!$Z$10/12, 1,1*12, Z54)*12)+Z54</f>
        <v>#REF!</v>
      </c>
      <c r="AA55" s="53" t="e">
        <f t="shared" si="7"/>
        <v>#REF!</v>
      </c>
    </row>
    <row r="56" spans="2:27" x14ac:dyDescent="0.3">
      <c r="B56" s="61">
        <f t="shared" si="0"/>
        <v>2054</v>
      </c>
      <c r="C56" s="5" t="e">
        <f t="shared" si="1"/>
        <v>#REF!</v>
      </c>
      <c r="D56" s="5" t="e">
        <f t="shared" si="8"/>
        <v>#REF!</v>
      </c>
      <c r="E56" s="46" t="e">
        <f t="shared" si="9"/>
        <v>#REF!</v>
      </c>
      <c r="F56" s="46" t="e">
        <f t="shared" si="10"/>
        <v>#REF!</v>
      </c>
      <c r="G56" s="46" t="e">
        <f t="shared" si="11"/>
        <v>#REF!</v>
      </c>
      <c r="H56" s="46" t="e">
        <f t="shared" si="12"/>
        <v>#REF!</v>
      </c>
      <c r="I56" s="46" t="e">
        <f t="shared" si="13"/>
        <v>#REF!</v>
      </c>
      <c r="J56" s="53" t="e">
        <f>IF(AND(E56&gt;E$9, $D56&gt;'RV ERU Connections'!$F$37),J55,(VLOOKUP($B56,'Rate Projection'!$A$11:$G$101,2)*(E56/100)))</f>
        <v>#REF!</v>
      </c>
      <c r="K56" s="53" t="e">
        <f>IF(AND(F56&gt;F$9, $D56&gt;'RV ERU Connections'!$F$37),K55,(VLOOKUP($B56,'Rate Projection'!$A$11:$G$101,3)*(F56/100)))</f>
        <v>#REF!</v>
      </c>
      <c r="L56" s="53" t="e">
        <f>IF(AND(G56&gt;G$9, $D56&gt;'RV ERU Connections'!$F$37),L55,(VLOOKUP($B56,'Rate Projection'!$A$11:$G$101,3)*(G56/100)))</f>
        <v>#REF!</v>
      </c>
      <c r="M56" s="53" t="e">
        <f>IF(AND(H56&gt;H$9, $D56&gt;'RV ERU Connections'!$F$37),M55,(VLOOKUP($B56,'Rate Projection'!$A$11:$G$101,3)*(H56/100)))</f>
        <v>#REF!</v>
      </c>
      <c r="N56" s="53" t="e">
        <f>IF(AND(I56&gt;I$9, $D56&gt;'RV ERU Connections'!$F$37),N55,(VLOOKUP($B56,'Rate Projection'!$A$11:$G$101,3)*(I56/100)))</f>
        <v>#REF!</v>
      </c>
      <c r="O56" s="54" t="e">
        <f>IF(AND(E56&gt;E$9, E56&gt;(E$9+E$8),$D56&gt;'RV ERU Connections'!$F$38),O55,IF(E56&gt;E$9,((('Rate Projection'!$C$6+(VLOOKUP($B56,'Rate Projection'!$A$11:$G$101,4)))*(E56-E$9)/100)+(VLOOKUP($B56,'Rate Projection'!$A$11:$G$101,2)*'Monthly Revenue-Usage'!E$9/100)),(VLOOKUP($B56,'Rate Projection'!$A$11:$G$101,2)*('Monthly Revenue-Usage'!E56/100))))</f>
        <v>#REF!</v>
      </c>
      <c r="P56" s="54" t="e">
        <f>IF(AND(F56&gt;F$9, F56&gt;(F$9+F$8),$D56&gt;'RV ERU Connections'!$F$38),P55,IF(F56&gt;F$9,((('Rate Projection'!$C$6+(VLOOKUP($B56,'Rate Projection'!$A$11:$G$101,5)))*(F56-F$9)/100)+(VLOOKUP($B56,'Rate Projection'!$A$11:$G$101,3)*'Monthly Revenue-Usage'!F$9/100)),(VLOOKUP($B56,'Rate Projection'!$A$11:$G$101,3)*('Monthly Revenue-Usage'!F56/100))))</f>
        <v>#REF!</v>
      </c>
      <c r="Q56" s="54" t="e">
        <f>IF(AND(G56&gt;G$9, G56&gt;(G$9+G$8),$D56&gt;'RV ERU Connections'!$F$38),Q55,IF(G56&gt;G$9,((('Rate Projection'!$C$6+(VLOOKUP($B56,'Rate Projection'!$A$11:$G$101,5)))*(G56-G$9)/100)+(VLOOKUP($B56,'Rate Projection'!$A$11:$G$101,3)*'Monthly Revenue-Usage'!G$9/100)),(VLOOKUP($B56,'Rate Projection'!$A$11:$G$101,3)*('Monthly Revenue-Usage'!G56/100))))</f>
        <v>#REF!</v>
      </c>
      <c r="R56" s="54" t="e">
        <f>IF(AND(H56&gt;H$9, H56&gt;(H$9+H$8),$D56&gt;'RV ERU Connections'!$F$38),R55,IF(H56&gt;H$9,((('Rate Projection'!$C$6+(VLOOKUP($B56,'Rate Projection'!$A$11:$G$101,5)))*(H56-H$9)/100)+(VLOOKUP($B56,'Rate Projection'!$A$11:$G$101,3)*'Monthly Revenue-Usage'!H$9/100)),(VLOOKUP($B56,'Rate Projection'!$A$11:$G$101,3)*('Monthly Revenue-Usage'!H56/100))))</f>
        <v>#REF!</v>
      </c>
      <c r="S56" s="54" t="e">
        <f>IF(AND(I56&gt;I$9, I56&gt;(I$9+I$8),$D56&gt;'RV ERU Connections'!$F$38),S55,IF(I56&gt;I$9,((('Rate Projection'!$C$6+(VLOOKUP($B56,'Rate Projection'!$A$11:$G$101,5)))*(I56-I$9)/100)+(VLOOKUP($B56,'Rate Projection'!$A$11:$G$101,3)*'Monthly Revenue-Usage'!I$9/100)),(VLOOKUP($B56,'Rate Projection'!$A$11:$G$101,3)*('Monthly Revenue-Usage'!I56/100))))</f>
        <v>#REF!</v>
      </c>
      <c r="T56" s="52" t="e">
        <f>IF(AND(E56&gt;E$9, E56&gt;(E$9+E$8),$D56&gt;'RV ERU Connections'!$F$38),T55,IF(E56&gt;E$8,((((VLOOKUP($B56,'Rate Projection'!$A$11:$G$101,2)))*(E56-E$8)/100)+(VLOOKUP($B56,'Rate Projection'!$A$11:$G$101,4)*'Monthly Revenue-Usage'!E$8/100)),(VLOOKUP($B56,'Rate Projection'!$A$11:$G$101,4)*('Monthly Revenue-Usage'!E56/100))))</f>
        <v>#REF!</v>
      </c>
      <c r="U56" s="52" t="e">
        <f>IF(AND(F56&gt;F$9, F56&gt;(F$9+F$8),$D56&gt;'RV ERU Connections'!$F$38),U55,IF(F56&gt;F$8,((((VLOOKUP($B56,'Rate Projection'!$A$11:$G$101,3)))*(F56-F$8)/100)+(VLOOKUP($B56,'Rate Projection'!$A$11:$G$101,5)*'Monthly Revenue-Usage'!F$8/100)),(VLOOKUP($B56,'Rate Projection'!$A$11:$G$101,5)*('Monthly Revenue-Usage'!F56/100))))</f>
        <v>#REF!</v>
      </c>
      <c r="V56" s="52" t="e">
        <f>IF(AND(G56&gt;G$9, G56&gt;(G$9+G$8),$D56&gt;'RV ERU Connections'!$F$38),V55,IF(G56&gt;G$8,((((VLOOKUP($B56,'Rate Projection'!$A$11:$G$101,3)))*(G56-G$8)/100)+(VLOOKUP($B56,'Rate Projection'!$A$11:$G$101,5)*'Monthly Revenue-Usage'!G$8/100)),(VLOOKUP($B56,'Rate Projection'!$A$11:$G$101,5)*('Monthly Revenue-Usage'!G56/100))))</f>
        <v>#REF!</v>
      </c>
      <c r="W56" s="52" t="e">
        <f>IF(AND(H56&gt;H$9, H56&gt;(H$9+H$8),$D56&gt;'RV ERU Connections'!$F$38),W55,IF(H56&gt;H$8,((((VLOOKUP($B56,'Rate Projection'!$A$11:$G$101,3)))*(H56-H$8)/100)+(VLOOKUP($B56,'Rate Projection'!$A$11:$G$101,5)*'Monthly Revenue-Usage'!H$8/100)),(VLOOKUP($B56,'Rate Projection'!$A$11:$G$101,5)*('Monthly Revenue-Usage'!H56/100))))</f>
        <v>#REF!</v>
      </c>
      <c r="X56" s="52" t="e">
        <f>IF(AND(I56&gt;I$9, I56&gt;(I$9+I$8),$D56&gt;'RV ERU Connections'!$F$38),X55,IF(I56&gt;I$8,((((VLOOKUP($B56,'Rate Projection'!$A$11:$G$101,3)))*(I56-I$8)/100)+(VLOOKUP($B56,'Rate Projection'!$A$11:$G$101,5)*'Monthly Revenue-Usage'!I$8/100)),(VLOOKUP($B56,'Rate Projection'!$A$11:$G$101,5)*('Monthly Revenue-Usage'!I56/100))))</f>
        <v>#REF!</v>
      </c>
      <c r="Z56" s="53" t="e">
        <f>(-ISPMT('Monthly Revenue-Usage'!$Z$10/12, 1,1*12, Z55)*12)+Z55</f>
        <v>#REF!</v>
      </c>
      <c r="AA56" s="53" t="e">
        <f t="shared" si="7"/>
        <v>#REF!</v>
      </c>
    </row>
    <row r="57" spans="2:27" x14ac:dyDescent="0.3">
      <c r="B57" s="61">
        <f t="shared" si="0"/>
        <v>2055</v>
      </c>
      <c r="C57" s="5" t="e">
        <f t="shared" si="1"/>
        <v>#REF!</v>
      </c>
      <c r="D57" s="5" t="e">
        <f t="shared" si="8"/>
        <v>#REF!</v>
      </c>
      <c r="E57" s="46" t="e">
        <f t="shared" si="9"/>
        <v>#REF!</v>
      </c>
      <c r="F57" s="46" t="e">
        <f t="shared" si="10"/>
        <v>#REF!</v>
      </c>
      <c r="G57" s="46" t="e">
        <f t="shared" si="11"/>
        <v>#REF!</v>
      </c>
      <c r="H57" s="46" t="e">
        <f t="shared" si="12"/>
        <v>#REF!</v>
      </c>
      <c r="I57" s="46" t="e">
        <f t="shared" si="13"/>
        <v>#REF!</v>
      </c>
      <c r="J57" s="53" t="e">
        <f>IF(AND(E57&gt;E$9, $D57&gt;'RV ERU Connections'!$F$37),J56,(VLOOKUP($B57,'Rate Projection'!$A$11:$G$101,2)*(E57/100)))</f>
        <v>#REF!</v>
      </c>
      <c r="K57" s="53" t="e">
        <f>IF(AND(F57&gt;F$9, $D57&gt;'RV ERU Connections'!$F$37),K56,(VLOOKUP($B57,'Rate Projection'!$A$11:$G$101,3)*(F57/100)))</f>
        <v>#REF!</v>
      </c>
      <c r="L57" s="53" t="e">
        <f>IF(AND(G57&gt;G$9, $D57&gt;'RV ERU Connections'!$F$37),L56,(VLOOKUP($B57,'Rate Projection'!$A$11:$G$101,3)*(G57/100)))</f>
        <v>#REF!</v>
      </c>
      <c r="M57" s="53" t="e">
        <f>IF(AND(H57&gt;H$9, $D57&gt;'RV ERU Connections'!$F$37),M56,(VLOOKUP($B57,'Rate Projection'!$A$11:$G$101,3)*(H57/100)))</f>
        <v>#REF!</v>
      </c>
      <c r="N57" s="53" t="e">
        <f>IF(AND(I57&gt;I$9, $D57&gt;'RV ERU Connections'!$F$37),N56,(VLOOKUP($B57,'Rate Projection'!$A$11:$G$101,3)*(I57/100)))</f>
        <v>#REF!</v>
      </c>
      <c r="O57" s="54" t="e">
        <f>IF(AND(E57&gt;E$9, E57&gt;(E$9+E$8),$D57&gt;'RV ERU Connections'!$F$38),O56,IF(E57&gt;E$9,((('Rate Projection'!$C$6+(VLOOKUP($B57,'Rate Projection'!$A$11:$G$101,4)))*(E57-E$9)/100)+(VLOOKUP($B57,'Rate Projection'!$A$11:$G$101,2)*'Monthly Revenue-Usage'!E$9/100)),(VLOOKUP($B57,'Rate Projection'!$A$11:$G$101,2)*('Monthly Revenue-Usage'!E57/100))))</f>
        <v>#REF!</v>
      </c>
      <c r="P57" s="54" t="e">
        <f>IF(AND(F57&gt;F$9, F57&gt;(F$9+F$8),$D57&gt;'RV ERU Connections'!$F$38),P56,IF(F57&gt;F$9,((('Rate Projection'!$C$6+(VLOOKUP($B57,'Rate Projection'!$A$11:$G$101,5)))*(F57-F$9)/100)+(VLOOKUP($B57,'Rate Projection'!$A$11:$G$101,3)*'Monthly Revenue-Usage'!F$9/100)),(VLOOKUP($B57,'Rate Projection'!$A$11:$G$101,3)*('Monthly Revenue-Usage'!F57/100))))</f>
        <v>#REF!</v>
      </c>
      <c r="Q57" s="54" t="e">
        <f>IF(AND(G57&gt;G$9, G57&gt;(G$9+G$8),$D57&gt;'RV ERU Connections'!$F$38),Q56,IF(G57&gt;G$9,((('Rate Projection'!$C$6+(VLOOKUP($B57,'Rate Projection'!$A$11:$G$101,5)))*(G57-G$9)/100)+(VLOOKUP($B57,'Rate Projection'!$A$11:$G$101,3)*'Monthly Revenue-Usage'!G$9/100)),(VLOOKUP($B57,'Rate Projection'!$A$11:$G$101,3)*('Monthly Revenue-Usage'!G57/100))))</f>
        <v>#REF!</v>
      </c>
      <c r="R57" s="54" t="e">
        <f>IF(AND(H57&gt;H$9, H57&gt;(H$9+H$8),$D57&gt;'RV ERU Connections'!$F$38),R56,IF(H57&gt;H$9,((('Rate Projection'!$C$6+(VLOOKUP($B57,'Rate Projection'!$A$11:$G$101,5)))*(H57-H$9)/100)+(VLOOKUP($B57,'Rate Projection'!$A$11:$G$101,3)*'Monthly Revenue-Usage'!H$9/100)),(VLOOKUP($B57,'Rate Projection'!$A$11:$G$101,3)*('Monthly Revenue-Usage'!H57/100))))</f>
        <v>#REF!</v>
      </c>
      <c r="S57" s="54" t="e">
        <f>IF(AND(I57&gt;I$9, I57&gt;(I$9+I$8),$D57&gt;'RV ERU Connections'!$F$38),S56,IF(I57&gt;I$9,((('Rate Projection'!$C$6+(VLOOKUP($B57,'Rate Projection'!$A$11:$G$101,5)))*(I57-I$9)/100)+(VLOOKUP($B57,'Rate Projection'!$A$11:$G$101,3)*'Monthly Revenue-Usage'!I$9/100)),(VLOOKUP($B57,'Rate Projection'!$A$11:$G$101,3)*('Monthly Revenue-Usage'!I57/100))))</f>
        <v>#REF!</v>
      </c>
      <c r="T57" s="52" t="e">
        <f>IF(AND(E57&gt;E$9, E57&gt;(E$9+E$8),$D57&gt;'RV ERU Connections'!$F$38),T56,IF(E57&gt;E$8,((((VLOOKUP($B57,'Rate Projection'!$A$11:$G$101,2)))*(E57-E$8)/100)+(VLOOKUP($B57,'Rate Projection'!$A$11:$G$101,4)*'Monthly Revenue-Usage'!E$8/100)),(VLOOKUP($B57,'Rate Projection'!$A$11:$G$101,4)*('Monthly Revenue-Usage'!E57/100))))</f>
        <v>#REF!</v>
      </c>
      <c r="U57" s="52" t="e">
        <f>IF(AND(F57&gt;F$9, F57&gt;(F$9+F$8),$D57&gt;'RV ERU Connections'!$F$38),U56,IF(F57&gt;F$8,((((VLOOKUP($B57,'Rate Projection'!$A$11:$G$101,3)))*(F57-F$8)/100)+(VLOOKUP($B57,'Rate Projection'!$A$11:$G$101,5)*'Monthly Revenue-Usage'!F$8/100)),(VLOOKUP($B57,'Rate Projection'!$A$11:$G$101,5)*('Monthly Revenue-Usage'!F57/100))))</f>
        <v>#REF!</v>
      </c>
      <c r="V57" s="52" t="e">
        <f>IF(AND(G57&gt;G$9, G57&gt;(G$9+G$8),$D57&gt;'RV ERU Connections'!$F$38),V56,IF(G57&gt;G$8,((((VLOOKUP($B57,'Rate Projection'!$A$11:$G$101,3)))*(G57-G$8)/100)+(VLOOKUP($B57,'Rate Projection'!$A$11:$G$101,5)*'Monthly Revenue-Usage'!G$8/100)),(VLOOKUP($B57,'Rate Projection'!$A$11:$G$101,5)*('Monthly Revenue-Usage'!G57/100))))</f>
        <v>#REF!</v>
      </c>
      <c r="W57" s="52" t="e">
        <f>IF(AND(H57&gt;H$9, H57&gt;(H$9+H$8),$D57&gt;'RV ERU Connections'!$F$38),W56,IF(H57&gt;H$8,((((VLOOKUP($B57,'Rate Projection'!$A$11:$G$101,3)))*(H57-H$8)/100)+(VLOOKUP($B57,'Rate Projection'!$A$11:$G$101,5)*'Monthly Revenue-Usage'!H$8/100)),(VLOOKUP($B57,'Rate Projection'!$A$11:$G$101,5)*('Monthly Revenue-Usage'!H57/100))))</f>
        <v>#REF!</v>
      </c>
      <c r="X57" s="52" t="e">
        <f>IF(AND(I57&gt;I$9, I57&gt;(I$9+I$8),$D57&gt;'RV ERU Connections'!$F$38),X56,IF(I57&gt;I$8,((((VLOOKUP($B57,'Rate Projection'!$A$11:$G$101,3)))*(I57-I$8)/100)+(VLOOKUP($B57,'Rate Projection'!$A$11:$G$101,5)*'Monthly Revenue-Usage'!I$8/100)),(VLOOKUP($B57,'Rate Projection'!$A$11:$G$101,5)*('Monthly Revenue-Usage'!I57/100))))</f>
        <v>#REF!</v>
      </c>
      <c r="Z57" s="53" t="e">
        <f>(-ISPMT('Monthly Revenue-Usage'!$Z$10/12, 1,1*12, Z56)*12)+Z56</f>
        <v>#REF!</v>
      </c>
      <c r="AA57" s="53" t="e">
        <f t="shared" si="7"/>
        <v>#REF!</v>
      </c>
    </row>
    <row r="58" spans="2:27" x14ac:dyDescent="0.3">
      <c r="B58" s="61">
        <f t="shared" si="0"/>
        <v>2056</v>
      </c>
      <c r="C58" s="5" t="e">
        <f t="shared" si="1"/>
        <v>#REF!</v>
      </c>
      <c r="D58" s="5" t="e">
        <f t="shared" si="8"/>
        <v>#REF!</v>
      </c>
      <c r="E58" s="46" t="e">
        <f t="shared" si="9"/>
        <v>#REF!</v>
      </c>
      <c r="F58" s="46" t="e">
        <f t="shared" si="10"/>
        <v>#REF!</v>
      </c>
      <c r="G58" s="46" t="e">
        <f t="shared" si="11"/>
        <v>#REF!</v>
      </c>
      <c r="H58" s="46" t="e">
        <f t="shared" si="12"/>
        <v>#REF!</v>
      </c>
      <c r="I58" s="46" t="e">
        <f t="shared" si="13"/>
        <v>#REF!</v>
      </c>
      <c r="J58" s="53" t="e">
        <f>IF(AND(E58&gt;E$9, $D58&gt;'RV ERU Connections'!$F$37),J57,(VLOOKUP($B58,'Rate Projection'!$A$11:$G$101,2)*(E58/100)))</f>
        <v>#REF!</v>
      </c>
      <c r="K58" s="53" t="e">
        <f>IF(AND(F58&gt;F$9, $D58&gt;'RV ERU Connections'!$F$37),K57,(VLOOKUP($B58,'Rate Projection'!$A$11:$G$101,3)*(F58/100)))</f>
        <v>#REF!</v>
      </c>
      <c r="L58" s="53" t="e">
        <f>IF(AND(G58&gt;G$9, $D58&gt;'RV ERU Connections'!$F$37),L57,(VLOOKUP($B58,'Rate Projection'!$A$11:$G$101,3)*(G58/100)))</f>
        <v>#REF!</v>
      </c>
      <c r="M58" s="53" t="e">
        <f>IF(AND(H58&gt;H$9, $D58&gt;'RV ERU Connections'!$F$37),M57,(VLOOKUP($B58,'Rate Projection'!$A$11:$G$101,3)*(H58/100)))</f>
        <v>#REF!</v>
      </c>
      <c r="N58" s="53" t="e">
        <f>IF(AND(I58&gt;I$9, $D58&gt;'RV ERU Connections'!$F$37),N57,(VLOOKUP($B58,'Rate Projection'!$A$11:$G$101,3)*(I58/100)))</f>
        <v>#REF!</v>
      </c>
      <c r="O58" s="54" t="e">
        <f>IF(AND(E58&gt;E$9, E58&gt;(E$9+E$8),$D58&gt;'RV ERU Connections'!$F$38),O57,IF(E58&gt;E$9,((('Rate Projection'!$C$6+(VLOOKUP($B58,'Rate Projection'!$A$11:$G$101,4)))*(E58-E$9)/100)+(VLOOKUP($B58,'Rate Projection'!$A$11:$G$101,2)*'Monthly Revenue-Usage'!E$9/100)),(VLOOKUP($B58,'Rate Projection'!$A$11:$G$101,2)*('Monthly Revenue-Usage'!E58/100))))</f>
        <v>#REF!</v>
      </c>
      <c r="P58" s="54" t="e">
        <f>IF(AND(F58&gt;F$9, F58&gt;(F$9+F$8),$D58&gt;'RV ERU Connections'!$F$38),P57,IF(F58&gt;F$9,((('Rate Projection'!$C$6+(VLOOKUP($B58,'Rate Projection'!$A$11:$G$101,5)))*(F58-F$9)/100)+(VLOOKUP($B58,'Rate Projection'!$A$11:$G$101,3)*'Monthly Revenue-Usage'!F$9/100)),(VLOOKUP($B58,'Rate Projection'!$A$11:$G$101,3)*('Monthly Revenue-Usage'!F58/100))))</f>
        <v>#REF!</v>
      </c>
      <c r="Q58" s="54" t="e">
        <f>IF(AND(G58&gt;G$9, G58&gt;(G$9+G$8),$D58&gt;'RV ERU Connections'!$F$38),Q57,IF(G58&gt;G$9,((('Rate Projection'!$C$6+(VLOOKUP($B58,'Rate Projection'!$A$11:$G$101,5)))*(G58-G$9)/100)+(VLOOKUP($B58,'Rate Projection'!$A$11:$G$101,3)*'Monthly Revenue-Usage'!G$9/100)),(VLOOKUP($B58,'Rate Projection'!$A$11:$G$101,3)*('Monthly Revenue-Usage'!G58/100))))</f>
        <v>#REF!</v>
      </c>
      <c r="R58" s="54" t="e">
        <f>IF(AND(H58&gt;H$9, H58&gt;(H$9+H$8),$D58&gt;'RV ERU Connections'!$F$38),R57,IF(H58&gt;H$9,((('Rate Projection'!$C$6+(VLOOKUP($B58,'Rate Projection'!$A$11:$G$101,5)))*(H58-H$9)/100)+(VLOOKUP($B58,'Rate Projection'!$A$11:$G$101,3)*'Monthly Revenue-Usage'!H$9/100)),(VLOOKUP($B58,'Rate Projection'!$A$11:$G$101,3)*('Monthly Revenue-Usage'!H58/100))))</f>
        <v>#REF!</v>
      </c>
      <c r="S58" s="54" t="e">
        <f>IF(AND(I58&gt;I$9, I58&gt;(I$9+I$8),$D58&gt;'RV ERU Connections'!$F$38),S57,IF(I58&gt;I$9,((('Rate Projection'!$C$6+(VLOOKUP($B58,'Rate Projection'!$A$11:$G$101,5)))*(I58-I$9)/100)+(VLOOKUP($B58,'Rate Projection'!$A$11:$G$101,3)*'Monthly Revenue-Usage'!I$9/100)),(VLOOKUP($B58,'Rate Projection'!$A$11:$G$101,3)*('Monthly Revenue-Usage'!I58/100))))</f>
        <v>#REF!</v>
      </c>
      <c r="T58" s="52" t="e">
        <f>IF(AND(E58&gt;E$9, E58&gt;(E$9+E$8),$D58&gt;'RV ERU Connections'!$F$38),T57,IF(E58&gt;E$8,((((VLOOKUP($B58,'Rate Projection'!$A$11:$G$101,2)))*(E58-E$8)/100)+(VLOOKUP($B58,'Rate Projection'!$A$11:$G$101,4)*'Monthly Revenue-Usage'!E$8/100)),(VLOOKUP($B58,'Rate Projection'!$A$11:$G$101,4)*('Monthly Revenue-Usage'!E58/100))))</f>
        <v>#REF!</v>
      </c>
      <c r="U58" s="52" t="e">
        <f>IF(AND(F58&gt;F$9, F58&gt;(F$9+F$8),$D58&gt;'RV ERU Connections'!$F$38),U57,IF(F58&gt;F$8,((((VLOOKUP($B58,'Rate Projection'!$A$11:$G$101,3)))*(F58-F$8)/100)+(VLOOKUP($B58,'Rate Projection'!$A$11:$G$101,5)*'Monthly Revenue-Usage'!F$8/100)),(VLOOKUP($B58,'Rate Projection'!$A$11:$G$101,5)*('Monthly Revenue-Usage'!F58/100))))</f>
        <v>#REF!</v>
      </c>
      <c r="V58" s="52" t="e">
        <f>IF(AND(G58&gt;G$9, G58&gt;(G$9+G$8),$D58&gt;'RV ERU Connections'!$F$38),V57,IF(G58&gt;G$8,((((VLOOKUP($B58,'Rate Projection'!$A$11:$G$101,3)))*(G58-G$8)/100)+(VLOOKUP($B58,'Rate Projection'!$A$11:$G$101,5)*'Monthly Revenue-Usage'!G$8/100)),(VLOOKUP($B58,'Rate Projection'!$A$11:$G$101,5)*('Monthly Revenue-Usage'!G58/100))))</f>
        <v>#REF!</v>
      </c>
      <c r="W58" s="52" t="e">
        <f>IF(AND(H58&gt;H$9, H58&gt;(H$9+H$8),$D58&gt;'RV ERU Connections'!$F$38),W57,IF(H58&gt;H$8,((((VLOOKUP($B58,'Rate Projection'!$A$11:$G$101,3)))*(H58-H$8)/100)+(VLOOKUP($B58,'Rate Projection'!$A$11:$G$101,5)*'Monthly Revenue-Usage'!H$8/100)),(VLOOKUP($B58,'Rate Projection'!$A$11:$G$101,5)*('Monthly Revenue-Usage'!H58/100))))</f>
        <v>#REF!</v>
      </c>
      <c r="X58" s="52" t="e">
        <f>IF(AND(I58&gt;I$9, I58&gt;(I$9+I$8),$D58&gt;'RV ERU Connections'!$F$38),X57,IF(I58&gt;I$8,((((VLOOKUP($B58,'Rate Projection'!$A$11:$G$101,3)))*(I58-I$8)/100)+(VLOOKUP($B58,'Rate Projection'!$A$11:$G$101,5)*'Monthly Revenue-Usage'!I$8/100)),(VLOOKUP($B58,'Rate Projection'!$A$11:$G$101,5)*('Monthly Revenue-Usage'!I58/100))))</f>
        <v>#REF!</v>
      </c>
      <c r="Z58" s="53" t="e">
        <f>(-ISPMT('Monthly Revenue-Usage'!$Z$10/12, 1,1*12, Z57)*12)+Z57</f>
        <v>#REF!</v>
      </c>
      <c r="AA58" s="53" t="e">
        <f t="shared" si="7"/>
        <v>#REF!</v>
      </c>
    </row>
    <row r="59" spans="2:27" x14ac:dyDescent="0.3">
      <c r="B59" s="61">
        <f t="shared" si="0"/>
        <v>2057</v>
      </c>
      <c r="C59" s="5" t="e">
        <f t="shared" si="1"/>
        <v>#REF!</v>
      </c>
      <c r="D59" s="5" t="e">
        <f t="shared" si="8"/>
        <v>#REF!</v>
      </c>
      <c r="E59" s="46" t="e">
        <f t="shared" si="9"/>
        <v>#REF!</v>
      </c>
      <c r="F59" s="46" t="e">
        <f t="shared" si="10"/>
        <v>#REF!</v>
      </c>
      <c r="G59" s="46" t="e">
        <f t="shared" si="11"/>
        <v>#REF!</v>
      </c>
      <c r="H59" s="46" t="e">
        <f t="shared" si="12"/>
        <v>#REF!</v>
      </c>
      <c r="I59" s="46" t="e">
        <f t="shared" si="13"/>
        <v>#REF!</v>
      </c>
      <c r="J59" s="53" t="e">
        <f>IF(AND(E59&gt;E$9, $D59&gt;'RV ERU Connections'!$F$37),J58,(VLOOKUP($B59,'Rate Projection'!$A$11:$G$101,2)*(E59/100)))</f>
        <v>#REF!</v>
      </c>
      <c r="K59" s="53" t="e">
        <f>IF(AND(F59&gt;F$9, $D59&gt;'RV ERU Connections'!$F$37),K58,(VLOOKUP($B59,'Rate Projection'!$A$11:$G$101,3)*(F59/100)))</f>
        <v>#REF!</v>
      </c>
      <c r="L59" s="53" t="e">
        <f>IF(AND(G59&gt;G$9, $D59&gt;'RV ERU Connections'!$F$37),L58,(VLOOKUP($B59,'Rate Projection'!$A$11:$G$101,3)*(G59/100)))</f>
        <v>#REF!</v>
      </c>
      <c r="M59" s="53" t="e">
        <f>IF(AND(H59&gt;H$9, $D59&gt;'RV ERU Connections'!$F$37),M58,(VLOOKUP($B59,'Rate Projection'!$A$11:$G$101,3)*(H59/100)))</f>
        <v>#REF!</v>
      </c>
      <c r="N59" s="53" t="e">
        <f>IF(AND(I59&gt;I$9, $D59&gt;'RV ERU Connections'!$F$37),N58,(VLOOKUP($B59,'Rate Projection'!$A$11:$G$101,3)*(I59/100)))</f>
        <v>#REF!</v>
      </c>
      <c r="O59" s="54" t="e">
        <f>IF(AND(E59&gt;E$9, E59&gt;(E$9+E$8),$D59&gt;'RV ERU Connections'!$F$38),O58,IF(E59&gt;E$9,((('Rate Projection'!$C$6+(VLOOKUP($B59,'Rate Projection'!$A$11:$G$101,4)))*(E59-E$9)/100)+(VLOOKUP($B59,'Rate Projection'!$A$11:$G$101,2)*'Monthly Revenue-Usage'!E$9/100)),(VLOOKUP($B59,'Rate Projection'!$A$11:$G$101,2)*('Monthly Revenue-Usage'!E59/100))))</f>
        <v>#REF!</v>
      </c>
      <c r="P59" s="54" t="e">
        <f>IF(AND(F59&gt;F$9, F59&gt;(F$9+F$8),$D59&gt;'RV ERU Connections'!$F$38),P58,IF(F59&gt;F$9,((('Rate Projection'!$C$6+(VLOOKUP($B59,'Rate Projection'!$A$11:$G$101,5)))*(F59-F$9)/100)+(VLOOKUP($B59,'Rate Projection'!$A$11:$G$101,3)*'Monthly Revenue-Usage'!F$9/100)),(VLOOKUP($B59,'Rate Projection'!$A$11:$G$101,3)*('Monthly Revenue-Usage'!F59/100))))</f>
        <v>#REF!</v>
      </c>
      <c r="Q59" s="54" t="e">
        <f>IF(AND(G59&gt;G$9, G59&gt;(G$9+G$8),$D59&gt;'RV ERU Connections'!$F$38),Q58,IF(G59&gt;G$9,((('Rate Projection'!$C$6+(VLOOKUP($B59,'Rate Projection'!$A$11:$G$101,5)))*(G59-G$9)/100)+(VLOOKUP($B59,'Rate Projection'!$A$11:$G$101,3)*'Monthly Revenue-Usage'!G$9/100)),(VLOOKUP($B59,'Rate Projection'!$A$11:$G$101,3)*('Monthly Revenue-Usage'!G59/100))))</f>
        <v>#REF!</v>
      </c>
      <c r="R59" s="54" t="e">
        <f>IF(AND(H59&gt;H$9, H59&gt;(H$9+H$8),$D59&gt;'RV ERU Connections'!$F$38),R58,IF(H59&gt;H$9,((('Rate Projection'!$C$6+(VLOOKUP($B59,'Rate Projection'!$A$11:$G$101,5)))*(H59-H$9)/100)+(VLOOKUP($B59,'Rate Projection'!$A$11:$G$101,3)*'Monthly Revenue-Usage'!H$9/100)),(VLOOKUP($B59,'Rate Projection'!$A$11:$G$101,3)*('Monthly Revenue-Usage'!H59/100))))</f>
        <v>#REF!</v>
      </c>
      <c r="S59" s="54" t="e">
        <f>IF(AND(I59&gt;I$9, I59&gt;(I$9+I$8),$D59&gt;'RV ERU Connections'!$F$38),S58,IF(I59&gt;I$9,((('Rate Projection'!$C$6+(VLOOKUP($B59,'Rate Projection'!$A$11:$G$101,5)))*(I59-I$9)/100)+(VLOOKUP($B59,'Rate Projection'!$A$11:$G$101,3)*'Monthly Revenue-Usage'!I$9/100)),(VLOOKUP($B59,'Rate Projection'!$A$11:$G$101,3)*('Monthly Revenue-Usage'!I59/100))))</f>
        <v>#REF!</v>
      </c>
      <c r="T59" s="52" t="e">
        <f>IF(AND(E59&gt;E$9, E59&gt;(E$9+E$8),$D59&gt;'RV ERU Connections'!$F$38),T58,IF(E59&gt;E$8,((((VLOOKUP($B59,'Rate Projection'!$A$11:$G$101,2)))*(E59-E$8)/100)+(VLOOKUP($B59,'Rate Projection'!$A$11:$G$101,4)*'Monthly Revenue-Usage'!E$8/100)),(VLOOKUP($B59,'Rate Projection'!$A$11:$G$101,4)*('Monthly Revenue-Usage'!E59/100))))</f>
        <v>#REF!</v>
      </c>
      <c r="U59" s="52" t="e">
        <f>IF(AND(F59&gt;F$9, F59&gt;(F$9+F$8),$D59&gt;'RV ERU Connections'!$F$38),U58,IF(F59&gt;F$8,((((VLOOKUP($B59,'Rate Projection'!$A$11:$G$101,3)))*(F59-F$8)/100)+(VLOOKUP($B59,'Rate Projection'!$A$11:$G$101,5)*'Monthly Revenue-Usage'!F$8/100)),(VLOOKUP($B59,'Rate Projection'!$A$11:$G$101,5)*('Monthly Revenue-Usage'!F59/100))))</f>
        <v>#REF!</v>
      </c>
      <c r="V59" s="52" t="e">
        <f>IF(AND(G59&gt;G$9, G59&gt;(G$9+G$8),$D59&gt;'RV ERU Connections'!$F$38),V58,IF(G59&gt;G$8,((((VLOOKUP($B59,'Rate Projection'!$A$11:$G$101,3)))*(G59-G$8)/100)+(VLOOKUP($B59,'Rate Projection'!$A$11:$G$101,5)*'Monthly Revenue-Usage'!G$8/100)),(VLOOKUP($B59,'Rate Projection'!$A$11:$G$101,5)*('Monthly Revenue-Usage'!G59/100))))</f>
        <v>#REF!</v>
      </c>
      <c r="W59" s="52" t="e">
        <f>IF(AND(H59&gt;H$9, H59&gt;(H$9+H$8),$D59&gt;'RV ERU Connections'!$F$38),W58,IF(H59&gt;H$8,((((VLOOKUP($B59,'Rate Projection'!$A$11:$G$101,3)))*(H59-H$8)/100)+(VLOOKUP($B59,'Rate Projection'!$A$11:$G$101,5)*'Monthly Revenue-Usage'!H$8/100)),(VLOOKUP($B59,'Rate Projection'!$A$11:$G$101,5)*('Monthly Revenue-Usage'!H59/100))))</f>
        <v>#REF!</v>
      </c>
      <c r="X59" s="52" t="e">
        <f>IF(AND(I59&gt;I$9, I59&gt;(I$9+I$8),$D59&gt;'RV ERU Connections'!$F$38),X58,IF(I59&gt;I$8,((((VLOOKUP($B59,'Rate Projection'!$A$11:$G$101,3)))*(I59-I$8)/100)+(VLOOKUP($B59,'Rate Projection'!$A$11:$G$101,5)*'Monthly Revenue-Usage'!I$8/100)),(VLOOKUP($B59,'Rate Projection'!$A$11:$G$101,5)*('Monthly Revenue-Usage'!I59/100))))</f>
        <v>#REF!</v>
      </c>
      <c r="Z59" s="53" t="e">
        <f>(-ISPMT('Monthly Revenue-Usage'!$Z$10/12, 1,1*12, Z58)*12)+Z58</f>
        <v>#REF!</v>
      </c>
      <c r="AA59" s="53" t="e">
        <f t="shared" si="7"/>
        <v>#REF!</v>
      </c>
    </row>
    <row r="60" spans="2:27" x14ac:dyDescent="0.3">
      <c r="B60" s="61">
        <f t="shared" si="0"/>
        <v>2058</v>
      </c>
      <c r="C60" s="5" t="e">
        <f t="shared" si="1"/>
        <v>#REF!</v>
      </c>
      <c r="D60" s="5" t="e">
        <f t="shared" si="8"/>
        <v>#REF!</v>
      </c>
      <c r="E60" s="46" t="e">
        <f t="shared" si="9"/>
        <v>#REF!</v>
      </c>
      <c r="F60" s="46" t="e">
        <f t="shared" si="10"/>
        <v>#REF!</v>
      </c>
      <c r="G60" s="46" t="e">
        <f t="shared" si="11"/>
        <v>#REF!</v>
      </c>
      <c r="H60" s="46" t="e">
        <f t="shared" si="12"/>
        <v>#REF!</v>
      </c>
      <c r="I60" s="46" t="e">
        <f t="shared" si="13"/>
        <v>#REF!</v>
      </c>
      <c r="J60" s="53" t="e">
        <f>IF(AND(E60&gt;E$9, $D60&gt;'RV ERU Connections'!$F$37),J59,(VLOOKUP($B60,'Rate Projection'!$A$11:$G$101,2)*(E60/100)))</f>
        <v>#REF!</v>
      </c>
      <c r="K60" s="53" t="e">
        <f>IF(AND(F60&gt;F$9, $D60&gt;'RV ERU Connections'!$F$37),K59,(VLOOKUP($B60,'Rate Projection'!$A$11:$G$101,3)*(F60/100)))</f>
        <v>#REF!</v>
      </c>
      <c r="L60" s="53" t="e">
        <f>IF(AND(G60&gt;G$9, $D60&gt;'RV ERU Connections'!$F$37),L59,(VLOOKUP($B60,'Rate Projection'!$A$11:$G$101,3)*(G60/100)))</f>
        <v>#REF!</v>
      </c>
      <c r="M60" s="53" t="e">
        <f>IF(AND(H60&gt;H$9, $D60&gt;'RV ERU Connections'!$F$37),M59,(VLOOKUP($B60,'Rate Projection'!$A$11:$G$101,3)*(H60/100)))</f>
        <v>#REF!</v>
      </c>
      <c r="N60" s="53" t="e">
        <f>IF(AND(I60&gt;I$9, $D60&gt;'RV ERU Connections'!$F$37),N59,(VLOOKUP($B60,'Rate Projection'!$A$11:$G$101,3)*(I60/100)))</f>
        <v>#REF!</v>
      </c>
      <c r="O60" s="54" t="e">
        <f>IF(AND(E60&gt;E$9, E60&gt;(E$9+E$8),$D60&gt;'RV ERU Connections'!$F$38),O59,IF(E60&gt;E$9,((('Rate Projection'!$C$6+(VLOOKUP($B60,'Rate Projection'!$A$11:$G$101,4)))*(E60-E$9)/100)+(VLOOKUP($B60,'Rate Projection'!$A$11:$G$101,2)*'Monthly Revenue-Usage'!E$9/100)),(VLOOKUP($B60,'Rate Projection'!$A$11:$G$101,2)*('Monthly Revenue-Usage'!E60/100))))</f>
        <v>#REF!</v>
      </c>
      <c r="P60" s="54" t="e">
        <f>IF(AND(F60&gt;F$9, F60&gt;(F$9+F$8),$D60&gt;'RV ERU Connections'!$F$38),P59,IF(F60&gt;F$9,((('Rate Projection'!$C$6+(VLOOKUP($B60,'Rate Projection'!$A$11:$G$101,5)))*(F60-F$9)/100)+(VLOOKUP($B60,'Rate Projection'!$A$11:$G$101,3)*'Monthly Revenue-Usage'!F$9/100)),(VLOOKUP($B60,'Rate Projection'!$A$11:$G$101,3)*('Monthly Revenue-Usage'!F60/100))))</f>
        <v>#REF!</v>
      </c>
      <c r="Q60" s="54" t="e">
        <f>IF(AND(G60&gt;G$9, G60&gt;(G$9+G$8),$D60&gt;'RV ERU Connections'!$F$38),Q59,IF(G60&gt;G$9,((('Rate Projection'!$C$6+(VLOOKUP($B60,'Rate Projection'!$A$11:$G$101,5)))*(G60-G$9)/100)+(VLOOKUP($B60,'Rate Projection'!$A$11:$G$101,3)*'Monthly Revenue-Usage'!G$9/100)),(VLOOKUP($B60,'Rate Projection'!$A$11:$G$101,3)*('Monthly Revenue-Usage'!G60/100))))</f>
        <v>#REF!</v>
      </c>
      <c r="R60" s="54" t="e">
        <f>IF(AND(H60&gt;H$9, H60&gt;(H$9+H$8),$D60&gt;'RV ERU Connections'!$F$38),R59,IF(H60&gt;H$9,((('Rate Projection'!$C$6+(VLOOKUP($B60,'Rate Projection'!$A$11:$G$101,5)))*(H60-H$9)/100)+(VLOOKUP($B60,'Rate Projection'!$A$11:$G$101,3)*'Monthly Revenue-Usage'!H$9/100)),(VLOOKUP($B60,'Rate Projection'!$A$11:$G$101,3)*('Monthly Revenue-Usage'!H60/100))))</f>
        <v>#REF!</v>
      </c>
      <c r="S60" s="54" t="e">
        <f>IF(AND(I60&gt;I$9, I60&gt;(I$9+I$8),$D60&gt;'RV ERU Connections'!$F$38),S59,IF(I60&gt;I$9,((('Rate Projection'!$C$6+(VLOOKUP($B60,'Rate Projection'!$A$11:$G$101,5)))*(I60-I$9)/100)+(VLOOKUP($B60,'Rate Projection'!$A$11:$G$101,3)*'Monthly Revenue-Usage'!I$9/100)),(VLOOKUP($B60,'Rate Projection'!$A$11:$G$101,3)*('Monthly Revenue-Usage'!I60/100))))</f>
        <v>#REF!</v>
      </c>
      <c r="T60" s="52" t="e">
        <f>IF(AND(E60&gt;E$9, E60&gt;(E$9+E$8),$D60&gt;'RV ERU Connections'!$F$38),T59,IF(E60&gt;E$8,((((VLOOKUP($B60,'Rate Projection'!$A$11:$G$101,2)))*(E60-E$8)/100)+(VLOOKUP($B60,'Rate Projection'!$A$11:$G$101,4)*'Monthly Revenue-Usage'!E$8/100)),(VLOOKUP($B60,'Rate Projection'!$A$11:$G$101,4)*('Monthly Revenue-Usage'!E60/100))))</f>
        <v>#REF!</v>
      </c>
      <c r="U60" s="52" t="e">
        <f>IF(AND(F60&gt;F$9, F60&gt;(F$9+F$8),$D60&gt;'RV ERU Connections'!$F$38),U59,IF(F60&gt;F$8,((((VLOOKUP($B60,'Rate Projection'!$A$11:$G$101,3)))*(F60-F$8)/100)+(VLOOKUP($B60,'Rate Projection'!$A$11:$G$101,5)*'Monthly Revenue-Usage'!F$8/100)),(VLOOKUP($B60,'Rate Projection'!$A$11:$G$101,5)*('Monthly Revenue-Usage'!F60/100))))</f>
        <v>#REF!</v>
      </c>
      <c r="V60" s="52" t="e">
        <f>IF(AND(G60&gt;G$9, G60&gt;(G$9+G$8),$D60&gt;'RV ERU Connections'!$F$38),V59,IF(G60&gt;G$8,((((VLOOKUP($B60,'Rate Projection'!$A$11:$G$101,3)))*(G60-G$8)/100)+(VLOOKUP($B60,'Rate Projection'!$A$11:$G$101,5)*'Monthly Revenue-Usage'!G$8/100)),(VLOOKUP($B60,'Rate Projection'!$A$11:$G$101,5)*('Monthly Revenue-Usage'!G60/100))))</f>
        <v>#REF!</v>
      </c>
      <c r="W60" s="52" t="e">
        <f>IF(AND(H60&gt;H$9, H60&gt;(H$9+H$8),$D60&gt;'RV ERU Connections'!$F$38),W59,IF(H60&gt;H$8,((((VLOOKUP($B60,'Rate Projection'!$A$11:$G$101,3)))*(H60-H$8)/100)+(VLOOKUP($B60,'Rate Projection'!$A$11:$G$101,5)*'Monthly Revenue-Usage'!H$8/100)),(VLOOKUP($B60,'Rate Projection'!$A$11:$G$101,5)*('Monthly Revenue-Usage'!H60/100))))</f>
        <v>#REF!</v>
      </c>
      <c r="X60" s="52" t="e">
        <f>IF(AND(I60&gt;I$9, I60&gt;(I$9+I$8),$D60&gt;'RV ERU Connections'!$F$38),X59,IF(I60&gt;I$8,((((VLOOKUP($B60,'Rate Projection'!$A$11:$G$101,3)))*(I60-I$8)/100)+(VLOOKUP($B60,'Rate Projection'!$A$11:$G$101,5)*'Monthly Revenue-Usage'!I$8/100)),(VLOOKUP($B60,'Rate Projection'!$A$11:$G$101,5)*('Monthly Revenue-Usage'!I60/100))))</f>
        <v>#REF!</v>
      </c>
      <c r="Z60" s="53" t="e">
        <f>(-ISPMT('Monthly Revenue-Usage'!$Z$10/12, 1,1*12, Z59)*12)+Z59</f>
        <v>#REF!</v>
      </c>
      <c r="AA60" s="53" t="e">
        <f t="shared" si="7"/>
        <v>#REF!</v>
      </c>
    </row>
    <row r="61" spans="2:27" x14ac:dyDescent="0.3">
      <c r="B61" s="61">
        <f t="shared" si="0"/>
        <v>2059</v>
      </c>
      <c r="C61" s="5" t="e">
        <f t="shared" si="1"/>
        <v>#REF!</v>
      </c>
      <c r="D61" s="5" t="e">
        <f t="shared" si="8"/>
        <v>#REF!</v>
      </c>
      <c r="E61" s="46" t="e">
        <f t="shared" si="9"/>
        <v>#REF!</v>
      </c>
      <c r="F61" s="46" t="e">
        <f t="shared" si="10"/>
        <v>#REF!</v>
      </c>
      <c r="G61" s="46" t="e">
        <f t="shared" si="11"/>
        <v>#REF!</v>
      </c>
      <c r="H61" s="46" t="e">
        <f t="shared" si="12"/>
        <v>#REF!</v>
      </c>
      <c r="I61" s="46" t="e">
        <f t="shared" si="13"/>
        <v>#REF!</v>
      </c>
      <c r="J61" s="53" t="e">
        <f>IF(AND(E61&gt;E$9, $D61&gt;'RV ERU Connections'!$F$37),J60,(VLOOKUP($B61,'Rate Projection'!$A$11:$G$101,2)*(E61/100)))</f>
        <v>#REF!</v>
      </c>
      <c r="K61" s="53" t="e">
        <f>IF(AND(F61&gt;F$9, $D61&gt;'RV ERU Connections'!$F$37),K60,(VLOOKUP($B61,'Rate Projection'!$A$11:$G$101,3)*(F61/100)))</f>
        <v>#REF!</v>
      </c>
      <c r="L61" s="53" t="e">
        <f>IF(AND(G61&gt;G$9, $D61&gt;'RV ERU Connections'!$F$37),L60,(VLOOKUP($B61,'Rate Projection'!$A$11:$G$101,3)*(G61/100)))</f>
        <v>#REF!</v>
      </c>
      <c r="M61" s="53" t="e">
        <f>IF(AND(H61&gt;H$9, $D61&gt;'RV ERU Connections'!$F$37),M60,(VLOOKUP($B61,'Rate Projection'!$A$11:$G$101,3)*(H61/100)))</f>
        <v>#REF!</v>
      </c>
      <c r="N61" s="53" t="e">
        <f>IF(AND(I61&gt;I$9, $D61&gt;'RV ERU Connections'!$F$37),N60,(VLOOKUP($B61,'Rate Projection'!$A$11:$G$101,3)*(I61/100)))</f>
        <v>#REF!</v>
      </c>
      <c r="O61" s="54" t="e">
        <f>IF(AND(E61&gt;E$9, E61&gt;(E$9+E$8),$D61&gt;'RV ERU Connections'!$F$38),O60,IF(E61&gt;E$9,((('Rate Projection'!$C$6+(VLOOKUP($B61,'Rate Projection'!$A$11:$G$101,4)))*(E61-E$9)/100)+(VLOOKUP($B61,'Rate Projection'!$A$11:$G$101,2)*'Monthly Revenue-Usage'!E$9/100)),(VLOOKUP($B61,'Rate Projection'!$A$11:$G$101,2)*('Monthly Revenue-Usage'!E61/100))))</f>
        <v>#REF!</v>
      </c>
      <c r="P61" s="54" t="e">
        <f>IF(AND(F61&gt;F$9, F61&gt;(F$9+F$8),$D61&gt;'RV ERU Connections'!$F$38),P60,IF(F61&gt;F$9,((('Rate Projection'!$C$6+(VLOOKUP($B61,'Rate Projection'!$A$11:$G$101,5)))*(F61-F$9)/100)+(VLOOKUP($B61,'Rate Projection'!$A$11:$G$101,3)*'Monthly Revenue-Usage'!F$9/100)),(VLOOKUP($B61,'Rate Projection'!$A$11:$G$101,3)*('Monthly Revenue-Usage'!F61/100))))</f>
        <v>#REF!</v>
      </c>
      <c r="Q61" s="54" t="e">
        <f>IF(AND(G61&gt;G$9, G61&gt;(G$9+G$8),$D61&gt;'RV ERU Connections'!$F$38),Q60,IF(G61&gt;G$9,((('Rate Projection'!$C$6+(VLOOKUP($B61,'Rate Projection'!$A$11:$G$101,5)))*(G61-G$9)/100)+(VLOOKUP($B61,'Rate Projection'!$A$11:$G$101,3)*'Monthly Revenue-Usage'!G$9/100)),(VLOOKUP($B61,'Rate Projection'!$A$11:$G$101,3)*('Monthly Revenue-Usage'!G61/100))))</f>
        <v>#REF!</v>
      </c>
      <c r="R61" s="54" t="e">
        <f>IF(AND(H61&gt;H$9, H61&gt;(H$9+H$8),$D61&gt;'RV ERU Connections'!$F$38),R60,IF(H61&gt;H$9,((('Rate Projection'!$C$6+(VLOOKUP($B61,'Rate Projection'!$A$11:$G$101,5)))*(H61-H$9)/100)+(VLOOKUP($B61,'Rate Projection'!$A$11:$G$101,3)*'Monthly Revenue-Usage'!H$9/100)),(VLOOKUP($B61,'Rate Projection'!$A$11:$G$101,3)*('Monthly Revenue-Usage'!H61/100))))</f>
        <v>#REF!</v>
      </c>
      <c r="S61" s="54" t="e">
        <f>IF(AND(I61&gt;I$9, I61&gt;(I$9+I$8),$D61&gt;'RV ERU Connections'!$F$38),S60,IF(I61&gt;I$9,((('Rate Projection'!$C$6+(VLOOKUP($B61,'Rate Projection'!$A$11:$G$101,5)))*(I61-I$9)/100)+(VLOOKUP($B61,'Rate Projection'!$A$11:$G$101,3)*'Monthly Revenue-Usage'!I$9/100)),(VLOOKUP($B61,'Rate Projection'!$A$11:$G$101,3)*('Monthly Revenue-Usage'!I61/100))))</f>
        <v>#REF!</v>
      </c>
      <c r="T61" s="52" t="e">
        <f>IF(AND(E61&gt;E$9, E61&gt;(E$9+E$8),$D61&gt;'RV ERU Connections'!$F$38),T60,IF(E61&gt;E$8,((((VLOOKUP($B61,'Rate Projection'!$A$11:$G$101,2)))*(E61-E$8)/100)+(VLOOKUP($B61,'Rate Projection'!$A$11:$G$101,4)*'Monthly Revenue-Usage'!E$8/100)),(VLOOKUP($B61,'Rate Projection'!$A$11:$G$101,4)*('Monthly Revenue-Usage'!E61/100))))</f>
        <v>#REF!</v>
      </c>
      <c r="U61" s="52" t="e">
        <f>IF(AND(F61&gt;F$9, F61&gt;(F$9+F$8),$D61&gt;'RV ERU Connections'!$F$38),U60,IF(F61&gt;F$8,((((VLOOKUP($B61,'Rate Projection'!$A$11:$G$101,3)))*(F61-F$8)/100)+(VLOOKUP($B61,'Rate Projection'!$A$11:$G$101,5)*'Monthly Revenue-Usage'!F$8/100)),(VLOOKUP($B61,'Rate Projection'!$A$11:$G$101,5)*('Monthly Revenue-Usage'!F61/100))))</f>
        <v>#REF!</v>
      </c>
      <c r="V61" s="52" t="e">
        <f>IF(AND(G61&gt;G$9, G61&gt;(G$9+G$8),$D61&gt;'RV ERU Connections'!$F$38),V60,IF(G61&gt;G$8,((((VLOOKUP($B61,'Rate Projection'!$A$11:$G$101,3)))*(G61-G$8)/100)+(VLOOKUP($B61,'Rate Projection'!$A$11:$G$101,5)*'Monthly Revenue-Usage'!G$8/100)),(VLOOKUP($B61,'Rate Projection'!$A$11:$G$101,5)*('Monthly Revenue-Usage'!G61/100))))</f>
        <v>#REF!</v>
      </c>
      <c r="W61" s="52" t="e">
        <f>IF(AND(H61&gt;H$9, H61&gt;(H$9+H$8),$D61&gt;'RV ERU Connections'!$F$38),W60,IF(H61&gt;H$8,((((VLOOKUP($B61,'Rate Projection'!$A$11:$G$101,3)))*(H61-H$8)/100)+(VLOOKUP($B61,'Rate Projection'!$A$11:$G$101,5)*'Monthly Revenue-Usage'!H$8/100)),(VLOOKUP($B61,'Rate Projection'!$A$11:$G$101,5)*('Monthly Revenue-Usage'!H61/100))))</f>
        <v>#REF!</v>
      </c>
      <c r="X61" s="52" t="e">
        <f>IF(AND(I61&gt;I$9, I61&gt;(I$9+I$8),$D61&gt;'RV ERU Connections'!$F$38),X60,IF(I61&gt;I$8,((((VLOOKUP($B61,'Rate Projection'!$A$11:$G$101,3)))*(I61-I$8)/100)+(VLOOKUP($B61,'Rate Projection'!$A$11:$G$101,5)*'Monthly Revenue-Usage'!I$8/100)),(VLOOKUP($B61,'Rate Projection'!$A$11:$G$101,5)*('Monthly Revenue-Usage'!I61/100))))</f>
        <v>#REF!</v>
      </c>
      <c r="Z61" s="53" t="e">
        <f>(-ISPMT('Monthly Revenue-Usage'!$Z$10/12, 1,1*12, Z60)*12)+Z60</f>
        <v>#REF!</v>
      </c>
      <c r="AA61" s="53" t="e">
        <f t="shared" si="7"/>
        <v>#REF!</v>
      </c>
    </row>
    <row r="62" spans="2:27" x14ac:dyDescent="0.3">
      <c r="B62" s="61">
        <f t="shared" si="0"/>
        <v>2060</v>
      </c>
      <c r="C62" s="5" t="e">
        <f t="shared" si="1"/>
        <v>#REF!</v>
      </c>
      <c r="D62" s="5" t="e">
        <f t="shared" si="8"/>
        <v>#REF!</v>
      </c>
      <c r="E62" s="46" t="e">
        <f t="shared" si="9"/>
        <v>#REF!</v>
      </c>
      <c r="F62" s="46" t="e">
        <f t="shared" si="10"/>
        <v>#REF!</v>
      </c>
      <c r="G62" s="46" t="e">
        <f t="shared" si="11"/>
        <v>#REF!</v>
      </c>
      <c r="H62" s="46" t="e">
        <f t="shared" si="12"/>
        <v>#REF!</v>
      </c>
      <c r="I62" s="46" t="e">
        <f t="shared" si="13"/>
        <v>#REF!</v>
      </c>
      <c r="J62" s="53" t="e">
        <f>IF(AND(E62&gt;E$9, $D62&gt;'RV ERU Connections'!$F$37),J61,(VLOOKUP($B62,'Rate Projection'!$A$11:$G$101,2)*(E62/100)))</f>
        <v>#REF!</v>
      </c>
      <c r="K62" s="53" t="e">
        <f>IF(AND(F62&gt;F$9, $D62&gt;'RV ERU Connections'!$F$37),K61,(VLOOKUP($B62,'Rate Projection'!$A$11:$G$101,3)*(F62/100)))</f>
        <v>#REF!</v>
      </c>
      <c r="L62" s="53" t="e">
        <f>IF(AND(G62&gt;G$9, $D62&gt;'RV ERU Connections'!$F$37),L61,(VLOOKUP($B62,'Rate Projection'!$A$11:$G$101,3)*(G62/100)))</f>
        <v>#REF!</v>
      </c>
      <c r="M62" s="53" t="e">
        <f>IF(AND(H62&gt;H$9, $D62&gt;'RV ERU Connections'!$F$37),M61,(VLOOKUP($B62,'Rate Projection'!$A$11:$G$101,3)*(H62/100)))</f>
        <v>#REF!</v>
      </c>
      <c r="N62" s="53" t="e">
        <f>IF(AND(I62&gt;I$9, $D62&gt;'RV ERU Connections'!$F$37),N61,(VLOOKUP($B62,'Rate Projection'!$A$11:$G$101,3)*(I62/100)))</f>
        <v>#REF!</v>
      </c>
      <c r="O62" s="54" t="e">
        <f>IF(AND(E62&gt;E$9, E62&gt;(E$9+E$8),$D62&gt;'RV ERU Connections'!$F$38),O61,IF(E62&gt;E$9,((('Rate Projection'!$C$6+(VLOOKUP($B62,'Rate Projection'!$A$11:$G$101,4)))*(E62-E$9)/100)+(VLOOKUP($B62,'Rate Projection'!$A$11:$G$101,2)*'Monthly Revenue-Usage'!E$9/100)),(VLOOKUP($B62,'Rate Projection'!$A$11:$G$101,2)*('Monthly Revenue-Usage'!E62/100))))</f>
        <v>#REF!</v>
      </c>
      <c r="P62" s="54" t="e">
        <f>IF(AND(F62&gt;F$9, F62&gt;(F$9+F$8),$D62&gt;'RV ERU Connections'!$F$38),P61,IF(F62&gt;F$9,((('Rate Projection'!$C$6+(VLOOKUP($B62,'Rate Projection'!$A$11:$G$101,5)))*(F62-F$9)/100)+(VLOOKUP($B62,'Rate Projection'!$A$11:$G$101,3)*'Monthly Revenue-Usage'!F$9/100)),(VLOOKUP($B62,'Rate Projection'!$A$11:$G$101,3)*('Monthly Revenue-Usage'!F62/100))))</f>
        <v>#REF!</v>
      </c>
      <c r="Q62" s="54" t="e">
        <f>IF(AND(G62&gt;G$9, G62&gt;(G$9+G$8),$D62&gt;'RV ERU Connections'!$F$38),Q61,IF(G62&gt;G$9,((('Rate Projection'!$C$6+(VLOOKUP($B62,'Rate Projection'!$A$11:$G$101,5)))*(G62-G$9)/100)+(VLOOKUP($B62,'Rate Projection'!$A$11:$G$101,3)*'Monthly Revenue-Usage'!G$9/100)),(VLOOKUP($B62,'Rate Projection'!$A$11:$G$101,3)*('Monthly Revenue-Usage'!G62/100))))</f>
        <v>#REF!</v>
      </c>
      <c r="R62" s="54" t="e">
        <f>IF(AND(H62&gt;H$9, H62&gt;(H$9+H$8),$D62&gt;'RV ERU Connections'!$F$38),R61,IF(H62&gt;H$9,((('Rate Projection'!$C$6+(VLOOKUP($B62,'Rate Projection'!$A$11:$G$101,5)))*(H62-H$9)/100)+(VLOOKUP($B62,'Rate Projection'!$A$11:$G$101,3)*'Monthly Revenue-Usage'!H$9/100)),(VLOOKUP($B62,'Rate Projection'!$A$11:$G$101,3)*('Monthly Revenue-Usage'!H62/100))))</f>
        <v>#REF!</v>
      </c>
      <c r="S62" s="54" t="e">
        <f>IF(AND(I62&gt;I$9, I62&gt;(I$9+I$8),$D62&gt;'RV ERU Connections'!$F$38),S61,IF(I62&gt;I$9,((('Rate Projection'!$C$6+(VLOOKUP($B62,'Rate Projection'!$A$11:$G$101,5)))*(I62-I$9)/100)+(VLOOKUP($B62,'Rate Projection'!$A$11:$G$101,3)*'Monthly Revenue-Usage'!I$9/100)),(VLOOKUP($B62,'Rate Projection'!$A$11:$G$101,3)*('Monthly Revenue-Usage'!I62/100))))</f>
        <v>#REF!</v>
      </c>
      <c r="T62" s="52" t="e">
        <f>IF(AND(E62&gt;E$9, E62&gt;(E$9+E$8),$D62&gt;'RV ERU Connections'!$F$38),T61,IF(E62&gt;E$8,((((VLOOKUP($B62,'Rate Projection'!$A$11:$G$101,2)))*(E62-E$8)/100)+(VLOOKUP($B62,'Rate Projection'!$A$11:$G$101,4)*'Monthly Revenue-Usage'!E$8/100)),(VLOOKUP($B62,'Rate Projection'!$A$11:$G$101,4)*('Monthly Revenue-Usage'!E62/100))))</f>
        <v>#REF!</v>
      </c>
      <c r="U62" s="52" t="e">
        <f>IF(AND(F62&gt;F$9, F62&gt;(F$9+F$8),$D62&gt;'RV ERU Connections'!$F$38),U61,IF(F62&gt;F$8,((((VLOOKUP($B62,'Rate Projection'!$A$11:$G$101,3)))*(F62-F$8)/100)+(VLOOKUP($B62,'Rate Projection'!$A$11:$G$101,5)*'Monthly Revenue-Usage'!F$8/100)),(VLOOKUP($B62,'Rate Projection'!$A$11:$G$101,5)*('Monthly Revenue-Usage'!F62/100))))</f>
        <v>#REF!</v>
      </c>
      <c r="V62" s="52" t="e">
        <f>IF(AND(G62&gt;G$9, G62&gt;(G$9+G$8),$D62&gt;'RV ERU Connections'!$F$38),V61,IF(G62&gt;G$8,((((VLOOKUP($B62,'Rate Projection'!$A$11:$G$101,3)))*(G62-G$8)/100)+(VLOOKUP($B62,'Rate Projection'!$A$11:$G$101,5)*'Monthly Revenue-Usage'!G$8/100)),(VLOOKUP($B62,'Rate Projection'!$A$11:$G$101,5)*('Monthly Revenue-Usage'!G62/100))))</f>
        <v>#REF!</v>
      </c>
      <c r="W62" s="52" t="e">
        <f>IF(AND(H62&gt;H$9, H62&gt;(H$9+H$8),$D62&gt;'RV ERU Connections'!$F$38),W61,IF(H62&gt;H$8,((((VLOOKUP($B62,'Rate Projection'!$A$11:$G$101,3)))*(H62-H$8)/100)+(VLOOKUP($B62,'Rate Projection'!$A$11:$G$101,5)*'Monthly Revenue-Usage'!H$8/100)),(VLOOKUP($B62,'Rate Projection'!$A$11:$G$101,5)*('Monthly Revenue-Usage'!H62/100))))</f>
        <v>#REF!</v>
      </c>
      <c r="X62" s="52" t="e">
        <f>IF(AND(I62&gt;I$9, I62&gt;(I$9+I$8),$D62&gt;'RV ERU Connections'!$F$38),X61,IF(I62&gt;I$8,((((VLOOKUP($B62,'Rate Projection'!$A$11:$G$101,3)))*(I62-I$8)/100)+(VLOOKUP($B62,'Rate Projection'!$A$11:$G$101,5)*'Monthly Revenue-Usage'!I$8/100)),(VLOOKUP($B62,'Rate Projection'!$A$11:$G$101,5)*('Monthly Revenue-Usage'!I62/100))))</f>
        <v>#REF!</v>
      </c>
      <c r="Z62" s="53" t="e">
        <f>(-ISPMT('Monthly Revenue-Usage'!$Z$10/12, 1,1*12, Z61)*12)+Z61</f>
        <v>#REF!</v>
      </c>
      <c r="AA62" s="53" t="e">
        <f t="shared" si="7"/>
        <v>#REF!</v>
      </c>
    </row>
    <row r="63" spans="2:27" x14ac:dyDescent="0.3">
      <c r="B63" s="60">
        <f t="shared" si="0"/>
        <v>2061</v>
      </c>
      <c r="C63" s="5" t="e">
        <f t="shared" si="1"/>
        <v>#REF!</v>
      </c>
      <c r="D63" s="5" t="e">
        <f t="shared" ref="D63:D102" si="14">IF($A$13&gt;0, (+D62*A$13)+D62,  (+D62*$A$12)+D62)</f>
        <v>#REF!</v>
      </c>
      <c r="E63" s="46" t="e">
        <f t="shared" si="9"/>
        <v>#REF!</v>
      </c>
      <c r="F63" s="46" t="e">
        <f t="shared" si="10"/>
        <v>#REF!</v>
      </c>
      <c r="G63" s="46" t="e">
        <f t="shared" si="11"/>
        <v>#REF!</v>
      </c>
      <c r="H63" s="46" t="e">
        <f t="shared" si="12"/>
        <v>#REF!</v>
      </c>
      <c r="I63" s="46" t="e">
        <f t="shared" si="13"/>
        <v>#REF!</v>
      </c>
      <c r="J63" s="53" t="e">
        <f>IF(AND(E63&gt;E$9, $D63&gt;'RV ERU Connections'!$F$37),J62,(VLOOKUP($B63,'Rate Projection'!$A$11:$G$101,2)*(E63/100)))</f>
        <v>#REF!</v>
      </c>
      <c r="K63" s="53" t="e">
        <f>IF(AND(F63&gt;F$9, $D63&gt;'RV ERU Connections'!$F$37),K62,(VLOOKUP($B63,'Rate Projection'!$A$11:$G$101,3)*(F63/100)))</f>
        <v>#REF!</v>
      </c>
      <c r="L63" s="53" t="e">
        <f>IF(AND(G63&gt;G$9, $D63&gt;'RV ERU Connections'!$F$37),L62,(VLOOKUP($B63,'Rate Projection'!$A$11:$G$101,3)*(G63/100)))</f>
        <v>#REF!</v>
      </c>
      <c r="M63" s="53" t="e">
        <f>IF(AND(H63&gt;H$9, $D63&gt;'RV ERU Connections'!$F$37),M62,(VLOOKUP($B63,'Rate Projection'!$A$11:$G$101,3)*(H63/100)))</f>
        <v>#REF!</v>
      </c>
      <c r="N63" s="53" t="e">
        <f>IF(AND(I63&gt;I$9, $D63&gt;'RV ERU Connections'!$F$37),N62,(VLOOKUP($B63,'Rate Projection'!$A$11:$G$101,3)*(I63/100)))</f>
        <v>#REF!</v>
      </c>
      <c r="O63" s="54" t="e">
        <f>IF(AND(E63&gt;E$9, E63&gt;(E$9+E$8),$D63&gt;'RV ERU Connections'!$F$38),O62,IF(E63&gt;E$9,((('Rate Projection'!$C$6+(VLOOKUP($B63,'Rate Projection'!$A$11:$G$101,4)))*(E63-E$9)/100)+(VLOOKUP($B63,'Rate Projection'!$A$11:$G$101,2)*'Monthly Revenue-Usage'!E$9/100)),(VLOOKUP($B63,'Rate Projection'!$A$11:$G$101,2)*('Monthly Revenue-Usage'!E63/100))))</f>
        <v>#REF!</v>
      </c>
      <c r="P63" s="54" t="e">
        <f>IF(AND(F63&gt;F$9, F63&gt;(F$9+F$8),$D63&gt;'RV ERU Connections'!$F$38),P62,IF(F63&gt;F$9,((('Rate Projection'!$C$6+(VLOOKUP($B63,'Rate Projection'!$A$11:$G$101,5)))*(F63-F$9)/100)+(VLOOKUP($B63,'Rate Projection'!$A$11:$G$101,3)*'Monthly Revenue-Usage'!F$9/100)),(VLOOKUP($B63,'Rate Projection'!$A$11:$G$101,3)*('Monthly Revenue-Usage'!F63/100))))</f>
        <v>#REF!</v>
      </c>
      <c r="Q63" s="54" t="e">
        <f>IF(AND(G63&gt;G$9, G63&gt;(G$9+G$8),$D63&gt;'RV ERU Connections'!$F$38),Q62,IF(G63&gt;G$9,((('Rate Projection'!$C$6+(VLOOKUP($B63,'Rate Projection'!$A$11:$G$101,5)))*(G63-G$9)/100)+(VLOOKUP($B63,'Rate Projection'!$A$11:$G$101,3)*'Monthly Revenue-Usage'!G$9/100)),(VLOOKUP($B63,'Rate Projection'!$A$11:$G$101,3)*('Monthly Revenue-Usage'!G63/100))))</f>
        <v>#REF!</v>
      </c>
      <c r="R63" s="54" t="e">
        <f>IF(AND(H63&gt;H$9, H63&gt;(H$9+H$8),$D63&gt;'RV ERU Connections'!$F$38),R62,IF(H63&gt;H$9,((('Rate Projection'!$C$6+(VLOOKUP($B63,'Rate Projection'!$A$11:$G$101,5)))*(H63-H$9)/100)+(VLOOKUP($B63,'Rate Projection'!$A$11:$G$101,3)*'Monthly Revenue-Usage'!H$9/100)),(VLOOKUP($B63,'Rate Projection'!$A$11:$G$101,3)*('Monthly Revenue-Usage'!H63/100))))</f>
        <v>#REF!</v>
      </c>
      <c r="S63" s="54" t="e">
        <f>IF(AND(I63&gt;I$9, I63&gt;(I$9+I$8),$D63&gt;'RV ERU Connections'!$F$38),S62,IF(I63&gt;I$9,((('Rate Projection'!$C$6+(VLOOKUP($B63,'Rate Projection'!$A$11:$G$101,5)))*(I63-I$9)/100)+(VLOOKUP($B63,'Rate Projection'!$A$11:$G$101,3)*'Monthly Revenue-Usage'!I$9/100)),(VLOOKUP($B63,'Rate Projection'!$A$11:$G$101,3)*('Monthly Revenue-Usage'!I63/100))))</f>
        <v>#REF!</v>
      </c>
      <c r="T63" s="52" t="e">
        <f>IF(AND(E63&gt;E$9, E63&gt;(E$9+E$8),$D63&gt;'RV ERU Connections'!$F$38),T62,IF(E63&gt;E$8,((((VLOOKUP($B63,'Rate Projection'!$A$11:$G$101,2)))*(E63-E$8)/100)+(VLOOKUP($B63,'Rate Projection'!$A$11:$G$101,4)*'Monthly Revenue-Usage'!E$8/100)),(VLOOKUP($B63,'Rate Projection'!$A$11:$G$101,4)*('Monthly Revenue-Usage'!E63/100))))</f>
        <v>#REF!</v>
      </c>
      <c r="U63" s="52" t="e">
        <f>IF(AND(F63&gt;F$9, F63&gt;(F$9+F$8),$D63&gt;'RV ERU Connections'!$F$38),U62,IF(F63&gt;F$8,((((VLOOKUP($B63,'Rate Projection'!$A$11:$G$101,3)))*(F63-F$8)/100)+(VLOOKUP($B63,'Rate Projection'!$A$11:$G$101,5)*'Monthly Revenue-Usage'!F$8/100)),(VLOOKUP($B63,'Rate Projection'!$A$11:$G$101,5)*('Monthly Revenue-Usage'!F63/100))))</f>
        <v>#REF!</v>
      </c>
      <c r="V63" s="52" t="e">
        <f>IF(AND(G63&gt;G$9, G63&gt;(G$9+G$8),$D63&gt;'RV ERU Connections'!$F$38),V62,IF(G63&gt;G$8,((((VLOOKUP($B63,'Rate Projection'!$A$11:$G$101,3)))*(G63-G$8)/100)+(VLOOKUP($B63,'Rate Projection'!$A$11:$G$101,5)*'Monthly Revenue-Usage'!G$8/100)),(VLOOKUP($B63,'Rate Projection'!$A$11:$G$101,5)*('Monthly Revenue-Usage'!G63/100))))</f>
        <v>#REF!</v>
      </c>
      <c r="W63" s="52" t="e">
        <f>IF(AND(H63&gt;H$9, H63&gt;(H$9+H$8),$D63&gt;'RV ERU Connections'!$F$38),W62,IF(H63&gt;H$8,((((VLOOKUP($B63,'Rate Projection'!$A$11:$G$101,3)))*(H63-H$8)/100)+(VLOOKUP($B63,'Rate Projection'!$A$11:$G$101,5)*'Monthly Revenue-Usage'!H$8/100)),(VLOOKUP($B63,'Rate Projection'!$A$11:$G$101,5)*('Monthly Revenue-Usage'!H63/100))))</f>
        <v>#REF!</v>
      </c>
      <c r="X63" s="52" t="e">
        <f>IF(AND(I63&gt;I$9, I63&gt;(I$9+I$8),$D63&gt;'RV ERU Connections'!$F$38),X62,IF(I63&gt;I$8,((((VLOOKUP($B63,'Rate Projection'!$A$11:$G$101,3)))*(I63-I$8)/100)+(VLOOKUP($B63,'Rate Projection'!$A$11:$G$101,5)*'Monthly Revenue-Usage'!I$8/100)),(VLOOKUP($B63,'Rate Projection'!$A$11:$G$101,5)*('Monthly Revenue-Usage'!I63/100))))</f>
        <v>#REF!</v>
      </c>
      <c r="Z63" s="53" t="e">
        <f>(-ISPMT('Monthly Revenue-Usage'!$Z$10/12, 1,1*12, Z62)*12)+Z62</f>
        <v>#REF!</v>
      </c>
      <c r="AA63" s="53" t="e">
        <f t="shared" ref="AA63:AA102" si="15">Z63-Z62</f>
        <v>#REF!</v>
      </c>
    </row>
    <row r="64" spans="2:27" x14ac:dyDescent="0.3">
      <c r="B64" s="60">
        <f t="shared" si="0"/>
        <v>2062</v>
      </c>
      <c r="C64" s="5" t="e">
        <f t="shared" si="1"/>
        <v>#REF!</v>
      </c>
      <c r="D64" s="5" t="e">
        <f t="shared" si="14"/>
        <v>#REF!</v>
      </c>
      <c r="E64" s="46" t="e">
        <f t="shared" si="9"/>
        <v>#REF!</v>
      </c>
      <c r="F64" s="46" t="e">
        <f t="shared" si="10"/>
        <v>#REF!</v>
      </c>
      <c r="G64" s="46" t="e">
        <f t="shared" si="11"/>
        <v>#REF!</v>
      </c>
      <c r="H64" s="46" t="e">
        <f t="shared" si="12"/>
        <v>#REF!</v>
      </c>
      <c r="I64" s="46" t="e">
        <f t="shared" si="13"/>
        <v>#REF!</v>
      </c>
      <c r="J64" s="53" t="e">
        <f>IF(AND(E64&gt;E$9, $D64&gt;'RV ERU Connections'!$F$37),J63,(VLOOKUP($B64,'Rate Projection'!$A$11:$G$101,2)*(E64/100)))</f>
        <v>#REF!</v>
      </c>
      <c r="K64" s="53" t="e">
        <f>IF(AND(F64&gt;F$9, $D64&gt;'RV ERU Connections'!$F$37),K63,(VLOOKUP($B64,'Rate Projection'!$A$11:$G$101,3)*(F64/100)))</f>
        <v>#REF!</v>
      </c>
      <c r="L64" s="53" t="e">
        <f>IF(AND(G64&gt;G$9, $D64&gt;'RV ERU Connections'!$F$37),L63,(VLOOKUP($B64,'Rate Projection'!$A$11:$G$101,3)*(G64/100)))</f>
        <v>#REF!</v>
      </c>
      <c r="M64" s="53" t="e">
        <f>IF(AND(H64&gt;H$9, $D64&gt;'RV ERU Connections'!$F$37),M63,(VLOOKUP($B64,'Rate Projection'!$A$11:$G$101,3)*(H64/100)))</f>
        <v>#REF!</v>
      </c>
      <c r="N64" s="53" t="e">
        <f>IF(AND(I64&gt;I$9, $D64&gt;'RV ERU Connections'!$F$37),N63,(VLOOKUP($B64,'Rate Projection'!$A$11:$G$101,3)*(I64/100)))</f>
        <v>#REF!</v>
      </c>
      <c r="O64" s="54" t="e">
        <f>IF(AND(E64&gt;E$9, E64&gt;(E$9+E$8),$D64&gt;'RV ERU Connections'!$F$38),O63,IF(E64&gt;E$9,((('Rate Projection'!$C$6+(VLOOKUP($B64,'Rate Projection'!$A$11:$G$101,4)))*(E64-E$9)/100)+(VLOOKUP($B64,'Rate Projection'!$A$11:$G$101,2)*'Monthly Revenue-Usage'!E$9/100)),(VLOOKUP($B64,'Rate Projection'!$A$11:$G$101,2)*('Monthly Revenue-Usage'!E64/100))))</f>
        <v>#REF!</v>
      </c>
      <c r="P64" s="54" t="e">
        <f>IF(AND(F64&gt;F$9, F64&gt;(F$9+F$8),$D64&gt;'RV ERU Connections'!$F$38),P63,IF(F64&gt;F$9,((('Rate Projection'!$C$6+(VLOOKUP($B64,'Rate Projection'!$A$11:$G$101,5)))*(F64-F$9)/100)+(VLOOKUP($B64,'Rate Projection'!$A$11:$G$101,3)*'Monthly Revenue-Usage'!F$9/100)),(VLOOKUP($B64,'Rate Projection'!$A$11:$G$101,3)*('Monthly Revenue-Usage'!F64/100))))</f>
        <v>#REF!</v>
      </c>
      <c r="Q64" s="54" t="e">
        <f>IF(AND(G64&gt;G$9, G64&gt;(G$9+G$8),$D64&gt;'RV ERU Connections'!$F$38),Q63,IF(G64&gt;G$9,((('Rate Projection'!$C$6+(VLOOKUP($B64,'Rate Projection'!$A$11:$G$101,5)))*(G64-G$9)/100)+(VLOOKUP($B64,'Rate Projection'!$A$11:$G$101,3)*'Monthly Revenue-Usage'!G$9/100)),(VLOOKUP($B64,'Rate Projection'!$A$11:$G$101,3)*('Monthly Revenue-Usage'!G64/100))))</f>
        <v>#REF!</v>
      </c>
      <c r="R64" s="54" t="e">
        <f>IF(AND(H64&gt;H$9, H64&gt;(H$9+H$8),$D64&gt;'RV ERU Connections'!$F$38),R63,IF(H64&gt;H$9,((('Rate Projection'!$C$6+(VLOOKUP($B64,'Rate Projection'!$A$11:$G$101,5)))*(H64-H$9)/100)+(VLOOKUP($B64,'Rate Projection'!$A$11:$G$101,3)*'Monthly Revenue-Usage'!H$9/100)),(VLOOKUP($B64,'Rate Projection'!$A$11:$G$101,3)*('Monthly Revenue-Usage'!H64/100))))</f>
        <v>#REF!</v>
      </c>
      <c r="S64" s="54" t="e">
        <f>IF(AND(I64&gt;I$9, I64&gt;(I$9+I$8),$D64&gt;'RV ERU Connections'!$F$38),S63,IF(I64&gt;I$9,((('Rate Projection'!$C$6+(VLOOKUP($B64,'Rate Projection'!$A$11:$G$101,5)))*(I64-I$9)/100)+(VLOOKUP($B64,'Rate Projection'!$A$11:$G$101,3)*'Monthly Revenue-Usage'!I$9/100)),(VLOOKUP($B64,'Rate Projection'!$A$11:$G$101,3)*('Monthly Revenue-Usage'!I64/100))))</f>
        <v>#REF!</v>
      </c>
      <c r="T64" s="52" t="e">
        <f>IF(AND(E64&gt;E$9, E64&gt;(E$9+E$8),$D64&gt;'RV ERU Connections'!$F$38),T63,IF(E64&gt;E$8,((((VLOOKUP($B64,'Rate Projection'!$A$11:$G$101,2)))*(E64-E$8)/100)+(VLOOKUP($B64,'Rate Projection'!$A$11:$G$101,4)*'Monthly Revenue-Usage'!E$8/100)),(VLOOKUP($B64,'Rate Projection'!$A$11:$G$101,4)*('Monthly Revenue-Usage'!E64/100))))</f>
        <v>#REF!</v>
      </c>
      <c r="U64" s="52" t="e">
        <f>IF(AND(F64&gt;F$9, F64&gt;(F$9+F$8),$D64&gt;'RV ERU Connections'!$F$38),U63,IF(F64&gt;F$8,((((VLOOKUP($B64,'Rate Projection'!$A$11:$G$101,3)))*(F64-F$8)/100)+(VLOOKUP($B64,'Rate Projection'!$A$11:$G$101,5)*'Monthly Revenue-Usage'!F$8/100)),(VLOOKUP($B64,'Rate Projection'!$A$11:$G$101,5)*('Monthly Revenue-Usage'!F64/100))))</f>
        <v>#REF!</v>
      </c>
      <c r="V64" s="52" t="e">
        <f>IF(AND(G64&gt;G$9, G64&gt;(G$9+G$8),$D64&gt;'RV ERU Connections'!$F$38),V63,IF(G64&gt;G$8,((((VLOOKUP($B64,'Rate Projection'!$A$11:$G$101,3)))*(G64-G$8)/100)+(VLOOKUP($B64,'Rate Projection'!$A$11:$G$101,5)*'Monthly Revenue-Usage'!G$8/100)),(VLOOKUP($B64,'Rate Projection'!$A$11:$G$101,5)*('Monthly Revenue-Usage'!G64/100))))</f>
        <v>#REF!</v>
      </c>
      <c r="W64" s="52" t="e">
        <f>IF(AND(H64&gt;H$9, H64&gt;(H$9+H$8),$D64&gt;'RV ERU Connections'!$F$38),W63,IF(H64&gt;H$8,((((VLOOKUP($B64,'Rate Projection'!$A$11:$G$101,3)))*(H64-H$8)/100)+(VLOOKUP($B64,'Rate Projection'!$A$11:$G$101,5)*'Monthly Revenue-Usage'!H$8/100)),(VLOOKUP($B64,'Rate Projection'!$A$11:$G$101,5)*('Monthly Revenue-Usage'!H64/100))))</f>
        <v>#REF!</v>
      </c>
      <c r="X64" s="52" t="e">
        <f>IF(AND(I64&gt;I$9, I64&gt;(I$9+I$8),$D64&gt;'RV ERU Connections'!$F$38),X63,IF(I64&gt;I$8,((((VLOOKUP($B64,'Rate Projection'!$A$11:$G$101,3)))*(I64-I$8)/100)+(VLOOKUP($B64,'Rate Projection'!$A$11:$G$101,5)*'Monthly Revenue-Usage'!I$8/100)),(VLOOKUP($B64,'Rate Projection'!$A$11:$G$101,5)*('Monthly Revenue-Usage'!I64/100))))</f>
        <v>#REF!</v>
      </c>
      <c r="Z64" s="53" t="e">
        <f>(-ISPMT('Monthly Revenue-Usage'!$Z$10/12, 1,1*12, Z63)*12)+Z63</f>
        <v>#REF!</v>
      </c>
      <c r="AA64" s="53" t="e">
        <f t="shared" si="15"/>
        <v>#REF!</v>
      </c>
    </row>
    <row r="65" spans="2:27" x14ac:dyDescent="0.3">
      <c r="B65" s="60">
        <f t="shared" si="0"/>
        <v>2063</v>
      </c>
      <c r="C65" s="5" t="e">
        <f t="shared" si="1"/>
        <v>#REF!</v>
      </c>
      <c r="D65" s="5" t="e">
        <f t="shared" si="14"/>
        <v>#REF!</v>
      </c>
      <c r="E65" s="46" t="e">
        <f t="shared" si="9"/>
        <v>#REF!</v>
      </c>
      <c r="F65" s="46" t="e">
        <f t="shared" si="10"/>
        <v>#REF!</v>
      </c>
      <c r="G65" s="46" t="e">
        <f t="shared" si="11"/>
        <v>#REF!</v>
      </c>
      <c r="H65" s="46" t="e">
        <f t="shared" si="12"/>
        <v>#REF!</v>
      </c>
      <c r="I65" s="46" t="e">
        <f t="shared" si="13"/>
        <v>#REF!</v>
      </c>
      <c r="J65" s="53" t="e">
        <f>IF(AND(E65&gt;E$9, $D65&gt;'RV ERU Connections'!$F$37),J64,(VLOOKUP($B65,'Rate Projection'!$A$11:$G$101,2)*(E65/100)))</f>
        <v>#REF!</v>
      </c>
      <c r="K65" s="53" t="e">
        <f>IF(AND(F65&gt;F$9, $D65&gt;'RV ERU Connections'!$F$37),K64,(VLOOKUP($B65,'Rate Projection'!$A$11:$G$101,3)*(F65/100)))</f>
        <v>#REF!</v>
      </c>
      <c r="L65" s="53" t="e">
        <f>IF(AND(G65&gt;G$9, $D65&gt;'RV ERU Connections'!$F$37),L64,(VLOOKUP($B65,'Rate Projection'!$A$11:$G$101,3)*(G65/100)))</f>
        <v>#REF!</v>
      </c>
      <c r="M65" s="53" t="e">
        <f>IF(AND(H65&gt;H$9, $D65&gt;'RV ERU Connections'!$F$37),M64,(VLOOKUP($B65,'Rate Projection'!$A$11:$G$101,3)*(H65/100)))</f>
        <v>#REF!</v>
      </c>
      <c r="N65" s="53" t="e">
        <f>IF(AND(I65&gt;I$9, $D65&gt;'RV ERU Connections'!$F$37),N64,(VLOOKUP($B65,'Rate Projection'!$A$11:$G$101,3)*(I65/100)))</f>
        <v>#REF!</v>
      </c>
      <c r="O65" s="54" t="e">
        <f>IF(AND(E65&gt;E$9, E65&gt;(E$9+E$8),$D65&gt;'RV ERU Connections'!$F$38),O64,IF(E65&gt;E$9,((('Rate Projection'!$C$6+(VLOOKUP($B65,'Rate Projection'!$A$11:$G$101,4)))*(E65-E$9)/100)+(VLOOKUP($B65,'Rate Projection'!$A$11:$G$101,2)*'Monthly Revenue-Usage'!E$9/100)),(VLOOKUP($B65,'Rate Projection'!$A$11:$G$101,2)*('Monthly Revenue-Usage'!E65/100))))</f>
        <v>#REF!</v>
      </c>
      <c r="P65" s="54" t="e">
        <f>IF(AND(F65&gt;F$9, F65&gt;(F$9+F$8),$D65&gt;'RV ERU Connections'!$F$38),P64,IF(F65&gt;F$9,((('Rate Projection'!$C$6+(VLOOKUP($B65,'Rate Projection'!$A$11:$G$101,5)))*(F65-F$9)/100)+(VLOOKUP($B65,'Rate Projection'!$A$11:$G$101,3)*'Monthly Revenue-Usage'!F$9/100)),(VLOOKUP($B65,'Rate Projection'!$A$11:$G$101,3)*('Monthly Revenue-Usage'!F65/100))))</f>
        <v>#REF!</v>
      </c>
      <c r="Q65" s="54" t="e">
        <f>IF(AND(G65&gt;G$9, G65&gt;(G$9+G$8),$D65&gt;'RV ERU Connections'!$F$38),Q64,IF(G65&gt;G$9,((('Rate Projection'!$C$6+(VLOOKUP($B65,'Rate Projection'!$A$11:$G$101,5)))*(G65-G$9)/100)+(VLOOKUP($B65,'Rate Projection'!$A$11:$G$101,3)*'Monthly Revenue-Usage'!G$9/100)),(VLOOKUP($B65,'Rate Projection'!$A$11:$G$101,3)*('Monthly Revenue-Usage'!G65/100))))</f>
        <v>#REF!</v>
      </c>
      <c r="R65" s="54" t="e">
        <f>IF(AND(H65&gt;H$9, H65&gt;(H$9+H$8),$D65&gt;'RV ERU Connections'!$F$38),R64,IF(H65&gt;H$9,((('Rate Projection'!$C$6+(VLOOKUP($B65,'Rate Projection'!$A$11:$G$101,5)))*(H65-H$9)/100)+(VLOOKUP($B65,'Rate Projection'!$A$11:$G$101,3)*'Monthly Revenue-Usage'!H$9/100)),(VLOOKUP($B65,'Rate Projection'!$A$11:$G$101,3)*('Monthly Revenue-Usage'!H65/100))))</f>
        <v>#REF!</v>
      </c>
      <c r="S65" s="54" t="e">
        <f>IF(AND(I65&gt;I$9, I65&gt;(I$9+I$8),$D65&gt;'RV ERU Connections'!$F$38),S64,IF(I65&gt;I$9,((('Rate Projection'!$C$6+(VLOOKUP($B65,'Rate Projection'!$A$11:$G$101,5)))*(I65-I$9)/100)+(VLOOKUP($B65,'Rate Projection'!$A$11:$G$101,3)*'Monthly Revenue-Usage'!I$9/100)),(VLOOKUP($B65,'Rate Projection'!$A$11:$G$101,3)*('Monthly Revenue-Usage'!I65/100))))</f>
        <v>#REF!</v>
      </c>
      <c r="T65" s="52" t="e">
        <f>IF(AND(E65&gt;E$9, E65&gt;(E$9+E$8),$D65&gt;'RV ERU Connections'!$F$38),T64,IF(E65&gt;E$8,((((VLOOKUP($B65,'Rate Projection'!$A$11:$G$101,2)))*(E65-E$8)/100)+(VLOOKUP($B65,'Rate Projection'!$A$11:$G$101,4)*'Monthly Revenue-Usage'!E$8/100)),(VLOOKUP($B65,'Rate Projection'!$A$11:$G$101,4)*('Monthly Revenue-Usage'!E65/100))))</f>
        <v>#REF!</v>
      </c>
      <c r="U65" s="52" t="e">
        <f>IF(AND(F65&gt;F$9, F65&gt;(F$9+F$8),$D65&gt;'RV ERU Connections'!$F$38),U64,IF(F65&gt;F$8,((((VLOOKUP($B65,'Rate Projection'!$A$11:$G$101,3)))*(F65-F$8)/100)+(VLOOKUP($B65,'Rate Projection'!$A$11:$G$101,5)*'Monthly Revenue-Usage'!F$8/100)),(VLOOKUP($B65,'Rate Projection'!$A$11:$G$101,5)*('Monthly Revenue-Usage'!F65/100))))</f>
        <v>#REF!</v>
      </c>
      <c r="V65" s="52" t="e">
        <f>IF(AND(G65&gt;G$9, G65&gt;(G$9+G$8),$D65&gt;'RV ERU Connections'!$F$38),V64,IF(G65&gt;G$8,((((VLOOKUP($B65,'Rate Projection'!$A$11:$G$101,3)))*(G65-G$8)/100)+(VLOOKUP($B65,'Rate Projection'!$A$11:$G$101,5)*'Monthly Revenue-Usage'!G$8/100)),(VLOOKUP($B65,'Rate Projection'!$A$11:$G$101,5)*('Monthly Revenue-Usage'!G65/100))))</f>
        <v>#REF!</v>
      </c>
      <c r="W65" s="52" t="e">
        <f>IF(AND(H65&gt;H$9, H65&gt;(H$9+H$8),$D65&gt;'RV ERU Connections'!$F$38),W64,IF(H65&gt;H$8,((((VLOOKUP($B65,'Rate Projection'!$A$11:$G$101,3)))*(H65-H$8)/100)+(VLOOKUP($B65,'Rate Projection'!$A$11:$G$101,5)*'Monthly Revenue-Usage'!H$8/100)),(VLOOKUP($B65,'Rate Projection'!$A$11:$G$101,5)*('Monthly Revenue-Usage'!H65/100))))</f>
        <v>#REF!</v>
      </c>
      <c r="X65" s="52" t="e">
        <f>IF(AND(I65&gt;I$9, I65&gt;(I$9+I$8),$D65&gt;'RV ERU Connections'!$F$38),X64,IF(I65&gt;I$8,((((VLOOKUP($B65,'Rate Projection'!$A$11:$G$101,3)))*(I65-I$8)/100)+(VLOOKUP($B65,'Rate Projection'!$A$11:$G$101,5)*'Monthly Revenue-Usage'!I$8/100)),(VLOOKUP($B65,'Rate Projection'!$A$11:$G$101,5)*('Monthly Revenue-Usage'!I65/100))))</f>
        <v>#REF!</v>
      </c>
      <c r="Z65" s="53" t="e">
        <f>(-ISPMT('Monthly Revenue-Usage'!$Z$10/12, 1,1*12, Z64)*12)+Z64</f>
        <v>#REF!</v>
      </c>
      <c r="AA65" s="53" t="e">
        <f t="shared" si="15"/>
        <v>#REF!</v>
      </c>
    </row>
    <row r="66" spans="2:27" x14ac:dyDescent="0.3">
      <c r="B66" s="60">
        <f t="shared" si="0"/>
        <v>2064</v>
      </c>
      <c r="C66" s="5" t="e">
        <f t="shared" si="1"/>
        <v>#REF!</v>
      </c>
      <c r="D66" s="5" t="e">
        <f t="shared" si="14"/>
        <v>#REF!</v>
      </c>
      <c r="E66" s="46" t="e">
        <f t="shared" si="9"/>
        <v>#REF!</v>
      </c>
      <c r="F66" s="46" t="e">
        <f t="shared" si="10"/>
        <v>#REF!</v>
      </c>
      <c r="G66" s="46" t="e">
        <f t="shared" si="11"/>
        <v>#REF!</v>
      </c>
      <c r="H66" s="46" t="e">
        <f t="shared" si="12"/>
        <v>#REF!</v>
      </c>
      <c r="I66" s="46" t="e">
        <f t="shared" si="13"/>
        <v>#REF!</v>
      </c>
      <c r="J66" s="53" t="e">
        <f>IF(AND(E66&gt;E$9, $D66&gt;'RV ERU Connections'!$F$37),J65,(VLOOKUP($B66,'Rate Projection'!$A$11:$G$101,2)*(E66/100)))</f>
        <v>#REF!</v>
      </c>
      <c r="K66" s="53" t="e">
        <f>IF(AND(F66&gt;F$9, $D66&gt;'RV ERU Connections'!$F$37),K65,(VLOOKUP($B66,'Rate Projection'!$A$11:$G$101,3)*(F66/100)))</f>
        <v>#REF!</v>
      </c>
      <c r="L66" s="53" t="e">
        <f>IF(AND(G66&gt;G$9, $D66&gt;'RV ERU Connections'!$F$37),L65,(VLOOKUP($B66,'Rate Projection'!$A$11:$G$101,3)*(G66/100)))</f>
        <v>#REF!</v>
      </c>
      <c r="M66" s="53" t="e">
        <f>IF(AND(H66&gt;H$9, $D66&gt;'RV ERU Connections'!$F$37),M65,(VLOOKUP($B66,'Rate Projection'!$A$11:$G$101,3)*(H66/100)))</f>
        <v>#REF!</v>
      </c>
      <c r="N66" s="53" t="e">
        <f>IF(AND(I66&gt;I$9, $D66&gt;'RV ERU Connections'!$F$37),N65,(VLOOKUP($B66,'Rate Projection'!$A$11:$G$101,3)*(I66/100)))</f>
        <v>#REF!</v>
      </c>
      <c r="O66" s="54" t="e">
        <f>IF(AND(E66&gt;E$9, E66&gt;(E$9+E$8),$D66&gt;'RV ERU Connections'!$F$38),O65,IF(E66&gt;E$9,((('Rate Projection'!$C$6+(VLOOKUP($B66,'Rate Projection'!$A$11:$G$101,4)))*(E66-E$9)/100)+(VLOOKUP($B66,'Rate Projection'!$A$11:$G$101,2)*'Monthly Revenue-Usage'!E$9/100)),(VLOOKUP($B66,'Rate Projection'!$A$11:$G$101,2)*('Monthly Revenue-Usage'!E66/100))))</f>
        <v>#REF!</v>
      </c>
      <c r="P66" s="54" t="e">
        <f>IF(AND(F66&gt;F$9, F66&gt;(F$9+F$8),$D66&gt;'RV ERU Connections'!$F$38),P65,IF(F66&gt;F$9,((('Rate Projection'!$C$6+(VLOOKUP($B66,'Rate Projection'!$A$11:$G$101,5)))*(F66-F$9)/100)+(VLOOKUP($B66,'Rate Projection'!$A$11:$G$101,3)*'Monthly Revenue-Usage'!F$9/100)),(VLOOKUP($B66,'Rate Projection'!$A$11:$G$101,3)*('Monthly Revenue-Usage'!F66/100))))</f>
        <v>#REF!</v>
      </c>
      <c r="Q66" s="54" t="e">
        <f>IF(AND(G66&gt;G$9, G66&gt;(G$9+G$8),$D66&gt;'RV ERU Connections'!$F$38),Q65,IF(G66&gt;G$9,((('Rate Projection'!$C$6+(VLOOKUP($B66,'Rate Projection'!$A$11:$G$101,5)))*(G66-G$9)/100)+(VLOOKUP($B66,'Rate Projection'!$A$11:$G$101,3)*'Monthly Revenue-Usage'!G$9/100)),(VLOOKUP($B66,'Rate Projection'!$A$11:$G$101,3)*('Monthly Revenue-Usage'!G66/100))))</f>
        <v>#REF!</v>
      </c>
      <c r="R66" s="54" t="e">
        <f>IF(AND(H66&gt;H$9, H66&gt;(H$9+H$8),$D66&gt;'RV ERU Connections'!$F$38),R65,IF(H66&gt;H$9,((('Rate Projection'!$C$6+(VLOOKUP($B66,'Rate Projection'!$A$11:$G$101,5)))*(H66-H$9)/100)+(VLOOKUP($B66,'Rate Projection'!$A$11:$G$101,3)*'Monthly Revenue-Usage'!H$9/100)),(VLOOKUP($B66,'Rate Projection'!$A$11:$G$101,3)*('Monthly Revenue-Usage'!H66/100))))</f>
        <v>#REF!</v>
      </c>
      <c r="S66" s="54" t="e">
        <f>IF(AND(I66&gt;I$9, I66&gt;(I$9+I$8),$D66&gt;'RV ERU Connections'!$F$38),S65,IF(I66&gt;I$9,((('Rate Projection'!$C$6+(VLOOKUP($B66,'Rate Projection'!$A$11:$G$101,5)))*(I66-I$9)/100)+(VLOOKUP($B66,'Rate Projection'!$A$11:$G$101,3)*'Monthly Revenue-Usage'!I$9/100)),(VLOOKUP($B66,'Rate Projection'!$A$11:$G$101,3)*('Monthly Revenue-Usage'!I66/100))))</f>
        <v>#REF!</v>
      </c>
      <c r="T66" s="52" t="e">
        <f>IF(AND(E66&gt;E$9, E66&gt;(E$9+E$8),$D66&gt;'RV ERU Connections'!$F$38),T65,IF(E66&gt;E$8,((((VLOOKUP($B66,'Rate Projection'!$A$11:$G$101,2)))*(E66-E$8)/100)+(VLOOKUP($B66,'Rate Projection'!$A$11:$G$101,4)*'Monthly Revenue-Usage'!E$8/100)),(VLOOKUP($B66,'Rate Projection'!$A$11:$G$101,4)*('Monthly Revenue-Usage'!E66/100))))</f>
        <v>#REF!</v>
      </c>
      <c r="U66" s="52" t="e">
        <f>IF(AND(F66&gt;F$9, F66&gt;(F$9+F$8),$D66&gt;'RV ERU Connections'!$F$38),U65,IF(F66&gt;F$8,((((VLOOKUP($B66,'Rate Projection'!$A$11:$G$101,3)))*(F66-F$8)/100)+(VLOOKUP($B66,'Rate Projection'!$A$11:$G$101,5)*'Monthly Revenue-Usage'!F$8/100)),(VLOOKUP($B66,'Rate Projection'!$A$11:$G$101,5)*('Monthly Revenue-Usage'!F66/100))))</f>
        <v>#REF!</v>
      </c>
      <c r="V66" s="52" t="e">
        <f>IF(AND(G66&gt;G$9, G66&gt;(G$9+G$8),$D66&gt;'RV ERU Connections'!$F$38),V65,IF(G66&gt;G$8,((((VLOOKUP($B66,'Rate Projection'!$A$11:$G$101,3)))*(G66-G$8)/100)+(VLOOKUP($B66,'Rate Projection'!$A$11:$G$101,5)*'Monthly Revenue-Usage'!G$8/100)),(VLOOKUP($B66,'Rate Projection'!$A$11:$G$101,5)*('Monthly Revenue-Usage'!G66/100))))</f>
        <v>#REF!</v>
      </c>
      <c r="W66" s="52" t="e">
        <f>IF(AND(H66&gt;H$9, H66&gt;(H$9+H$8),$D66&gt;'RV ERU Connections'!$F$38),W65,IF(H66&gt;H$8,((((VLOOKUP($B66,'Rate Projection'!$A$11:$G$101,3)))*(H66-H$8)/100)+(VLOOKUP($B66,'Rate Projection'!$A$11:$G$101,5)*'Monthly Revenue-Usage'!H$8/100)),(VLOOKUP($B66,'Rate Projection'!$A$11:$G$101,5)*('Monthly Revenue-Usage'!H66/100))))</f>
        <v>#REF!</v>
      </c>
      <c r="X66" s="52" t="e">
        <f>IF(AND(I66&gt;I$9, I66&gt;(I$9+I$8),$D66&gt;'RV ERU Connections'!$F$38),X65,IF(I66&gt;I$8,((((VLOOKUP($B66,'Rate Projection'!$A$11:$G$101,3)))*(I66-I$8)/100)+(VLOOKUP($B66,'Rate Projection'!$A$11:$G$101,5)*'Monthly Revenue-Usage'!I$8/100)),(VLOOKUP($B66,'Rate Projection'!$A$11:$G$101,5)*('Monthly Revenue-Usage'!I66/100))))</f>
        <v>#REF!</v>
      </c>
      <c r="Z66" s="53" t="e">
        <f>(-ISPMT('Monthly Revenue-Usage'!$Z$10/12, 1,1*12, Z65)*12)+Z65</f>
        <v>#REF!</v>
      </c>
      <c r="AA66" s="53" t="e">
        <f t="shared" si="15"/>
        <v>#REF!</v>
      </c>
    </row>
    <row r="67" spans="2:27" x14ac:dyDescent="0.3">
      <c r="B67" s="60">
        <f t="shared" si="0"/>
        <v>2065</v>
      </c>
      <c r="C67" s="5" t="e">
        <f t="shared" si="1"/>
        <v>#REF!</v>
      </c>
      <c r="D67" s="5" t="e">
        <f t="shared" si="14"/>
        <v>#REF!</v>
      </c>
      <c r="E67" s="46" t="e">
        <f t="shared" si="9"/>
        <v>#REF!</v>
      </c>
      <c r="F67" s="46" t="e">
        <f t="shared" si="10"/>
        <v>#REF!</v>
      </c>
      <c r="G67" s="46" t="e">
        <f t="shared" si="11"/>
        <v>#REF!</v>
      </c>
      <c r="H67" s="46" t="e">
        <f t="shared" si="12"/>
        <v>#REF!</v>
      </c>
      <c r="I67" s="46" t="e">
        <f t="shared" si="13"/>
        <v>#REF!</v>
      </c>
      <c r="J67" s="53" t="e">
        <f>IF(AND(E67&gt;E$9, $D67&gt;'RV ERU Connections'!$F$37),J66,(VLOOKUP($B67,'Rate Projection'!$A$11:$G$101,2)*(E67/100)))</f>
        <v>#REF!</v>
      </c>
      <c r="K67" s="53" t="e">
        <f>IF(AND(F67&gt;F$9, $D67&gt;'RV ERU Connections'!$F$37),K66,(VLOOKUP($B67,'Rate Projection'!$A$11:$G$101,3)*(F67/100)))</f>
        <v>#REF!</v>
      </c>
      <c r="L67" s="53" t="e">
        <f>IF(AND(G67&gt;G$9, $D67&gt;'RV ERU Connections'!$F$37),L66,(VLOOKUP($B67,'Rate Projection'!$A$11:$G$101,3)*(G67/100)))</f>
        <v>#REF!</v>
      </c>
      <c r="M67" s="53" t="e">
        <f>IF(AND(H67&gt;H$9, $D67&gt;'RV ERU Connections'!$F$37),M66,(VLOOKUP($B67,'Rate Projection'!$A$11:$G$101,3)*(H67/100)))</f>
        <v>#REF!</v>
      </c>
      <c r="N67" s="53" t="e">
        <f>IF(AND(I67&gt;I$9, $D67&gt;'RV ERU Connections'!$F$37),N66,(VLOOKUP($B67,'Rate Projection'!$A$11:$G$101,3)*(I67/100)))</f>
        <v>#REF!</v>
      </c>
      <c r="O67" s="54" t="e">
        <f>IF(AND(E67&gt;E$9, E67&gt;(E$9+E$8),$D67&gt;'RV ERU Connections'!$F$38),O66,IF(E67&gt;E$9,((('Rate Projection'!$C$6+(VLOOKUP($B67,'Rate Projection'!$A$11:$G$101,4)))*(E67-E$9)/100)+(VLOOKUP($B67,'Rate Projection'!$A$11:$G$101,2)*'Monthly Revenue-Usage'!E$9/100)),(VLOOKUP($B67,'Rate Projection'!$A$11:$G$101,2)*('Monthly Revenue-Usage'!E67/100))))</f>
        <v>#REF!</v>
      </c>
      <c r="P67" s="54" t="e">
        <f>IF(AND(F67&gt;F$9, F67&gt;(F$9+F$8),$D67&gt;'RV ERU Connections'!$F$38),P66,IF(F67&gt;F$9,((('Rate Projection'!$C$6+(VLOOKUP($B67,'Rate Projection'!$A$11:$G$101,5)))*(F67-F$9)/100)+(VLOOKUP($B67,'Rate Projection'!$A$11:$G$101,3)*'Monthly Revenue-Usage'!F$9/100)),(VLOOKUP($B67,'Rate Projection'!$A$11:$G$101,3)*('Monthly Revenue-Usage'!F67/100))))</f>
        <v>#REF!</v>
      </c>
      <c r="Q67" s="54" t="e">
        <f>IF(AND(G67&gt;G$9, G67&gt;(G$9+G$8),$D67&gt;'RV ERU Connections'!$F$38),Q66,IF(G67&gt;G$9,((('Rate Projection'!$C$6+(VLOOKUP($B67,'Rate Projection'!$A$11:$G$101,5)))*(G67-G$9)/100)+(VLOOKUP($B67,'Rate Projection'!$A$11:$G$101,3)*'Monthly Revenue-Usage'!G$9/100)),(VLOOKUP($B67,'Rate Projection'!$A$11:$G$101,3)*('Monthly Revenue-Usage'!G67/100))))</f>
        <v>#REF!</v>
      </c>
      <c r="R67" s="54" t="e">
        <f>IF(AND(H67&gt;H$9, H67&gt;(H$9+H$8),$D67&gt;'RV ERU Connections'!$F$38),R66,IF(H67&gt;H$9,((('Rate Projection'!$C$6+(VLOOKUP($B67,'Rate Projection'!$A$11:$G$101,5)))*(H67-H$9)/100)+(VLOOKUP($B67,'Rate Projection'!$A$11:$G$101,3)*'Monthly Revenue-Usage'!H$9/100)),(VLOOKUP($B67,'Rate Projection'!$A$11:$G$101,3)*('Monthly Revenue-Usage'!H67/100))))</f>
        <v>#REF!</v>
      </c>
      <c r="S67" s="54" t="e">
        <f>IF(AND(I67&gt;I$9, I67&gt;(I$9+I$8),$D67&gt;'RV ERU Connections'!$F$38),S66,IF(I67&gt;I$9,((('Rate Projection'!$C$6+(VLOOKUP($B67,'Rate Projection'!$A$11:$G$101,5)))*(I67-I$9)/100)+(VLOOKUP($B67,'Rate Projection'!$A$11:$G$101,3)*'Monthly Revenue-Usage'!I$9/100)),(VLOOKUP($B67,'Rate Projection'!$A$11:$G$101,3)*('Monthly Revenue-Usage'!I67/100))))</f>
        <v>#REF!</v>
      </c>
      <c r="T67" s="52" t="e">
        <f>IF(AND(E67&gt;E$9, E67&gt;(E$9+E$8),$D67&gt;'RV ERU Connections'!$F$38),T66,IF(E67&gt;E$8,((((VLOOKUP($B67,'Rate Projection'!$A$11:$G$101,2)))*(E67-E$8)/100)+(VLOOKUP($B67,'Rate Projection'!$A$11:$G$101,4)*'Monthly Revenue-Usage'!E$8/100)),(VLOOKUP($B67,'Rate Projection'!$A$11:$G$101,4)*('Monthly Revenue-Usage'!E67/100))))</f>
        <v>#REF!</v>
      </c>
      <c r="U67" s="52" t="e">
        <f>IF(AND(F67&gt;F$9, F67&gt;(F$9+F$8),$D67&gt;'RV ERU Connections'!$F$38),U66,IF(F67&gt;F$8,((((VLOOKUP($B67,'Rate Projection'!$A$11:$G$101,3)))*(F67-F$8)/100)+(VLOOKUP($B67,'Rate Projection'!$A$11:$G$101,5)*'Monthly Revenue-Usage'!F$8/100)),(VLOOKUP($B67,'Rate Projection'!$A$11:$G$101,5)*('Monthly Revenue-Usage'!F67/100))))</f>
        <v>#REF!</v>
      </c>
      <c r="V67" s="52" t="e">
        <f>IF(AND(G67&gt;G$9, G67&gt;(G$9+G$8),$D67&gt;'RV ERU Connections'!$F$38),V66,IF(G67&gt;G$8,((((VLOOKUP($B67,'Rate Projection'!$A$11:$G$101,3)))*(G67-G$8)/100)+(VLOOKUP($B67,'Rate Projection'!$A$11:$G$101,5)*'Monthly Revenue-Usage'!G$8/100)),(VLOOKUP($B67,'Rate Projection'!$A$11:$G$101,5)*('Monthly Revenue-Usage'!G67/100))))</f>
        <v>#REF!</v>
      </c>
      <c r="W67" s="52" t="e">
        <f>IF(AND(H67&gt;H$9, H67&gt;(H$9+H$8),$D67&gt;'RV ERU Connections'!$F$38),W66,IF(H67&gt;H$8,((((VLOOKUP($B67,'Rate Projection'!$A$11:$G$101,3)))*(H67-H$8)/100)+(VLOOKUP($B67,'Rate Projection'!$A$11:$G$101,5)*'Monthly Revenue-Usage'!H$8/100)),(VLOOKUP($B67,'Rate Projection'!$A$11:$G$101,5)*('Monthly Revenue-Usage'!H67/100))))</f>
        <v>#REF!</v>
      </c>
      <c r="X67" s="52" t="e">
        <f>IF(AND(I67&gt;I$9, I67&gt;(I$9+I$8),$D67&gt;'RV ERU Connections'!$F$38),X66,IF(I67&gt;I$8,((((VLOOKUP($B67,'Rate Projection'!$A$11:$G$101,3)))*(I67-I$8)/100)+(VLOOKUP($B67,'Rate Projection'!$A$11:$G$101,5)*'Monthly Revenue-Usage'!I$8/100)),(VLOOKUP($B67,'Rate Projection'!$A$11:$G$101,5)*('Monthly Revenue-Usage'!I67/100))))</f>
        <v>#REF!</v>
      </c>
      <c r="Z67" s="53" t="e">
        <f>(-ISPMT('Monthly Revenue-Usage'!$Z$10/12, 1,1*12, Z66)*12)+Z66</f>
        <v>#REF!</v>
      </c>
      <c r="AA67" s="53" t="e">
        <f t="shared" si="15"/>
        <v>#REF!</v>
      </c>
    </row>
    <row r="68" spans="2:27" x14ac:dyDescent="0.3">
      <c r="B68" s="60">
        <f t="shared" si="0"/>
        <v>2066</v>
      </c>
      <c r="C68" s="5" t="e">
        <f t="shared" si="1"/>
        <v>#REF!</v>
      </c>
      <c r="D68" s="5" t="e">
        <f t="shared" si="14"/>
        <v>#REF!</v>
      </c>
      <c r="E68" s="46" t="e">
        <f t="shared" si="9"/>
        <v>#REF!</v>
      </c>
      <c r="F68" s="46" t="e">
        <f t="shared" si="10"/>
        <v>#REF!</v>
      </c>
      <c r="G68" s="46" t="e">
        <f t="shared" si="11"/>
        <v>#REF!</v>
      </c>
      <c r="H68" s="46" t="e">
        <f t="shared" si="12"/>
        <v>#REF!</v>
      </c>
      <c r="I68" s="46" t="e">
        <f t="shared" si="13"/>
        <v>#REF!</v>
      </c>
      <c r="J68" s="53" t="e">
        <f>IF(AND(E68&gt;E$9, $D68&gt;'RV ERU Connections'!$F$37),J67,(VLOOKUP($B68,'Rate Projection'!$A$11:$G$101,2)*(E68/100)))</f>
        <v>#REF!</v>
      </c>
      <c r="K68" s="53" t="e">
        <f>IF(AND(F68&gt;F$9, $D68&gt;'RV ERU Connections'!$F$37),K67,(VLOOKUP($B68,'Rate Projection'!$A$11:$G$101,3)*(F68/100)))</f>
        <v>#REF!</v>
      </c>
      <c r="L68" s="53" t="e">
        <f>IF(AND(G68&gt;G$9, $D68&gt;'RV ERU Connections'!$F$37),L67,(VLOOKUP($B68,'Rate Projection'!$A$11:$G$101,3)*(G68/100)))</f>
        <v>#REF!</v>
      </c>
      <c r="M68" s="53" t="e">
        <f>IF(AND(H68&gt;H$9, $D68&gt;'RV ERU Connections'!$F$37),M67,(VLOOKUP($B68,'Rate Projection'!$A$11:$G$101,3)*(H68/100)))</f>
        <v>#REF!</v>
      </c>
      <c r="N68" s="53" t="e">
        <f>IF(AND(I68&gt;I$9, $D68&gt;'RV ERU Connections'!$F$37),N67,(VLOOKUP($B68,'Rate Projection'!$A$11:$G$101,3)*(I68/100)))</f>
        <v>#REF!</v>
      </c>
      <c r="O68" s="54" t="e">
        <f>IF(AND(E68&gt;E$9, E68&gt;(E$9+E$8),$D68&gt;'RV ERU Connections'!$F$38),O67,IF(E68&gt;E$9,((('Rate Projection'!$C$6+(VLOOKUP($B68,'Rate Projection'!$A$11:$G$101,4)))*(E68-E$9)/100)+(VLOOKUP($B68,'Rate Projection'!$A$11:$G$101,2)*'Monthly Revenue-Usage'!E$9/100)),(VLOOKUP($B68,'Rate Projection'!$A$11:$G$101,2)*('Monthly Revenue-Usage'!E68/100))))</f>
        <v>#REF!</v>
      </c>
      <c r="P68" s="54" t="e">
        <f>IF(AND(F68&gt;F$9, F68&gt;(F$9+F$8),$D68&gt;'RV ERU Connections'!$F$38),P67,IF(F68&gt;F$9,((('Rate Projection'!$C$6+(VLOOKUP($B68,'Rate Projection'!$A$11:$G$101,5)))*(F68-F$9)/100)+(VLOOKUP($B68,'Rate Projection'!$A$11:$G$101,3)*'Monthly Revenue-Usage'!F$9/100)),(VLOOKUP($B68,'Rate Projection'!$A$11:$G$101,3)*('Monthly Revenue-Usage'!F68/100))))</f>
        <v>#REF!</v>
      </c>
      <c r="Q68" s="54" t="e">
        <f>IF(AND(G68&gt;G$9, G68&gt;(G$9+G$8),$D68&gt;'RV ERU Connections'!$F$38),Q67,IF(G68&gt;G$9,((('Rate Projection'!$C$6+(VLOOKUP($B68,'Rate Projection'!$A$11:$G$101,5)))*(G68-G$9)/100)+(VLOOKUP($B68,'Rate Projection'!$A$11:$G$101,3)*'Monthly Revenue-Usage'!G$9/100)),(VLOOKUP($B68,'Rate Projection'!$A$11:$G$101,3)*('Monthly Revenue-Usage'!G68/100))))</f>
        <v>#REF!</v>
      </c>
      <c r="R68" s="54" t="e">
        <f>IF(AND(H68&gt;H$9, H68&gt;(H$9+H$8),$D68&gt;'RV ERU Connections'!$F$38),R67,IF(H68&gt;H$9,((('Rate Projection'!$C$6+(VLOOKUP($B68,'Rate Projection'!$A$11:$G$101,5)))*(H68-H$9)/100)+(VLOOKUP($B68,'Rate Projection'!$A$11:$G$101,3)*'Monthly Revenue-Usage'!H$9/100)),(VLOOKUP($B68,'Rate Projection'!$A$11:$G$101,3)*('Monthly Revenue-Usage'!H68/100))))</f>
        <v>#REF!</v>
      </c>
      <c r="S68" s="54" t="e">
        <f>IF(AND(I68&gt;I$9, I68&gt;(I$9+I$8),$D68&gt;'RV ERU Connections'!$F$38),S67,IF(I68&gt;I$9,((('Rate Projection'!$C$6+(VLOOKUP($B68,'Rate Projection'!$A$11:$G$101,5)))*(I68-I$9)/100)+(VLOOKUP($B68,'Rate Projection'!$A$11:$G$101,3)*'Monthly Revenue-Usage'!I$9/100)),(VLOOKUP($B68,'Rate Projection'!$A$11:$G$101,3)*('Monthly Revenue-Usage'!I68/100))))</f>
        <v>#REF!</v>
      </c>
      <c r="T68" s="52" t="e">
        <f>IF(AND(E68&gt;E$9, E68&gt;(E$9+E$8),$D68&gt;'RV ERU Connections'!$F$38),T67,IF(E68&gt;E$8,((((VLOOKUP($B68,'Rate Projection'!$A$11:$G$101,2)))*(E68-E$8)/100)+(VLOOKUP($B68,'Rate Projection'!$A$11:$G$101,4)*'Monthly Revenue-Usage'!E$8/100)),(VLOOKUP($B68,'Rate Projection'!$A$11:$G$101,4)*('Monthly Revenue-Usage'!E68/100))))</f>
        <v>#REF!</v>
      </c>
      <c r="U68" s="52" t="e">
        <f>IF(AND(F68&gt;F$9, F68&gt;(F$9+F$8),$D68&gt;'RV ERU Connections'!$F$38),U67,IF(F68&gt;F$8,((((VLOOKUP($B68,'Rate Projection'!$A$11:$G$101,3)))*(F68-F$8)/100)+(VLOOKUP($B68,'Rate Projection'!$A$11:$G$101,5)*'Monthly Revenue-Usage'!F$8/100)),(VLOOKUP($B68,'Rate Projection'!$A$11:$G$101,5)*('Monthly Revenue-Usage'!F68/100))))</f>
        <v>#REF!</v>
      </c>
      <c r="V68" s="52" t="e">
        <f>IF(AND(G68&gt;G$9, G68&gt;(G$9+G$8),$D68&gt;'RV ERU Connections'!$F$38),V67,IF(G68&gt;G$8,((((VLOOKUP($B68,'Rate Projection'!$A$11:$G$101,3)))*(G68-G$8)/100)+(VLOOKUP($B68,'Rate Projection'!$A$11:$G$101,5)*'Monthly Revenue-Usage'!G$8/100)),(VLOOKUP($B68,'Rate Projection'!$A$11:$G$101,5)*('Monthly Revenue-Usage'!G68/100))))</f>
        <v>#REF!</v>
      </c>
      <c r="W68" s="52" t="e">
        <f>IF(AND(H68&gt;H$9, H68&gt;(H$9+H$8),$D68&gt;'RV ERU Connections'!$F$38),W67,IF(H68&gt;H$8,((((VLOOKUP($B68,'Rate Projection'!$A$11:$G$101,3)))*(H68-H$8)/100)+(VLOOKUP($B68,'Rate Projection'!$A$11:$G$101,5)*'Monthly Revenue-Usage'!H$8/100)),(VLOOKUP($B68,'Rate Projection'!$A$11:$G$101,5)*('Monthly Revenue-Usage'!H68/100))))</f>
        <v>#REF!</v>
      </c>
      <c r="X68" s="52" t="e">
        <f>IF(AND(I68&gt;I$9, I68&gt;(I$9+I$8),$D68&gt;'RV ERU Connections'!$F$38),X67,IF(I68&gt;I$8,((((VLOOKUP($B68,'Rate Projection'!$A$11:$G$101,3)))*(I68-I$8)/100)+(VLOOKUP($B68,'Rate Projection'!$A$11:$G$101,5)*'Monthly Revenue-Usage'!I$8/100)),(VLOOKUP($B68,'Rate Projection'!$A$11:$G$101,5)*('Monthly Revenue-Usage'!I68/100))))</f>
        <v>#REF!</v>
      </c>
      <c r="Z68" s="53" t="e">
        <f>(-ISPMT('Monthly Revenue-Usage'!$Z$10/12, 1,1*12, Z67)*12)+Z67</f>
        <v>#REF!</v>
      </c>
      <c r="AA68" s="53" t="e">
        <f t="shared" si="15"/>
        <v>#REF!</v>
      </c>
    </row>
    <row r="69" spans="2:27" x14ac:dyDescent="0.3">
      <c r="B69" s="60">
        <f t="shared" si="0"/>
        <v>2067</v>
      </c>
      <c r="C69" s="5" t="e">
        <f t="shared" si="1"/>
        <v>#REF!</v>
      </c>
      <c r="D69" s="5" t="e">
        <f t="shared" si="14"/>
        <v>#REF!</v>
      </c>
      <c r="E69" s="46" t="e">
        <f t="shared" si="9"/>
        <v>#REF!</v>
      </c>
      <c r="F69" s="46" t="e">
        <f t="shared" si="10"/>
        <v>#REF!</v>
      </c>
      <c r="G69" s="46" t="e">
        <f t="shared" si="11"/>
        <v>#REF!</v>
      </c>
      <c r="H69" s="46" t="e">
        <f t="shared" si="12"/>
        <v>#REF!</v>
      </c>
      <c r="I69" s="46" t="e">
        <f t="shared" si="13"/>
        <v>#REF!</v>
      </c>
      <c r="J69" s="53" t="e">
        <f>IF(AND(E69&gt;E$9, $D69&gt;'RV ERU Connections'!$F$37),J68,(VLOOKUP($B69,'Rate Projection'!$A$11:$G$101,2)*(E69/100)))</f>
        <v>#REF!</v>
      </c>
      <c r="K69" s="53" t="e">
        <f>IF(AND(F69&gt;F$9, $D69&gt;'RV ERU Connections'!$F$37),K68,(VLOOKUP($B69,'Rate Projection'!$A$11:$G$101,3)*(F69/100)))</f>
        <v>#REF!</v>
      </c>
      <c r="L69" s="53" t="e">
        <f>IF(AND(G69&gt;G$9, $D69&gt;'RV ERU Connections'!$F$37),L68,(VLOOKUP($B69,'Rate Projection'!$A$11:$G$101,3)*(G69/100)))</f>
        <v>#REF!</v>
      </c>
      <c r="M69" s="53" t="e">
        <f>IF(AND(H69&gt;H$9, $D69&gt;'RV ERU Connections'!$F$37),M68,(VLOOKUP($B69,'Rate Projection'!$A$11:$G$101,3)*(H69/100)))</f>
        <v>#REF!</v>
      </c>
      <c r="N69" s="53" t="e">
        <f>IF(AND(I69&gt;I$9, $D69&gt;'RV ERU Connections'!$F$37),N68,(VLOOKUP($B69,'Rate Projection'!$A$11:$G$101,3)*(I69/100)))</f>
        <v>#REF!</v>
      </c>
      <c r="O69" s="54" t="e">
        <f>IF(AND(E69&gt;E$9, E69&gt;(E$9+E$8),$D69&gt;'RV ERU Connections'!$F$38),O68,IF(E69&gt;E$9,((('Rate Projection'!$C$6+(VLOOKUP($B69,'Rate Projection'!$A$11:$G$101,4)))*(E69-E$9)/100)+(VLOOKUP($B69,'Rate Projection'!$A$11:$G$101,2)*'Monthly Revenue-Usage'!E$9/100)),(VLOOKUP($B69,'Rate Projection'!$A$11:$G$101,2)*('Monthly Revenue-Usage'!E69/100))))</f>
        <v>#REF!</v>
      </c>
      <c r="P69" s="54" t="e">
        <f>IF(AND(F69&gt;F$9, F69&gt;(F$9+F$8),$D69&gt;'RV ERU Connections'!$F$38),P68,IF(F69&gt;F$9,((('Rate Projection'!$C$6+(VLOOKUP($B69,'Rate Projection'!$A$11:$G$101,5)))*(F69-F$9)/100)+(VLOOKUP($B69,'Rate Projection'!$A$11:$G$101,3)*'Monthly Revenue-Usage'!F$9/100)),(VLOOKUP($B69,'Rate Projection'!$A$11:$G$101,3)*('Monthly Revenue-Usage'!F69/100))))</f>
        <v>#REF!</v>
      </c>
      <c r="Q69" s="54" t="e">
        <f>IF(AND(G69&gt;G$9, G69&gt;(G$9+G$8),$D69&gt;'RV ERU Connections'!$F$38),Q68,IF(G69&gt;G$9,((('Rate Projection'!$C$6+(VLOOKUP($B69,'Rate Projection'!$A$11:$G$101,5)))*(G69-G$9)/100)+(VLOOKUP($B69,'Rate Projection'!$A$11:$G$101,3)*'Monthly Revenue-Usage'!G$9/100)),(VLOOKUP($B69,'Rate Projection'!$A$11:$G$101,3)*('Monthly Revenue-Usage'!G69/100))))</f>
        <v>#REF!</v>
      </c>
      <c r="R69" s="54" t="e">
        <f>IF(AND(H69&gt;H$9, H69&gt;(H$9+H$8),$D69&gt;'RV ERU Connections'!$F$38),R68,IF(H69&gt;H$9,((('Rate Projection'!$C$6+(VLOOKUP($B69,'Rate Projection'!$A$11:$G$101,5)))*(H69-H$9)/100)+(VLOOKUP($B69,'Rate Projection'!$A$11:$G$101,3)*'Monthly Revenue-Usage'!H$9/100)),(VLOOKUP($B69,'Rate Projection'!$A$11:$G$101,3)*('Monthly Revenue-Usage'!H69/100))))</f>
        <v>#REF!</v>
      </c>
      <c r="S69" s="54" t="e">
        <f>IF(AND(I69&gt;I$9, I69&gt;(I$9+I$8),$D69&gt;'RV ERU Connections'!$F$38),S68,IF(I69&gt;I$9,((('Rate Projection'!$C$6+(VLOOKUP($B69,'Rate Projection'!$A$11:$G$101,5)))*(I69-I$9)/100)+(VLOOKUP($B69,'Rate Projection'!$A$11:$G$101,3)*'Monthly Revenue-Usage'!I$9/100)),(VLOOKUP($B69,'Rate Projection'!$A$11:$G$101,3)*('Monthly Revenue-Usage'!I69/100))))</f>
        <v>#REF!</v>
      </c>
      <c r="T69" s="52" t="e">
        <f>IF(AND(E69&gt;E$9, E69&gt;(E$9+E$8),$D69&gt;'RV ERU Connections'!$F$38),T68,IF(E69&gt;E$8,((((VLOOKUP($B69,'Rate Projection'!$A$11:$G$101,2)))*(E69-E$8)/100)+(VLOOKUP($B69,'Rate Projection'!$A$11:$G$101,4)*'Monthly Revenue-Usage'!E$8/100)),(VLOOKUP($B69,'Rate Projection'!$A$11:$G$101,4)*('Monthly Revenue-Usage'!E69/100))))</f>
        <v>#REF!</v>
      </c>
      <c r="U69" s="52" t="e">
        <f>IF(AND(F69&gt;F$9, F69&gt;(F$9+F$8),$D69&gt;'RV ERU Connections'!$F$38),U68,IF(F69&gt;F$8,((((VLOOKUP($B69,'Rate Projection'!$A$11:$G$101,3)))*(F69-F$8)/100)+(VLOOKUP($B69,'Rate Projection'!$A$11:$G$101,5)*'Monthly Revenue-Usage'!F$8/100)),(VLOOKUP($B69,'Rate Projection'!$A$11:$G$101,5)*('Monthly Revenue-Usage'!F69/100))))</f>
        <v>#REF!</v>
      </c>
      <c r="V69" s="52" t="e">
        <f>IF(AND(G69&gt;G$9, G69&gt;(G$9+G$8),$D69&gt;'RV ERU Connections'!$F$38),V68,IF(G69&gt;G$8,((((VLOOKUP($B69,'Rate Projection'!$A$11:$G$101,3)))*(G69-G$8)/100)+(VLOOKUP($B69,'Rate Projection'!$A$11:$G$101,5)*'Monthly Revenue-Usage'!G$8/100)),(VLOOKUP($B69,'Rate Projection'!$A$11:$G$101,5)*('Monthly Revenue-Usage'!G69/100))))</f>
        <v>#REF!</v>
      </c>
      <c r="W69" s="52" t="e">
        <f>IF(AND(H69&gt;H$9, H69&gt;(H$9+H$8),$D69&gt;'RV ERU Connections'!$F$38),W68,IF(H69&gt;H$8,((((VLOOKUP($B69,'Rate Projection'!$A$11:$G$101,3)))*(H69-H$8)/100)+(VLOOKUP($B69,'Rate Projection'!$A$11:$G$101,5)*'Monthly Revenue-Usage'!H$8/100)),(VLOOKUP($B69,'Rate Projection'!$A$11:$G$101,5)*('Monthly Revenue-Usage'!H69/100))))</f>
        <v>#REF!</v>
      </c>
      <c r="X69" s="52" t="e">
        <f>IF(AND(I69&gt;I$9, I69&gt;(I$9+I$8),$D69&gt;'RV ERU Connections'!$F$38),X68,IF(I69&gt;I$8,((((VLOOKUP($B69,'Rate Projection'!$A$11:$G$101,3)))*(I69-I$8)/100)+(VLOOKUP($B69,'Rate Projection'!$A$11:$G$101,5)*'Monthly Revenue-Usage'!I$8/100)),(VLOOKUP($B69,'Rate Projection'!$A$11:$G$101,5)*('Monthly Revenue-Usage'!I69/100))))</f>
        <v>#REF!</v>
      </c>
      <c r="Z69" s="53" t="e">
        <f>(-ISPMT('Monthly Revenue-Usage'!$Z$10/12, 1,1*12, Z68)*12)+Z68</f>
        <v>#REF!</v>
      </c>
      <c r="AA69" s="53" t="e">
        <f t="shared" si="15"/>
        <v>#REF!</v>
      </c>
    </row>
    <row r="70" spans="2:27" x14ac:dyDescent="0.3">
      <c r="B70" s="60">
        <f t="shared" si="0"/>
        <v>2068</v>
      </c>
      <c r="C70" s="5" t="e">
        <f t="shared" si="1"/>
        <v>#REF!</v>
      </c>
      <c r="D70" s="5" t="e">
        <f t="shared" si="14"/>
        <v>#REF!</v>
      </c>
      <c r="E70" s="46" t="e">
        <f t="shared" si="9"/>
        <v>#REF!</v>
      </c>
      <c r="F70" s="46" t="e">
        <f t="shared" si="10"/>
        <v>#REF!</v>
      </c>
      <c r="G70" s="46" t="e">
        <f t="shared" si="11"/>
        <v>#REF!</v>
      </c>
      <c r="H70" s="46" t="e">
        <f t="shared" si="12"/>
        <v>#REF!</v>
      </c>
      <c r="I70" s="46" t="e">
        <f t="shared" si="13"/>
        <v>#REF!</v>
      </c>
      <c r="J70" s="53" t="e">
        <f>IF(AND(E70&gt;E$9, $D70&gt;'RV ERU Connections'!$F$37),J69,(VLOOKUP($B70,'Rate Projection'!$A$11:$G$101,2)*(E70/100)))</f>
        <v>#REF!</v>
      </c>
      <c r="K70" s="53" t="e">
        <f>IF(AND(F70&gt;F$9, $D70&gt;'RV ERU Connections'!$F$37),K69,(VLOOKUP($B70,'Rate Projection'!$A$11:$G$101,3)*(F70/100)))</f>
        <v>#REF!</v>
      </c>
      <c r="L70" s="53" t="e">
        <f>IF(AND(G70&gt;G$9, $D70&gt;'RV ERU Connections'!$F$37),L69,(VLOOKUP($B70,'Rate Projection'!$A$11:$G$101,3)*(G70/100)))</f>
        <v>#REF!</v>
      </c>
      <c r="M70" s="53" t="e">
        <f>IF(AND(H70&gt;H$9, $D70&gt;'RV ERU Connections'!$F$37),M69,(VLOOKUP($B70,'Rate Projection'!$A$11:$G$101,3)*(H70/100)))</f>
        <v>#REF!</v>
      </c>
      <c r="N70" s="53" t="e">
        <f>IF(AND(I70&gt;I$9, $D70&gt;'RV ERU Connections'!$F$37),N69,(VLOOKUP($B70,'Rate Projection'!$A$11:$G$101,3)*(I70/100)))</f>
        <v>#REF!</v>
      </c>
      <c r="O70" s="54" t="e">
        <f>IF(AND(E70&gt;E$9, E70&gt;(E$9+E$8),$D70&gt;'RV ERU Connections'!$F$38),O69,IF(E70&gt;E$9,((('Rate Projection'!$C$6+(VLOOKUP($B70,'Rate Projection'!$A$11:$G$101,4)))*(E70-E$9)/100)+(VLOOKUP($B70,'Rate Projection'!$A$11:$G$101,2)*'Monthly Revenue-Usage'!E$9/100)),(VLOOKUP($B70,'Rate Projection'!$A$11:$G$101,2)*('Monthly Revenue-Usage'!E70/100))))</f>
        <v>#REF!</v>
      </c>
      <c r="P70" s="54" t="e">
        <f>IF(AND(F70&gt;F$9, F70&gt;(F$9+F$8),$D70&gt;'RV ERU Connections'!$F$38),P69,IF(F70&gt;F$9,((('Rate Projection'!$C$6+(VLOOKUP($B70,'Rate Projection'!$A$11:$G$101,5)))*(F70-F$9)/100)+(VLOOKUP($B70,'Rate Projection'!$A$11:$G$101,3)*'Monthly Revenue-Usage'!F$9/100)),(VLOOKUP($B70,'Rate Projection'!$A$11:$G$101,3)*('Monthly Revenue-Usage'!F70/100))))</f>
        <v>#REF!</v>
      </c>
      <c r="Q70" s="54" t="e">
        <f>IF(AND(G70&gt;G$9, G70&gt;(G$9+G$8),$D70&gt;'RV ERU Connections'!$F$38),Q69,IF(G70&gt;G$9,((('Rate Projection'!$C$6+(VLOOKUP($B70,'Rate Projection'!$A$11:$G$101,5)))*(G70-G$9)/100)+(VLOOKUP($B70,'Rate Projection'!$A$11:$G$101,3)*'Monthly Revenue-Usage'!G$9/100)),(VLOOKUP($B70,'Rate Projection'!$A$11:$G$101,3)*('Monthly Revenue-Usage'!G70/100))))</f>
        <v>#REF!</v>
      </c>
      <c r="R70" s="54" t="e">
        <f>IF(AND(H70&gt;H$9, H70&gt;(H$9+H$8),$D70&gt;'RV ERU Connections'!$F$38),R69,IF(H70&gt;H$9,((('Rate Projection'!$C$6+(VLOOKUP($B70,'Rate Projection'!$A$11:$G$101,5)))*(H70-H$9)/100)+(VLOOKUP($B70,'Rate Projection'!$A$11:$G$101,3)*'Monthly Revenue-Usage'!H$9/100)),(VLOOKUP($B70,'Rate Projection'!$A$11:$G$101,3)*('Monthly Revenue-Usage'!H70/100))))</f>
        <v>#REF!</v>
      </c>
      <c r="S70" s="54" t="e">
        <f>IF(AND(I70&gt;I$9, I70&gt;(I$9+I$8),$D70&gt;'RV ERU Connections'!$F$38),S69,IF(I70&gt;I$9,((('Rate Projection'!$C$6+(VLOOKUP($B70,'Rate Projection'!$A$11:$G$101,5)))*(I70-I$9)/100)+(VLOOKUP($B70,'Rate Projection'!$A$11:$G$101,3)*'Monthly Revenue-Usage'!I$9/100)),(VLOOKUP($B70,'Rate Projection'!$A$11:$G$101,3)*('Monthly Revenue-Usage'!I70/100))))</f>
        <v>#REF!</v>
      </c>
      <c r="T70" s="52" t="e">
        <f>IF(AND(E70&gt;E$9, E70&gt;(E$9+E$8),$D70&gt;'RV ERU Connections'!$F$38),T69,IF(E70&gt;E$8,((((VLOOKUP($B70,'Rate Projection'!$A$11:$G$101,2)))*(E70-E$8)/100)+(VLOOKUP($B70,'Rate Projection'!$A$11:$G$101,4)*'Monthly Revenue-Usage'!E$8/100)),(VLOOKUP($B70,'Rate Projection'!$A$11:$G$101,4)*('Monthly Revenue-Usage'!E70/100))))</f>
        <v>#REF!</v>
      </c>
      <c r="U70" s="52" t="e">
        <f>IF(AND(F70&gt;F$9, F70&gt;(F$9+F$8),$D70&gt;'RV ERU Connections'!$F$38),U69,IF(F70&gt;F$8,((((VLOOKUP($B70,'Rate Projection'!$A$11:$G$101,3)))*(F70-F$8)/100)+(VLOOKUP($B70,'Rate Projection'!$A$11:$G$101,5)*'Monthly Revenue-Usage'!F$8/100)),(VLOOKUP($B70,'Rate Projection'!$A$11:$G$101,5)*('Monthly Revenue-Usage'!F70/100))))</f>
        <v>#REF!</v>
      </c>
      <c r="V70" s="52" t="e">
        <f>IF(AND(G70&gt;G$9, G70&gt;(G$9+G$8),$D70&gt;'RV ERU Connections'!$F$38),V69,IF(G70&gt;G$8,((((VLOOKUP($B70,'Rate Projection'!$A$11:$G$101,3)))*(G70-G$8)/100)+(VLOOKUP($B70,'Rate Projection'!$A$11:$G$101,5)*'Monthly Revenue-Usage'!G$8/100)),(VLOOKUP($B70,'Rate Projection'!$A$11:$G$101,5)*('Monthly Revenue-Usage'!G70/100))))</f>
        <v>#REF!</v>
      </c>
      <c r="W70" s="52" t="e">
        <f>IF(AND(H70&gt;H$9, H70&gt;(H$9+H$8),$D70&gt;'RV ERU Connections'!$F$38),W69,IF(H70&gt;H$8,((((VLOOKUP($B70,'Rate Projection'!$A$11:$G$101,3)))*(H70-H$8)/100)+(VLOOKUP($B70,'Rate Projection'!$A$11:$G$101,5)*'Monthly Revenue-Usage'!H$8/100)),(VLOOKUP($B70,'Rate Projection'!$A$11:$G$101,5)*('Monthly Revenue-Usage'!H70/100))))</f>
        <v>#REF!</v>
      </c>
      <c r="X70" s="52" t="e">
        <f>IF(AND(I70&gt;I$9, I70&gt;(I$9+I$8),$D70&gt;'RV ERU Connections'!$F$38),X69,IF(I70&gt;I$8,((((VLOOKUP($B70,'Rate Projection'!$A$11:$G$101,3)))*(I70-I$8)/100)+(VLOOKUP($B70,'Rate Projection'!$A$11:$G$101,5)*'Monthly Revenue-Usage'!I$8/100)),(VLOOKUP($B70,'Rate Projection'!$A$11:$G$101,5)*('Monthly Revenue-Usage'!I70/100))))</f>
        <v>#REF!</v>
      </c>
      <c r="Z70" s="53" t="e">
        <f>(-ISPMT('Monthly Revenue-Usage'!$Z$10/12, 1,1*12, Z69)*12)+Z69</f>
        <v>#REF!</v>
      </c>
      <c r="AA70" s="53" t="e">
        <f t="shared" si="15"/>
        <v>#REF!</v>
      </c>
    </row>
    <row r="71" spans="2:27" x14ac:dyDescent="0.3">
      <c r="B71" s="60">
        <f t="shared" si="0"/>
        <v>2069</v>
      </c>
      <c r="C71" s="5" t="e">
        <f t="shared" si="1"/>
        <v>#REF!</v>
      </c>
      <c r="D71" s="5" t="e">
        <f t="shared" si="14"/>
        <v>#REF!</v>
      </c>
      <c r="E71" s="46" t="e">
        <f t="shared" si="9"/>
        <v>#REF!</v>
      </c>
      <c r="F71" s="46" t="e">
        <f t="shared" si="10"/>
        <v>#REF!</v>
      </c>
      <c r="G71" s="46" t="e">
        <f t="shared" si="11"/>
        <v>#REF!</v>
      </c>
      <c r="H71" s="46" t="e">
        <f t="shared" si="12"/>
        <v>#REF!</v>
      </c>
      <c r="I71" s="46" t="e">
        <f t="shared" si="13"/>
        <v>#REF!</v>
      </c>
      <c r="J71" s="53" t="e">
        <f>IF(AND(E71&gt;E$9, $D71&gt;'RV ERU Connections'!$F$37),J70,(VLOOKUP($B71,'Rate Projection'!$A$11:$G$101,2)*(E71/100)))</f>
        <v>#REF!</v>
      </c>
      <c r="K71" s="53" t="e">
        <f>IF(AND(F71&gt;F$9, $D71&gt;'RV ERU Connections'!$F$37),K70,(VLOOKUP($B71,'Rate Projection'!$A$11:$G$101,3)*(F71/100)))</f>
        <v>#REF!</v>
      </c>
      <c r="L71" s="53" t="e">
        <f>IF(AND(G71&gt;G$9, $D71&gt;'RV ERU Connections'!$F$37),L70,(VLOOKUP($B71,'Rate Projection'!$A$11:$G$101,3)*(G71/100)))</f>
        <v>#REF!</v>
      </c>
      <c r="M71" s="53" t="e">
        <f>IF(AND(H71&gt;H$9, $D71&gt;'RV ERU Connections'!$F$37),M70,(VLOOKUP($B71,'Rate Projection'!$A$11:$G$101,3)*(H71/100)))</f>
        <v>#REF!</v>
      </c>
      <c r="N71" s="53" t="e">
        <f>IF(AND(I71&gt;I$9, $D71&gt;'RV ERU Connections'!$F$37),N70,(VLOOKUP($B71,'Rate Projection'!$A$11:$G$101,3)*(I71/100)))</f>
        <v>#REF!</v>
      </c>
      <c r="O71" s="54" t="e">
        <f>IF(AND(E71&gt;E$9, E71&gt;(E$9+E$8),$D71&gt;'RV ERU Connections'!$F$38),O70,IF(E71&gt;E$9,((('Rate Projection'!$C$6+(VLOOKUP($B71,'Rate Projection'!$A$11:$G$101,4)))*(E71-E$9)/100)+(VLOOKUP($B71,'Rate Projection'!$A$11:$G$101,2)*'Monthly Revenue-Usage'!E$9/100)),(VLOOKUP($B71,'Rate Projection'!$A$11:$G$101,2)*('Monthly Revenue-Usage'!E71/100))))</f>
        <v>#REF!</v>
      </c>
      <c r="P71" s="54" t="e">
        <f>IF(AND(F71&gt;F$9, F71&gt;(F$9+F$8),$D71&gt;'RV ERU Connections'!$F$38),P70,IF(F71&gt;F$9,((('Rate Projection'!$C$6+(VLOOKUP($B71,'Rate Projection'!$A$11:$G$101,5)))*(F71-F$9)/100)+(VLOOKUP($B71,'Rate Projection'!$A$11:$G$101,3)*'Monthly Revenue-Usage'!F$9/100)),(VLOOKUP($B71,'Rate Projection'!$A$11:$G$101,3)*('Monthly Revenue-Usage'!F71/100))))</f>
        <v>#REF!</v>
      </c>
      <c r="Q71" s="54" t="e">
        <f>IF(AND(G71&gt;G$9, G71&gt;(G$9+G$8),$D71&gt;'RV ERU Connections'!$F$38),Q70,IF(G71&gt;G$9,((('Rate Projection'!$C$6+(VLOOKUP($B71,'Rate Projection'!$A$11:$G$101,5)))*(G71-G$9)/100)+(VLOOKUP($B71,'Rate Projection'!$A$11:$G$101,3)*'Monthly Revenue-Usage'!G$9/100)),(VLOOKUP($B71,'Rate Projection'!$A$11:$G$101,3)*('Monthly Revenue-Usage'!G71/100))))</f>
        <v>#REF!</v>
      </c>
      <c r="R71" s="54" t="e">
        <f>IF(AND(H71&gt;H$9, H71&gt;(H$9+H$8),$D71&gt;'RV ERU Connections'!$F$38),R70,IF(H71&gt;H$9,((('Rate Projection'!$C$6+(VLOOKUP($B71,'Rate Projection'!$A$11:$G$101,5)))*(H71-H$9)/100)+(VLOOKUP($B71,'Rate Projection'!$A$11:$G$101,3)*'Monthly Revenue-Usage'!H$9/100)),(VLOOKUP($B71,'Rate Projection'!$A$11:$G$101,3)*('Monthly Revenue-Usage'!H71/100))))</f>
        <v>#REF!</v>
      </c>
      <c r="S71" s="54" t="e">
        <f>IF(AND(I71&gt;I$9, I71&gt;(I$9+I$8),$D71&gt;'RV ERU Connections'!$F$38),S70,IF(I71&gt;I$9,((('Rate Projection'!$C$6+(VLOOKUP($B71,'Rate Projection'!$A$11:$G$101,5)))*(I71-I$9)/100)+(VLOOKUP($B71,'Rate Projection'!$A$11:$G$101,3)*'Monthly Revenue-Usage'!I$9/100)),(VLOOKUP($B71,'Rate Projection'!$A$11:$G$101,3)*('Monthly Revenue-Usage'!I71/100))))</f>
        <v>#REF!</v>
      </c>
      <c r="T71" s="52" t="e">
        <f>IF(AND(E71&gt;E$9, E71&gt;(E$9+E$8),$D71&gt;'RV ERU Connections'!$F$38),T70,IF(E71&gt;E$8,((((VLOOKUP($B71,'Rate Projection'!$A$11:$G$101,2)))*(E71-E$8)/100)+(VLOOKUP($B71,'Rate Projection'!$A$11:$G$101,4)*'Monthly Revenue-Usage'!E$8/100)),(VLOOKUP($B71,'Rate Projection'!$A$11:$G$101,4)*('Monthly Revenue-Usage'!E71/100))))</f>
        <v>#REF!</v>
      </c>
      <c r="U71" s="52" t="e">
        <f>IF(AND(F71&gt;F$9, F71&gt;(F$9+F$8),$D71&gt;'RV ERU Connections'!$F$38),U70,IF(F71&gt;F$8,((((VLOOKUP($B71,'Rate Projection'!$A$11:$G$101,3)))*(F71-F$8)/100)+(VLOOKUP($B71,'Rate Projection'!$A$11:$G$101,5)*'Monthly Revenue-Usage'!F$8/100)),(VLOOKUP($B71,'Rate Projection'!$A$11:$G$101,5)*('Monthly Revenue-Usage'!F71/100))))</f>
        <v>#REF!</v>
      </c>
      <c r="V71" s="52" t="e">
        <f>IF(AND(G71&gt;G$9, G71&gt;(G$9+G$8),$D71&gt;'RV ERU Connections'!$F$38),V70,IF(G71&gt;G$8,((((VLOOKUP($B71,'Rate Projection'!$A$11:$G$101,3)))*(G71-G$8)/100)+(VLOOKUP($B71,'Rate Projection'!$A$11:$G$101,5)*'Monthly Revenue-Usage'!G$8/100)),(VLOOKUP($B71,'Rate Projection'!$A$11:$G$101,5)*('Monthly Revenue-Usage'!G71/100))))</f>
        <v>#REF!</v>
      </c>
      <c r="W71" s="52" t="e">
        <f>IF(AND(H71&gt;H$9, H71&gt;(H$9+H$8),$D71&gt;'RV ERU Connections'!$F$38),W70,IF(H71&gt;H$8,((((VLOOKUP($B71,'Rate Projection'!$A$11:$G$101,3)))*(H71-H$8)/100)+(VLOOKUP($B71,'Rate Projection'!$A$11:$G$101,5)*'Monthly Revenue-Usage'!H$8/100)),(VLOOKUP($B71,'Rate Projection'!$A$11:$G$101,5)*('Monthly Revenue-Usage'!H71/100))))</f>
        <v>#REF!</v>
      </c>
      <c r="X71" s="52" t="e">
        <f>IF(AND(I71&gt;I$9, I71&gt;(I$9+I$8),$D71&gt;'RV ERU Connections'!$F$38),X70,IF(I71&gt;I$8,((((VLOOKUP($B71,'Rate Projection'!$A$11:$G$101,3)))*(I71-I$8)/100)+(VLOOKUP($B71,'Rate Projection'!$A$11:$G$101,5)*'Monthly Revenue-Usage'!I$8/100)),(VLOOKUP($B71,'Rate Projection'!$A$11:$G$101,5)*('Monthly Revenue-Usage'!I71/100))))</f>
        <v>#REF!</v>
      </c>
      <c r="Z71" s="53" t="e">
        <f>(-ISPMT('Monthly Revenue-Usage'!$Z$10/12, 1,1*12, Z70)*12)+Z70</f>
        <v>#REF!</v>
      </c>
      <c r="AA71" s="53" t="e">
        <f t="shared" si="15"/>
        <v>#REF!</v>
      </c>
    </row>
    <row r="72" spans="2:27" x14ac:dyDescent="0.3">
      <c r="B72" s="60">
        <f t="shared" si="0"/>
        <v>2070</v>
      </c>
      <c r="C72" s="5" t="e">
        <f t="shared" si="1"/>
        <v>#REF!</v>
      </c>
      <c r="D72" s="5" t="e">
        <f t="shared" si="14"/>
        <v>#REF!</v>
      </c>
      <c r="E72" s="46" t="e">
        <f t="shared" si="9"/>
        <v>#REF!</v>
      </c>
      <c r="F72" s="46" t="e">
        <f t="shared" si="10"/>
        <v>#REF!</v>
      </c>
      <c r="G72" s="46" t="e">
        <f t="shared" si="11"/>
        <v>#REF!</v>
      </c>
      <c r="H72" s="46" t="e">
        <f t="shared" si="12"/>
        <v>#REF!</v>
      </c>
      <c r="I72" s="46" t="e">
        <f t="shared" si="13"/>
        <v>#REF!</v>
      </c>
      <c r="J72" s="53" t="e">
        <f>IF(AND(E72&gt;E$9, $D72&gt;'RV ERU Connections'!$F$37),J71,(VLOOKUP($B72,'Rate Projection'!$A$11:$G$101,2)*(E72/100)))</f>
        <v>#REF!</v>
      </c>
      <c r="K72" s="53" t="e">
        <f>IF(AND(F72&gt;F$9, $D72&gt;'RV ERU Connections'!$F$37),K71,(VLOOKUP($B72,'Rate Projection'!$A$11:$G$101,3)*(F72/100)))</f>
        <v>#REF!</v>
      </c>
      <c r="L72" s="53" t="e">
        <f>IF(AND(G72&gt;G$9, $D72&gt;'RV ERU Connections'!$F$37),L71,(VLOOKUP($B72,'Rate Projection'!$A$11:$G$101,3)*(G72/100)))</f>
        <v>#REF!</v>
      </c>
      <c r="M72" s="53" t="e">
        <f>IF(AND(H72&gt;H$9, $D72&gt;'RV ERU Connections'!$F$37),M71,(VLOOKUP($B72,'Rate Projection'!$A$11:$G$101,3)*(H72/100)))</f>
        <v>#REF!</v>
      </c>
      <c r="N72" s="53" t="e">
        <f>IF(AND(I72&gt;I$9, $D72&gt;'RV ERU Connections'!$F$37),N71,(VLOOKUP($B72,'Rate Projection'!$A$11:$G$101,3)*(I72/100)))</f>
        <v>#REF!</v>
      </c>
      <c r="O72" s="54" t="e">
        <f>IF(AND(E72&gt;E$9, E72&gt;(E$9+E$8),$D72&gt;'RV ERU Connections'!$F$38),O71,IF(E72&gt;E$9,((('Rate Projection'!$C$6+(VLOOKUP($B72,'Rate Projection'!$A$11:$G$101,4)))*(E72-E$9)/100)+(VLOOKUP($B72,'Rate Projection'!$A$11:$G$101,2)*'Monthly Revenue-Usage'!E$9/100)),(VLOOKUP($B72,'Rate Projection'!$A$11:$G$101,2)*('Monthly Revenue-Usage'!E72/100))))</f>
        <v>#REF!</v>
      </c>
      <c r="P72" s="54" t="e">
        <f>IF(AND(F72&gt;F$9, F72&gt;(F$9+F$8),$D72&gt;'RV ERU Connections'!$F$38),P71,IF(F72&gt;F$9,((('Rate Projection'!$C$6+(VLOOKUP($B72,'Rate Projection'!$A$11:$G$101,5)))*(F72-F$9)/100)+(VLOOKUP($B72,'Rate Projection'!$A$11:$G$101,3)*'Monthly Revenue-Usage'!F$9/100)),(VLOOKUP($B72,'Rate Projection'!$A$11:$G$101,3)*('Monthly Revenue-Usage'!F72/100))))</f>
        <v>#REF!</v>
      </c>
      <c r="Q72" s="54" t="e">
        <f>IF(AND(G72&gt;G$9, G72&gt;(G$9+G$8),$D72&gt;'RV ERU Connections'!$F$38),Q71,IF(G72&gt;G$9,((('Rate Projection'!$C$6+(VLOOKUP($B72,'Rate Projection'!$A$11:$G$101,5)))*(G72-G$9)/100)+(VLOOKUP($B72,'Rate Projection'!$A$11:$G$101,3)*'Monthly Revenue-Usage'!G$9/100)),(VLOOKUP($B72,'Rate Projection'!$A$11:$G$101,3)*('Monthly Revenue-Usage'!G72/100))))</f>
        <v>#REF!</v>
      </c>
      <c r="R72" s="54" t="e">
        <f>IF(AND(H72&gt;H$9, H72&gt;(H$9+H$8),$D72&gt;'RV ERU Connections'!$F$38),R71,IF(H72&gt;H$9,((('Rate Projection'!$C$6+(VLOOKUP($B72,'Rate Projection'!$A$11:$G$101,5)))*(H72-H$9)/100)+(VLOOKUP($B72,'Rate Projection'!$A$11:$G$101,3)*'Monthly Revenue-Usage'!H$9/100)),(VLOOKUP($B72,'Rate Projection'!$A$11:$G$101,3)*('Monthly Revenue-Usage'!H72/100))))</f>
        <v>#REF!</v>
      </c>
      <c r="S72" s="54" t="e">
        <f>IF(AND(I72&gt;I$9, I72&gt;(I$9+I$8),$D72&gt;'RV ERU Connections'!$F$38),S71,IF(I72&gt;I$9,((('Rate Projection'!$C$6+(VLOOKUP($B72,'Rate Projection'!$A$11:$G$101,5)))*(I72-I$9)/100)+(VLOOKUP($B72,'Rate Projection'!$A$11:$G$101,3)*'Monthly Revenue-Usage'!I$9/100)),(VLOOKUP($B72,'Rate Projection'!$A$11:$G$101,3)*('Monthly Revenue-Usage'!I72/100))))</f>
        <v>#REF!</v>
      </c>
      <c r="T72" s="52" t="e">
        <f>IF(AND(E72&gt;E$9, E72&gt;(E$9+E$8),$D72&gt;'RV ERU Connections'!$F$38),T71,IF(E72&gt;E$8,((((VLOOKUP($B72,'Rate Projection'!$A$11:$G$101,2)))*(E72-E$8)/100)+(VLOOKUP($B72,'Rate Projection'!$A$11:$G$101,4)*'Monthly Revenue-Usage'!E$8/100)),(VLOOKUP($B72,'Rate Projection'!$A$11:$G$101,4)*('Monthly Revenue-Usage'!E72/100))))</f>
        <v>#REF!</v>
      </c>
      <c r="U72" s="52" t="e">
        <f>IF(AND(F72&gt;F$9, F72&gt;(F$9+F$8),$D72&gt;'RV ERU Connections'!$F$38),U71,IF(F72&gt;F$8,((((VLOOKUP($B72,'Rate Projection'!$A$11:$G$101,3)))*(F72-F$8)/100)+(VLOOKUP($B72,'Rate Projection'!$A$11:$G$101,5)*'Monthly Revenue-Usage'!F$8/100)),(VLOOKUP($B72,'Rate Projection'!$A$11:$G$101,5)*('Monthly Revenue-Usage'!F72/100))))</f>
        <v>#REF!</v>
      </c>
      <c r="V72" s="52" t="e">
        <f>IF(AND(G72&gt;G$9, G72&gt;(G$9+G$8),$D72&gt;'RV ERU Connections'!$F$38),V71,IF(G72&gt;G$8,((((VLOOKUP($B72,'Rate Projection'!$A$11:$G$101,3)))*(G72-G$8)/100)+(VLOOKUP($B72,'Rate Projection'!$A$11:$G$101,5)*'Monthly Revenue-Usage'!G$8/100)),(VLOOKUP($B72,'Rate Projection'!$A$11:$G$101,5)*('Monthly Revenue-Usage'!G72/100))))</f>
        <v>#REF!</v>
      </c>
      <c r="W72" s="52" t="e">
        <f>IF(AND(H72&gt;H$9, H72&gt;(H$9+H$8),$D72&gt;'RV ERU Connections'!$F$38),W71,IF(H72&gt;H$8,((((VLOOKUP($B72,'Rate Projection'!$A$11:$G$101,3)))*(H72-H$8)/100)+(VLOOKUP($B72,'Rate Projection'!$A$11:$G$101,5)*'Monthly Revenue-Usage'!H$8/100)),(VLOOKUP($B72,'Rate Projection'!$A$11:$G$101,5)*('Monthly Revenue-Usage'!H72/100))))</f>
        <v>#REF!</v>
      </c>
      <c r="X72" s="52" t="e">
        <f>IF(AND(I72&gt;I$9, I72&gt;(I$9+I$8),$D72&gt;'RV ERU Connections'!$F$38),X71,IF(I72&gt;I$8,((((VLOOKUP($B72,'Rate Projection'!$A$11:$G$101,3)))*(I72-I$8)/100)+(VLOOKUP($B72,'Rate Projection'!$A$11:$G$101,5)*'Monthly Revenue-Usage'!I$8/100)),(VLOOKUP($B72,'Rate Projection'!$A$11:$G$101,5)*('Monthly Revenue-Usage'!I72/100))))</f>
        <v>#REF!</v>
      </c>
      <c r="Z72" s="53" t="e">
        <f>(-ISPMT('Monthly Revenue-Usage'!$Z$10/12, 1,1*12, Z71)*12)+Z71</f>
        <v>#REF!</v>
      </c>
      <c r="AA72" s="53" t="e">
        <f t="shared" si="15"/>
        <v>#REF!</v>
      </c>
    </row>
    <row r="73" spans="2:27" x14ac:dyDescent="0.3">
      <c r="B73" s="60">
        <f t="shared" si="0"/>
        <v>2071</v>
      </c>
      <c r="C73" s="5" t="e">
        <f t="shared" si="1"/>
        <v>#REF!</v>
      </c>
      <c r="D73" s="5" t="e">
        <f t="shared" si="14"/>
        <v>#REF!</v>
      </c>
      <c r="E73" s="46" t="e">
        <f t="shared" si="9"/>
        <v>#REF!</v>
      </c>
      <c r="F73" s="46" t="e">
        <f t="shared" si="10"/>
        <v>#REF!</v>
      </c>
      <c r="G73" s="46" t="e">
        <f t="shared" si="11"/>
        <v>#REF!</v>
      </c>
      <c r="H73" s="46" t="e">
        <f t="shared" si="12"/>
        <v>#REF!</v>
      </c>
      <c r="I73" s="46" t="e">
        <f t="shared" si="13"/>
        <v>#REF!</v>
      </c>
      <c r="J73" s="53" t="e">
        <f>IF(AND(E73&gt;E$9, $D73&gt;'RV ERU Connections'!$F$37),J72,(VLOOKUP($B73,'Rate Projection'!$A$11:$G$101,2)*(E73/100)))</f>
        <v>#REF!</v>
      </c>
      <c r="K73" s="53" t="e">
        <f>IF(AND(F73&gt;F$9, $D73&gt;'RV ERU Connections'!$F$37),K72,(VLOOKUP($B73,'Rate Projection'!$A$11:$G$101,3)*(F73/100)))</f>
        <v>#REF!</v>
      </c>
      <c r="L73" s="53" t="e">
        <f>IF(AND(G73&gt;G$9, $D73&gt;'RV ERU Connections'!$F$37),L72,(VLOOKUP($B73,'Rate Projection'!$A$11:$G$101,3)*(G73/100)))</f>
        <v>#REF!</v>
      </c>
      <c r="M73" s="53" t="e">
        <f>IF(AND(H73&gt;H$9, $D73&gt;'RV ERU Connections'!$F$37),M72,(VLOOKUP($B73,'Rate Projection'!$A$11:$G$101,3)*(H73/100)))</f>
        <v>#REF!</v>
      </c>
      <c r="N73" s="53" t="e">
        <f>IF(AND(I73&gt;I$9, $D73&gt;'RV ERU Connections'!$F$37),N72,(VLOOKUP($B73,'Rate Projection'!$A$11:$G$101,3)*(I73/100)))</f>
        <v>#REF!</v>
      </c>
      <c r="O73" s="54" t="e">
        <f>IF(AND(E73&gt;E$9, E73&gt;(E$9+E$8),$D73&gt;'RV ERU Connections'!$F$38),O72,IF(E73&gt;E$9,((('Rate Projection'!$C$6+(VLOOKUP($B73,'Rate Projection'!$A$11:$G$101,4)))*(E73-E$9)/100)+(VLOOKUP($B73,'Rate Projection'!$A$11:$G$101,2)*'Monthly Revenue-Usage'!E$9/100)),(VLOOKUP($B73,'Rate Projection'!$A$11:$G$101,2)*('Monthly Revenue-Usage'!E73/100))))</f>
        <v>#REF!</v>
      </c>
      <c r="P73" s="54" t="e">
        <f>IF(AND(F73&gt;F$9, F73&gt;(F$9+F$8),$D73&gt;'RV ERU Connections'!$F$38),P72,IF(F73&gt;F$9,((('Rate Projection'!$C$6+(VLOOKUP($B73,'Rate Projection'!$A$11:$G$101,5)))*(F73-F$9)/100)+(VLOOKUP($B73,'Rate Projection'!$A$11:$G$101,3)*'Monthly Revenue-Usage'!F$9/100)),(VLOOKUP($B73,'Rate Projection'!$A$11:$G$101,3)*('Monthly Revenue-Usage'!F73/100))))</f>
        <v>#REF!</v>
      </c>
      <c r="Q73" s="54" t="e">
        <f>IF(AND(G73&gt;G$9, G73&gt;(G$9+G$8),$D73&gt;'RV ERU Connections'!$F$38),Q72,IF(G73&gt;G$9,((('Rate Projection'!$C$6+(VLOOKUP($B73,'Rate Projection'!$A$11:$G$101,5)))*(G73-G$9)/100)+(VLOOKUP($B73,'Rate Projection'!$A$11:$G$101,3)*'Monthly Revenue-Usage'!G$9/100)),(VLOOKUP($B73,'Rate Projection'!$A$11:$G$101,3)*('Monthly Revenue-Usage'!G73/100))))</f>
        <v>#REF!</v>
      </c>
      <c r="R73" s="54" t="e">
        <f>IF(AND(H73&gt;H$9, H73&gt;(H$9+H$8),$D73&gt;'RV ERU Connections'!$F$38),R72,IF(H73&gt;H$9,((('Rate Projection'!$C$6+(VLOOKUP($B73,'Rate Projection'!$A$11:$G$101,5)))*(H73-H$9)/100)+(VLOOKUP($B73,'Rate Projection'!$A$11:$G$101,3)*'Monthly Revenue-Usage'!H$9/100)),(VLOOKUP($B73,'Rate Projection'!$A$11:$G$101,3)*('Monthly Revenue-Usage'!H73/100))))</f>
        <v>#REF!</v>
      </c>
      <c r="S73" s="54" t="e">
        <f>IF(AND(I73&gt;I$9, I73&gt;(I$9+I$8),$D73&gt;'RV ERU Connections'!$F$38),S72,IF(I73&gt;I$9,((('Rate Projection'!$C$6+(VLOOKUP($B73,'Rate Projection'!$A$11:$G$101,5)))*(I73-I$9)/100)+(VLOOKUP($B73,'Rate Projection'!$A$11:$G$101,3)*'Monthly Revenue-Usage'!I$9/100)),(VLOOKUP($B73,'Rate Projection'!$A$11:$G$101,3)*('Monthly Revenue-Usage'!I73/100))))</f>
        <v>#REF!</v>
      </c>
      <c r="T73" s="52" t="e">
        <f>IF(AND(E73&gt;E$9, E73&gt;(E$9+E$8),$D73&gt;'RV ERU Connections'!$F$38),T72,IF(E73&gt;E$8,((((VLOOKUP($B73,'Rate Projection'!$A$11:$G$101,2)))*(E73-E$8)/100)+(VLOOKUP($B73,'Rate Projection'!$A$11:$G$101,4)*'Monthly Revenue-Usage'!E$8/100)),(VLOOKUP($B73,'Rate Projection'!$A$11:$G$101,4)*('Monthly Revenue-Usage'!E73/100))))</f>
        <v>#REF!</v>
      </c>
      <c r="U73" s="52" t="e">
        <f>IF(AND(F73&gt;F$9, F73&gt;(F$9+F$8),$D73&gt;'RV ERU Connections'!$F$38),U72,IF(F73&gt;F$8,((((VLOOKUP($B73,'Rate Projection'!$A$11:$G$101,3)))*(F73-F$8)/100)+(VLOOKUP($B73,'Rate Projection'!$A$11:$G$101,5)*'Monthly Revenue-Usage'!F$8/100)),(VLOOKUP($B73,'Rate Projection'!$A$11:$G$101,5)*('Monthly Revenue-Usage'!F73/100))))</f>
        <v>#REF!</v>
      </c>
      <c r="V73" s="52" t="e">
        <f>IF(AND(G73&gt;G$9, G73&gt;(G$9+G$8),$D73&gt;'RV ERU Connections'!$F$38),V72,IF(G73&gt;G$8,((((VLOOKUP($B73,'Rate Projection'!$A$11:$G$101,3)))*(G73-G$8)/100)+(VLOOKUP($B73,'Rate Projection'!$A$11:$G$101,5)*'Monthly Revenue-Usage'!G$8/100)),(VLOOKUP($B73,'Rate Projection'!$A$11:$G$101,5)*('Monthly Revenue-Usage'!G73/100))))</f>
        <v>#REF!</v>
      </c>
      <c r="W73" s="52" t="e">
        <f>IF(AND(H73&gt;H$9, H73&gt;(H$9+H$8),$D73&gt;'RV ERU Connections'!$F$38),W72,IF(H73&gt;H$8,((((VLOOKUP($B73,'Rate Projection'!$A$11:$G$101,3)))*(H73-H$8)/100)+(VLOOKUP($B73,'Rate Projection'!$A$11:$G$101,5)*'Monthly Revenue-Usage'!H$8/100)),(VLOOKUP($B73,'Rate Projection'!$A$11:$G$101,5)*('Monthly Revenue-Usage'!H73/100))))</f>
        <v>#REF!</v>
      </c>
      <c r="X73" s="52" t="e">
        <f>IF(AND(I73&gt;I$9, I73&gt;(I$9+I$8),$D73&gt;'RV ERU Connections'!$F$38),X72,IF(I73&gt;I$8,((((VLOOKUP($B73,'Rate Projection'!$A$11:$G$101,3)))*(I73-I$8)/100)+(VLOOKUP($B73,'Rate Projection'!$A$11:$G$101,5)*'Monthly Revenue-Usage'!I$8/100)),(VLOOKUP($B73,'Rate Projection'!$A$11:$G$101,5)*('Monthly Revenue-Usage'!I73/100))))</f>
        <v>#REF!</v>
      </c>
      <c r="Z73" s="53" t="e">
        <f>(-ISPMT('Monthly Revenue-Usage'!$Z$10/12, 1,1*12, Z72)*12)+Z72</f>
        <v>#REF!</v>
      </c>
      <c r="AA73" s="53" t="e">
        <f t="shared" si="15"/>
        <v>#REF!</v>
      </c>
    </row>
    <row r="74" spans="2:27" x14ac:dyDescent="0.3">
      <c r="B74" s="60">
        <f t="shared" si="0"/>
        <v>2072</v>
      </c>
      <c r="C74" s="5" t="e">
        <f t="shared" si="1"/>
        <v>#REF!</v>
      </c>
      <c r="D74" s="5" t="e">
        <f t="shared" si="14"/>
        <v>#REF!</v>
      </c>
      <c r="E74" s="46" t="e">
        <f t="shared" si="9"/>
        <v>#REF!</v>
      </c>
      <c r="F74" s="46" t="e">
        <f t="shared" si="10"/>
        <v>#REF!</v>
      </c>
      <c r="G74" s="46" t="e">
        <f t="shared" si="11"/>
        <v>#REF!</v>
      </c>
      <c r="H74" s="46" t="e">
        <f t="shared" si="12"/>
        <v>#REF!</v>
      </c>
      <c r="I74" s="46" t="e">
        <f t="shared" si="13"/>
        <v>#REF!</v>
      </c>
      <c r="J74" s="53" t="e">
        <f>IF(AND(E74&gt;E$9, $D74&gt;'RV ERU Connections'!$F$37),J73,(VLOOKUP($B74,'Rate Projection'!$A$11:$G$101,2)*(E74/100)))</f>
        <v>#REF!</v>
      </c>
      <c r="K74" s="53" t="e">
        <f>IF(AND(F74&gt;F$9, $D74&gt;'RV ERU Connections'!$F$37),K73,(VLOOKUP($B74,'Rate Projection'!$A$11:$G$101,3)*(F74/100)))</f>
        <v>#REF!</v>
      </c>
      <c r="L74" s="53" t="e">
        <f>IF(AND(G74&gt;G$9, $D74&gt;'RV ERU Connections'!$F$37),L73,(VLOOKUP($B74,'Rate Projection'!$A$11:$G$101,3)*(G74/100)))</f>
        <v>#REF!</v>
      </c>
      <c r="M74" s="53" t="e">
        <f>IF(AND(H74&gt;H$9, $D74&gt;'RV ERU Connections'!$F$37),M73,(VLOOKUP($B74,'Rate Projection'!$A$11:$G$101,3)*(H74/100)))</f>
        <v>#REF!</v>
      </c>
      <c r="N74" s="53" t="e">
        <f>IF(AND(I74&gt;I$9, $D74&gt;'RV ERU Connections'!$F$37),N73,(VLOOKUP($B74,'Rate Projection'!$A$11:$G$101,3)*(I74/100)))</f>
        <v>#REF!</v>
      </c>
      <c r="O74" s="54" t="e">
        <f>IF(AND(E74&gt;E$9, E74&gt;(E$9+E$8),$D74&gt;'RV ERU Connections'!$F$38),O73,IF(E74&gt;E$9,((('Rate Projection'!$C$6+(VLOOKUP($B74,'Rate Projection'!$A$11:$G$101,4)))*(E74-E$9)/100)+(VLOOKUP($B74,'Rate Projection'!$A$11:$G$101,2)*'Monthly Revenue-Usage'!E$9/100)),(VLOOKUP($B74,'Rate Projection'!$A$11:$G$101,2)*('Monthly Revenue-Usage'!E74/100))))</f>
        <v>#REF!</v>
      </c>
      <c r="P74" s="54" t="e">
        <f>IF(AND(F74&gt;F$9, F74&gt;(F$9+F$8),$D74&gt;'RV ERU Connections'!$F$38),P73,IF(F74&gt;F$9,((('Rate Projection'!$C$6+(VLOOKUP($B74,'Rate Projection'!$A$11:$G$101,5)))*(F74-F$9)/100)+(VLOOKUP($B74,'Rate Projection'!$A$11:$G$101,3)*'Monthly Revenue-Usage'!F$9/100)),(VLOOKUP($B74,'Rate Projection'!$A$11:$G$101,3)*('Monthly Revenue-Usage'!F74/100))))</f>
        <v>#REF!</v>
      </c>
      <c r="Q74" s="54" t="e">
        <f>IF(AND(G74&gt;G$9, G74&gt;(G$9+G$8),$D74&gt;'RV ERU Connections'!$F$38),Q73,IF(G74&gt;G$9,((('Rate Projection'!$C$6+(VLOOKUP($B74,'Rate Projection'!$A$11:$G$101,5)))*(G74-G$9)/100)+(VLOOKUP($B74,'Rate Projection'!$A$11:$G$101,3)*'Monthly Revenue-Usage'!G$9/100)),(VLOOKUP($B74,'Rate Projection'!$A$11:$G$101,3)*('Monthly Revenue-Usage'!G74/100))))</f>
        <v>#REF!</v>
      </c>
      <c r="R74" s="54" t="e">
        <f>IF(AND(H74&gt;H$9, H74&gt;(H$9+H$8),$D74&gt;'RV ERU Connections'!$F$38),R73,IF(H74&gt;H$9,((('Rate Projection'!$C$6+(VLOOKUP($B74,'Rate Projection'!$A$11:$G$101,5)))*(H74-H$9)/100)+(VLOOKUP($B74,'Rate Projection'!$A$11:$G$101,3)*'Monthly Revenue-Usage'!H$9/100)),(VLOOKUP($B74,'Rate Projection'!$A$11:$G$101,3)*('Monthly Revenue-Usage'!H74/100))))</f>
        <v>#REF!</v>
      </c>
      <c r="S74" s="54" t="e">
        <f>IF(AND(I74&gt;I$9, I74&gt;(I$9+I$8),$D74&gt;'RV ERU Connections'!$F$38),S73,IF(I74&gt;I$9,((('Rate Projection'!$C$6+(VLOOKUP($B74,'Rate Projection'!$A$11:$G$101,5)))*(I74-I$9)/100)+(VLOOKUP($B74,'Rate Projection'!$A$11:$G$101,3)*'Monthly Revenue-Usage'!I$9/100)),(VLOOKUP($B74,'Rate Projection'!$A$11:$G$101,3)*('Monthly Revenue-Usage'!I74/100))))</f>
        <v>#REF!</v>
      </c>
      <c r="T74" s="52" t="e">
        <f>IF(AND(E74&gt;E$9, E74&gt;(E$9+E$8),$D74&gt;'RV ERU Connections'!$F$38),T73,IF(E74&gt;E$8,((((VLOOKUP($B74,'Rate Projection'!$A$11:$G$101,2)))*(E74-E$8)/100)+(VLOOKUP($B74,'Rate Projection'!$A$11:$G$101,4)*'Monthly Revenue-Usage'!E$8/100)),(VLOOKUP($B74,'Rate Projection'!$A$11:$G$101,4)*('Monthly Revenue-Usage'!E74/100))))</f>
        <v>#REF!</v>
      </c>
      <c r="U74" s="52" t="e">
        <f>IF(AND(F74&gt;F$9, F74&gt;(F$9+F$8),$D74&gt;'RV ERU Connections'!$F$38),U73,IF(F74&gt;F$8,((((VLOOKUP($B74,'Rate Projection'!$A$11:$G$101,3)))*(F74-F$8)/100)+(VLOOKUP($B74,'Rate Projection'!$A$11:$G$101,5)*'Monthly Revenue-Usage'!F$8/100)),(VLOOKUP($B74,'Rate Projection'!$A$11:$G$101,5)*('Monthly Revenue-Usage'!F74/100))))</f>
        <v>#REF!</v>
      </c>
      <c r="V74" s="52" t="e">
        <f>IF(AND(G74&gt;G$9, G74&gt;(G$9+G$8),$D74&gt;'RV ERU Connections'!$F$38),V73,IF(G74&gt;G$8,((((VLOOKUP($B74,'Rate Projection'!$A$11:$G$101,3)))*(G74-G$8)/100)+(VLOOKUP($B74,'Rate Projection'!$A$11:$G$101,5)*'Monthly Revenue-Usage'!G$8/100)),(VLOOKUP($B74,'Rate Projection'!$A$11:$G$101,5)*('Monthly Revenue-Usage'!G74/100))))</f>
        <v>#REF!</v>
      </c>
      <c r="W74" s="52" t="e">
        <f>IF(AND(H74&gt;H$9, H74&gt;(H$9+H$8),$D74&gt;'RV ERU Connections'!$F$38),W73,IF(H74&gt;H$8,((((VLOOKUP($B74,'Rate Projection'!$A$11:$G$101,3)))*(H74-H$8)/100)+(VLOOKUP($B74,'Rate Projection'!$A$11:$G$101,5)*'Monthly Revenue-Usage'!H$8/100)),(VLOOKUP($B74,'Rate Projection'!$A$11:$G$101,5)*('Monthly Revenue-Usage'!H74/100))))</f>
        <v>#REF!</v>
      </c>
      <c r="X74" s="52" t="e">
        <f>IF(AND(I74&gt;I$9, I74&gt;(I$9+I$8),$D74&gt;'RV ERU Connections'!$F$38),X73,IF(I74&gt;I$8,((((VLOOKUP($B74,'Rate Projection'!$A$11:$G$101,3)))*(I74-I$8)/100)+(VLOOKUP($B74,'Rate Projection'!$A$11:$G$101,5)*'Monthly Revenue-Usage'!I$8/100)),(VLOOKUP($B74,'Rate Projection'!$A$11:$G$101,5)*('Monthly Revenue-Usage'!I74/100))))</f>
        <v>#REF!</v>
      </c>
      <c r="Z74" s="53" t="e">
        <f>(-ISPMT('Monthly Revenue-Usage'!$Z$10/12, 1,1*12, Z73)*12)+Z73</f>
        <v>#REF!</v>
      </c>
      <c r="AA74" s="53" t="e">
        <f t="shared" si="15"/>
        <v>#REF!</v>
      </c>
    </row>
    <row r="75" spans="2:27" x14ac:dyDescent="0.3">
      <c r="B75" s="60">
        <f t="shared" si="0"/>
        <v>2073</v>
      </c>
      <c r="C75" s="5" t="e">
        <f t="shared" si="1"/>
        <v>#REF!</v>
      </c>
      <c r="D75" s="5" t="e">
        <f t="shared" si="14"/>
        <v>#REF!</v>
      </c>
      <c r="E75" s="46" t="e">
        <f t="shared" si="9"/>
        <v>#REF!</v>
      </c>
      <c r="F75" s="46" t="e">
        <f t="shared" si="10"/>
        <v>#REF!</v>
      </c>
      <c r="G75" s="46" t="e">
        <f t="shared" si="11"/>
        <v>#REF!</v>
      </c>
      <c r="H75" s="46" t="e">
        <f t="shared" si="12"/>
        <v>#REF!</v>
      </c>
      <c r="I75" s="46" t="e">
        <f t="shared" si="13"/>
        <v>#REF!</v>
      </c>
      <c r="J75" s="53" t="e">
        <f>IF(AND(E75&gt;E$9, $D75&gt;'RV ERU Connections'!$F$37),J74,(VLOOKUP($B75,'Rate Projection'!$A$11:$G$101,2)*(E75/100)))</f>
        <v>#REF!</v>
      </c>
      <c r="K75" s="53" t="e">
        <f>IF(AND(F75&gt;F$9, $D75&gt;'RV ERU Connections'!$F$37),K74,(VLOOKUP($B75,'Rate Projection'!$A$11:$G$101,3)*(F75/100)))</f>
        <v>#REF!</v>
      </c>
      <c r="L75" s="53" t="e">
        <f>IF(AND(G75&gt;G$9, $D75&gt;'RV ERU Connections'!$F$37),L74,(VLOOKUP($B75,'Rate Projection'!$A$11:$G$101,3)*(G75/100)))</f>
        <v>#REF!</v>
      </c>
      <c r="M75" s="53" t="e">
        <f>IF(AND(H75&gt;H$9, $D75&gt;'RV ERU Connections'!$F$37),M74,(VLOOKUP($B75,'Rate Projection'!$A$11:$G$101,3)*(H75/100)))</f>
        <v>#REF!</v>
      </c>
      <c r="N75" s="53" t="e">
        <f>IF(AND(I75&gt;I$9, $D75&gt;'RV ERU Connections'!$F$37),N74,(VLOOKUP($B75,'Rate Projection'!$A$11:$G$101,3)*(I75/100)))</f>
        <v>#REF!</v>
      </c>
      <c r="O75" s="54" t="e">
        <f>IF(AND(E75&gt;E$9, E75&gt;(E$9+E$8),$D75&gt;'RV ERU Connections'!$F$38),O74,IF(E75&gt;E$9,((('Rate Projection'!$C$6+(VLOOKUP($B75,'Rate Projection'!$A$11:$G$101,4)))*(E75-E$9)/100)+(VLOOKUP($B75,'Rate Projection'!$A$11:$G$101,2)*'Monthly Revenue-Usage'!E$9/100)),(VLOOKUP($B75,'Rate Projection'!$A$11:$G$101,2)*('Monthly Revenue-Usage'!E75/100))))</f>
        <v>#REF!</v>
      </c>
      <c r="P75" s="54" t="e">
        <f>IF(AND(F75&gt;F$9, F75&gt;(F$9+F$8),$D75&gt;'RV ERU Connections'!$F$38),P74,IF(F75&gt;F$9,((('Rate Projection'!$C$6+(VLOOKUP($B75,'Rate Projection'!$A$11:$G$101,5)))*(F75-F$9)/100)+(VLOOKUP($B75,'Rate Projection'!$A$11:$G$101,3)*'Monthly Revenue-Usage'!F$9/100)),(VLOOKUP($B75,'Rate Projection'!$A$11:$G$101,3)*('Monthly Revenue-Usage'!F75/100))))</f>
        <v>#REF!</v>
      </c>
      <c r="Q75" s="54" t="e">
        <f>IF(AND(G75&gt;G$9, G75&gt;(G$9+G$8),$D75&gt;'RV ERU Connections'!$F$38),Q74,IF(G75&gt;G$9,((('Rate Projection'!$C$6+(VLOOKUP($B75,'Rate Projection'!$A$11:$G$101,5)))*(G75-G$9)/100)+(VLOOKUP($B75,'Rate Projection'!$A$11:$G$101,3)*'Monthly Revenue-Usage'!G$9/100)),(VLOOKUP($B75,'Rate Projection'!$A$11:$G$101,3)*('Monthly Revenue-Usage'!G75/100))))</f>
        <v>#REF!</v>
      </c>
      <c r="R75" s="54" t="e">
        <f>IF(AND(H75&gt;H$9, H75&gt;(H$9+H$8),$D75&gt;'RV ERU Connections'!$F$38),R74,IF(H75&gt;H$9,((('Rate Projection'!$C$6+(VLOOKUP($B75,'Rate Projection'!$A$11:$G$101,5)))*(H75-H$9)/100)+(VLOOKUP($B75,'Rate Projection'!$A$11:$G$101,3)*'Monthly Revenue-Usage'!H$9/100)),(VLOOKUP($B75,'Rate Projection'!$A$11:$G$101,3)*('Monthly Revenue-Usage'!H75/100))))</f>
        <v>#REF!</v>
      </c>
      <c r="S75" s="54" t="e">
        <f>IF(AND(I75&gt;I$9, I75&gt;(I$9+I$8),$D75&gt;'RV ERU Connections'!$F$38),S74,IF(I75&gt;I$9,((('Rate Projection'!$C$6+(VLOOKUP($B75,'Rate Projection'!$A$11:$G$101,5)))*(I75-I$9)/100)+(VLOOKUP($B75,'Rate Projection'!$A$11:$G$101,3)*'Monthly Revenue-Usage'!I$9/100)),(VLOOKUP($B75,'Rate Projection'!$A$11:$G$101,3)*('Monthly Revenue-Usage'!I75/100))))</f>
        <v>#REF!</v>
      </c>
      <c r="T75" s="52" t="e">
        <f>IF(AND(E75&gt;E$9, E75&gt;(E$9+E$8),$D75&gt;'RV ERU Connections'!$F$38),T74,IF(E75&gt;E$8,((((VLOOKUP($B75,'Rate Projection'!$A$11:$G$101,2)))*(E75-E$8)/100)+(VLOOKUP($B75,'Rate Projection'!$A$11:$G$101,4)*'Monthly Revenue-Usage'!E$8/100)),(VLOOKUP($B75,'Rate Projection'!$A$11:$G$101,4)*('Monthly Revenue-Usage'!E75/100))))</f>
        <v>#REF!</v>
      </c>
      <c r="U75" s="52" t="e">
        <f>IF(AND(F75&gt;F$9, F75&gt;(F$9+F$8),$D75&gt;'RV ERU Connections'!$F$38),U74,IF(F75&gt;F$8,((((VLOOKUP($B75,'Rate Projection'!$A$11:$G$101,3)))*(F75-F$8)/100)+(VLOOKUP($B75,'Rate Projection'!$A$11:$G$101,5)*'Monthly Revenue-Usage'!F$8/100)),(VLOOKUP($B75,'Rate Projection'!$A$11:$G$101,5)*('Monthly Revenue-Usage'!F75/100))))</f>
        <v>#REF!</v>
      </c>
      <c r="V75" s="52" t="e">
        <f>IF(AND(G75&gt;G$9, G75&gt;(G$9+G$8),$D75&gt;'RV ERU Connections'!$F$38),V74,IF(G75&gt;G$8,((((VLOOKUP($B75,'Rate Projection'!$A$11:$G$101,3)))*(G75-G$8)/100)+(VLOOKUP($B75,'Rate Projection'!$A$11:$G$101,5)*'Monthly Revenue-Usage'!G$8/100)),(VLOOKUP($B75,'Rate Projection'!$A$11:$G$101,5)*('Monthly Revenue-Usage'!G75/100))))</f>
        <v>#REF!</v>
      </c>
      <c r="W75" s="52" t="e">
        <f>IF(AND(H75&gt;H$9, H75&gt;(H$9+H$8),$D75&gt;'RV ERU Connections'!$F$38),W74,IF(H75&gt;H$8,((((VLOOKUP($B75,'Rate Projection'!$A$11:$G$101,3)))*(H75-H$8)/100)+(VLOOKUP($B75,'Rate Projection'!$A$11:$G$101,5)*'Monthly Revenue-Usage'!H$8/100)),(VLOOKUP($B75,'Rate Projection'!$A$11:$G$101,5)*('Monthly Revenue-Usage'!H75/100))))</f>
        <v>#REF!</v>
      </c>
      <c r="X75" s="52" t="e">
        <f>IF(AND(I75&gt;I$9, I75&gt;(I$9+I$8),$D75&gt;'RV ERU Connections'!$F$38),X74,IF(I75&gt;I$8,((((VLOOKUP($B75,'Rate Projection'!$A$11:$G$101,3)))*(I75-I$8)/100)+(VLOOKUP($B75,'Rate Projection'!$A$11:$G$101,5)*'Monthly Revenue-Usage'!I$8/100)),(VLOOKUP($B75,'Rate Projection'!$A$11:$G$101,5)*('Monthly Revenue-Usage'!I75/100))))</f>
        <v>#REF!</v>
      </c>
      <c r="Z75" s="53" t="e">
        <f>(-ISPMT('Monthly Revenue-Usage'!$Z$10/12, 1,1*12, Z74)*12)+Z74</f>
        <v>#REF!</v>
      </c>
      <c r="AA75" s="53" t="e">
        <f t="shared" si="15"/>
        <v>#REF!</v>
      </c>
    </row>
    <row r="76" spans="2:27" x14ac:dyDescent="0.3">
      <c r="B76" s="60">
        <f t="shared" si="0"/>
        <v>2074</v>
      </c>
      <c r="C76" s="5" t="e">
        <f t="shared" si="1"/>
        <v>#REF!</v>
      </c>
      <c r="D76" s="5" t="e">
        <f t="shared" si="14"/>
        <v>#REF!</v>
      </c>
      <c r="E76" s="46" t="e">
        <f t="shared" si="9"/>
        <v>#REF!</v>
      </c>
      <c r="F76" s="46" t="e">
        <f t="shared" si="10"/>
        <v>#REF!</v>
      </c>
      <c r="G76" s="46" t="e">
        <f t="shared" si="11"/>
        <v>#REF!</v>
      </c>
      <c r="H76" s="46" t="e">
        <f t="shared" si="12"/>
        <v>#REF!</v>
      </c>
      <c r="I76" s="46" t="e">
        <f t="shared" si="13"/>
        <v>#REF!</v>
      </c>
      <c r="J76" s="53" t="e">
        <f>IF(AND(E76&gt;E$9, $D76&gt;'RV ERU Connections'!$F$37),J75,(VLOOKUP($B76,'Rate Projection'!$A$11:$G$101,2)*(E76/100)))</f>
        <v>#REF!</v>
      </c>
      <c r="K76" s="53" t="e">
        <f>IF(AND(F76&gt;F$9, $D76&gt;'RV ERU Connections'!$F$37),K75,(VLOOKUP($B76,'Rate Projection'!$A$11:$G$101,3)*(F76/100)))</f>
        <v>#REF!</v>
      </c>
      <c r="L76" s="53" t="e">
        <f>IF(AND(G76&gt;G$9, $D76&gt;'RV ERU Connections'!$F$37),L75,(VLOOKUP($B76,'Rate Projection'!$A$11:$G$101,3)*(G76/100)))</f>
        <v>#REF!</v>
      </c>
      <c r="M76" s="53" t="e">
        <f>IF(AND(H76&gt;H$9, $D76&gt;'RV ERU Connections'!$F$37),M75,(VLOOKUP($B76,'Rate Projection'!$A$11:$G$101,3)*(H76/100)))</f>
        <v>#REF!</v>
      </c>
      <c r="N76" s="53" t="e">
        <f>IF(AND(I76&gt;I$9, $D76&gt;'RV ERU Connections'!$F$37),N75,(VLOOKUP($B76,'Rate Projection'!$A$11:$G$101,3)*(I76/100)))</f>
        <v>#REF!</v>
      </c>
      <c r="O76" s="54" t="e">
        <f>IF(AND(E76&gt;E$9, E76&gt;(E$9+E$8),$D76&gt;'RV ERU Connections'!$F$38),O75,IF(E76&gt;E$9,((('Rate Projection'!$C$6+(VLOOKUP($B76,'Rate Projection'!$A$11:$G$101,4)))*(E76-E$9)/100)+(VLOOKUP($B76,'Rate Projection'!$A$11:$G$101,2)*'Monthly Revenue-Usage'!E$9/100)),(VLOOKUP($B76,'Rate Projection'!$A$11:$G$101,2)*('Monthly Revenue-Usage'!E76/100))))</f>
        <v>#REF!</v>
      </c>
      <c r="P76" s="54" t="e">
        <f>IF(AND(F76&gt;F$9, F76&gt;(F$9+F$8),$D76&gt;'RV ERU Connections'!$F$38),P75,IF(F76&gt;F$9,((('Rate Projection'!$C$6+(VLOOKUP($B76,'Rate Projection'!$A$11:$G$101,5)))*(F76-F$9)/100)+(VLOOKUP($B76,'Rate Projection'!$A$11:$G$101,3)*'Monthly Revenue-Usage'!F$9/100)),(VLOOKUP($B76,'Rate Projection'!$A$11:$G$101,3)*('Monthly Revenue-Usage'!F76/100))))</f>
        <v>#REF!</v>
      </c>
      <c r="Q76" s="54" t="e">
        <f>IF(AND(G76&gt;G$9, G76&gt;(G$9+G$8),$D76&gt;'RV ERU Connections'!$F$38),Q75,IF(G76&gt;G$9,((('Rate Projection'!$C$6+(VLOOKUP($B76,'Rate Projection'!$A$11:$G$101,5)))*(G76-G$9)/100)+(VLOOKUP($B76,'Rate Projection'!$A$11:$G$101,3)*'Monthly Revenue-Usage'!G$9/100)),(VLOOKUP($B76,'Rate Projection'!$A$11:$G$101,3)*('Monthly Revenue-Usage'!G76/100))))</f>
        <v>#REF!</v>
      </c>
      <c r="R76" s="54" t="e">
        <f>IF(AND(H76&gt;H$9, H76&gt;(H$9+H$8),$D76&gt;'RV ERU Connections'!$F$38),R75,IF(H76&gt;H$9,((('Rate Projection'!$C$6+(VLOOKUP($B76,'Rate Projection'!$A$11:$G$101,5)))*(H76-H$9)/100)+(VLOOKUP($B76,'Rate Projection'!$A$11:$G$101,3)*'Monthly Revenue-Usage'!H$9/100)),(VLOOKUP($B76,'Rate Projection'!$A$11:$G$101,3)*('Monthly Revenue-Usage'!H76/100))))</f>
        <v>#REF!</v>
      </c>
      <c r="S76" s="54" t="e">
        <f>IF(AND(I76&gt;I$9, I76&gt;(I$9+I$8),$D76&gt;'RV ERU Connections'!$F$38),S75,IF(I76&gt;I$9,((('Rate Projection'!$C$6+(VLOOKUP($B76,'Rate Projection'!$A$11:$G$101,5)))*(I76-I$9)/100)+(VLOOKUP($B76,'Rate Projection'!$A$11:$G$101,3)*'Monthly Revenue-Usage'!I$9/100)),(VLOOKUP($B76,'Rate Projection'!$A$11:$G$101,3)*('Monthly Revenue-Usage'!I76/100))))</f>
        <v>#REF!</v>
      </c>
      <c r="T76" s="52" t="e">
        <f>IF(AND(E76&gt;E$9, E76&gt;(E$9+E$8),$D76&gt;'RV ERU Connections'!$F$38),T75,IF(E76&gt;E$8,((((VLOOKUP($B76,'Rate Projection'!$A$11:$G$101,2)))*(E76-E$8)/100)+(VLOOKUP($B76,'Rate Projection'!$A$11:$G$101,4)*'Monthly Revenue-Usage'!E$8/100)),(VLOOKUP($B76,'Rate Projection'!$A$11:$G$101,4)*('Monthly Revenue-Usage'!E76/100))))</f>
        <v>#REF!</v>
      </c>
      <c r="U76" s="52" t="e">
        <f>IF(AND(F76&gt;F$9, F76&gt;(F$9+F$8),$D76&gt;'RV ERU Connections'!$F$38),U75,IF(F76&gt;F$8,((((VLOOKUP($B76,'Rate Projection'!$A$11:$G$101,3)))*(F76-F$8)/100)+(VLOOKUP($B76,'Rate Projection'!$A$11:$G$101,5)*'Monthly Revenue-Usage'!F$8/100)),(VLOOKUP($B76,'Rate Projection'!$A$11:$G$101,5)*('Monthly Revenue-Usage'!F76/100))))</f>
        <v>#REF!</v>
      </c>
      <c r="V76" s="52" t="e">
        <f>IF(AND(G76&gt;G$9, G76&gt;(G$9+G$8),$D76&gt;'RV ERU Connections'!$F$38),V75,IF(G76&gt;G$8,((((VLOOKUP($B76,'Rate Projection'!$A$11:$G$101,3)))*(G76-G$8)/100)+(VLOOKUP($B76,'Rate Projection'!$A$11:$G$101,5)*'Monthly Revenue-Usage'!G$8/100)),(VLOOKUP($B76,'Rate Projection'!$A$11:$G$101,5)*('Monthly Revenue-Usage'!G76/100))))</f>
        <v>#REF!</v>
      </c>
      <c r="W76" s="52" t="e">
        <f>IF(AND(H76&gt;H$9, H76&gt;(H$9+H$8),$D76&gt;'RV ERU Connections'!$F$38),W75,IF(H76&gt;H$8,((((VLOOKUP($B76,'Rate Projection'!$A$11:$G$101,3)))*(H76-H$8)/100)+(VLOOKUP($B76,'Rate Projection'!$A$11:$G$101,5)*'Monthly Revenue-Usage'!H$8/100)),(VLOOKUP($B76,'Rate Projection'!$A$11:$G$101,5)*('Monthly Revenue-Usage'!H76/100))))</f>
        <v>#REF!</v>
      </c>
      <c r="X76" s="52" t="e">
        <f>IF(AND(I76&gt;I$9, I76&gt;(I$9+I$8),$D76&gt;'RV ERU Connections'!$F$38),X75,IF(I76&gt;I$8,((((VLOOKUP($B76,'Rate Projection'!$A$11:$G$101,3)))*(I76-I$8)/100)+(VLOOKUP($B76,'Rate Projection'!$A$11:$G$101,5)*'Monthly Revenue-Usage'!I$8/100)),(VLOOKUP($B76,'Rate Projection'!$A$11:$G$101,5)*('Monthly Revenue-Usage'!I76/100))))</f>
        <v>#REF!</v>
      </c>
      <c r="Z76" s="53" t="e">
        <f>(-ISPMT('Monthly Revenue-Usage'!$Z$10/12, 1,1*12, Z75)*12)+Z75</f>
        <v>#REF!</v>
      </c>
      <c r="AA76" s="53" t="e">
        <f t="shared" si="15"/>
        <v>#REF!</v>
      </c>
    </row>
    <row r="77" spans="2:27" x14ac:dyDescent="0.3">
      <c r="B77" s="60">
        <f t="shared" ref="B77:B102" si="16">B76+1</f>
        <v>2075</v>
      </c>
      <c r="C77" s="5" t="e">
        <f t="shared" ref="C77:C102" si="17">IF($A$13&gt;0, (+C76*$A$13)+C76,  (+C76*$A$12)+C76)</f>
        <v>#REF!</v>
      </c>
      <c r="D77" s="5" t="e">
        <f t="shared" si="14"/>
        <v>#REF!</v>
      </c>
      <c r="E77" s="46" t="e">
        <f t="shared" si="9"/>
        <v>#REF!</v>
      </c>
      <c r="F77" s="46" t="e">
        <f t="shared" si="10"/>
        <v>#REF!</v>
      </c>
      <c r="G77" s="46" t="e">
        <f t="shared" si="11"/>
        <v>#REF!</v>
      </c>
      <c r="H77" s="46" t="e">
        <f t="shared" si="12"/>
        <v>#REF!</v>
      </c>
      <c r="I77" s="46" t="e">
        <f t="shared" si="13"/>
        <v>#REF!</v>
      </c>
      <c r="J77" s="53" t="e">
        <f>IF(AND(E77&gt;E$9, $D77&gt;'RV ERU Connections'!$F$37),J76,(VLOOKUP($B77,'Rate Projection'!$A$11:$G$101,2)*(E77/100)))</f>
        <v>#REF!</v>
      </c>
      <c r="K77" s="53" t="e">
        <f>IF(AND(F77&gt;F$9, $D77&gt;'RV ERU Connections'!$F$37),K76,(VLOOKUP($B77,'Rate Projection'!$A$11:$G$101,3)*(F77/100)))</f>
        <v>#REF!</v>
      </c>
      <c r="L77" s="53" t="e">
        <f>IF(AND(G77&gt;G$9, $D77&gt;'RV ERU Connections'!$F$37),L76,(VLOOKUP($B77,'Rate Projection'!$A$11:$G$101,3)*(G77/100)))</f>
        <v>#REF!</v>
      </c>
      <c r="M77" s="53" t="e">
        <f>IF(AND(H77&gt;H$9, $D77&gt;'RV ERU Connections'!$F$37),M76,(VLOOKUP($B77,'Rate Projection'!$A$11:$G$101,3)*(H77/100)))</f>
        <v>#REF!</v>
      </c>
      <c r="N77" s="53" t="e">
        <f>IF(AND(I77&gt;I$9, $D77&gt;'RV ERU Connections'!$F$37),N76,(VLOOKUP($B77,'Rate Projection'!$A$11:$G$101,3)*(I77/100)))</f>
        <v>#REF!</v>
      </c>
      <c r="O77" s="54" t="e">
        <f>IF(AND(E77&gt;E$9, E77&gt;(E$9+E$8),$D77&gt;'RV ERU Connections'!$F$38),O76,IF(E77&gt;E$9,((('Rate Projection'!$C$6+(VLOOKUP($B77,'Rate Projection'!$A$11:$G$101,4)))*(E77-E$9)/100)+(VLOOKUP($B77,'Rate Projection'!$A$11:$G$101,2)*'Monthly Revenue-Usage'!E$9/100)),(VLOOKUP($B77,'Rate Projection'!$A$11:$G$101,2)*('Monthly Revenue-Usage'!E77/100))))</f>
        <v>#REF!</v>
      </c>
      <c r="P77" s="54" t="e">
        <f>IF(AND(F77&gt;F$9, F77&gt;(F$9+F$8),$D77&gt;'RV ERU Connections'!$F$38),P76,IF(F77&gt;F$9,((('Rate Projection'!$C$6+(VLOOKUP($B77,'Rate Projection'!$A$11:$G$101,5)))*(F77-F$9)/100)+(VLOOKUP($B77,'Rate Projection'!$A$11:$G$101,3)*'Monthly Revenue-Usage'!F$9/100)),(VLOOKUP($B77,'Rate Projection'!$A$11:$G$101,3)*('Monthly Revenue-Usage'!F77/100))))</f>
        <v>#REF!</v>
      </c>
      <c r="Q77" s="54" t="e">
        <f>IF(AND(G77&gt;G$9, G77&gt;(G$9+G$8),$D77&gt;'RV ERU Connections'!$F$38),Q76,IF(G77&gt;G$9,((('Rate Projection'!$C$6+(VLOOKUP($B77,'Rate Projection'!$A$11:$G$101,5)))*(G77-G$9)/100)+(VLOOKUP($B77,'Rate Projection'!$A$11:$G$101,3)*'Monthly Revenue-Usage'!G$9/100)),(VLOOKUP($B77,'Rate Projection'!$A$11:$G$101,3)*('Monthly Revenue-Usage'!G77/100))))</f>
        <v>#REF!</v>
      </c>
      <c r="R77" s="54" t="e">
        <f>IF(AND(H77&gt;H$9, H77&gt;(H$9+H$8),$D77&gt;'RV ERU Connections'!$F$38),R76,IF(H77&gt;H$9,((('Rate Projection'!$C$6+(VLOOKUP($B77,'Rate Projection'!$A$11:$G$101,5)))*(H77-H$9)/100)+(VLOOKUP($B77,'Rate Projection'!$A$11:$G$101,3)*'Monthly Revenue-Usage'!H$9/100)),(VLOOKUP($B77,'Rate Projection'!$A$11:$G$101,3)*('Monthly Revenue-Usage'!H77/100))))</f>
        <v>#REF!</v>
      </c>
      <c r="S77" s="54" t="e">
        <f>IF(AND(I77&gt;I$9, I77&gt;(I$9+I$8),$D77&gt;'RV ERU Connections'!$F$38),S76,IF(I77&gt;I$9,((('Rate Projection'!$C$6+(VLOOKUP($B77,'Rate Projection'!$A$11:$G$101,5)))*(I77-I$9)/100)+(VLOOKUP($B77,'Rate Projection'!$A$11:$G$101,3)*'Monthly Revenue-Usage'!I$9/100)),(VLOOKUP($B77,'Rate Projection'!$A$11:$G$101,3)*('Monthly Revenue-Usage'!I77/100))))</f>
        <v>#REF!</v>
      </c>
      <c r="T77" s="52" t="e">
        <f>IF(AND(E77&gt;E$9, E77&gt;(E$9+E$8),$D77&gt;'RV ERU Connections'!$F$38),T76,IF(E77&gt;E$8,((((VLOOKUP($B77,'Rate Projection'!$A$11:$G$101,2)))*(E77-E$8)/100)+(VLOOKUP($B77,'Rate Projection'!$A$11:$G$101,4)*'Monthly Revenue-Usage'!E$8/100)),(VLOOKUP($B77,'Rate Projection'!$A$11:$G$101,4)*('Monthly Revenue-Usage'!E77/100))))</f>
        <v>#REF!</v>
      </c>
      <c r="U77" s="52" t="e">
        <f>IF(AND(F77&gt;F$9, F77&gt;(F$9+F$8),$D77&gt;'RV ERU Connections'!$F$38),U76,IF(F77&gt;F$8,((((VLOOKUP($B77,'Rate Projection'!$A$11:$G$101,3)))*(F77-F$8)/100)+(VLOOKUP($B77,'Rate Projection'!$A$11:$G$101,5)*'Monthly Revenue-Usage'!F$8/100)),(VLOOKUP($B77,'Rate Projection'!$A$11:$G$101,5)*('Monthly Revenue-Usage'!F77/100))))</f>
        <v>#REF!</v>
      </c>
      <c r="V77" s="52" t="e">
        <f>IF(AND(G77&gt;G$9, G77&gt;(G$9+G$8),$D77&gt;'RV ERU Connections'!$F$38),V76,IF(G77&gt;G$8,((((VLOOKUP($B77,'Rate Projection'!$A$11:$G$101,3)))*(G77-G$8)/100)+(VLOOKUP($B77,'Rate Projection'!$A$11:$G$101,5)*'Monthly Revenue-Usage'!G$8/100)),(VLOOKUP($B77,'Rate Projection'!$A$11:$G$101,5)*('Monthly Revenue-Usage'!G77/100))))</f>
        <v>#REF!</v>
      </c>
      <c r="W77" s="52" t="e">
        <f>IF(AND(H77&gt;H$9, H77&gt;(H$9+H$8),$D77&gt;'RV ERU Connections'!$F$38),W76,IF(H77&gt;H$8,((((VLOOKUP($B77,'Rate Projection'!$A$11:$G$101,3)))*(H77-H$8)/100)+(VLOOKUP($B77,'Rate Projection'!$A$11:$G$101,5)*'Monthly Revenue-Usage'!H$8/100)),(VLOOKUP($B77,'Rate Projection'!$A$11:$G$101,5)*('Monthly Revenue-Usage'!H77/100))))</f>
        <v>#REF!</v>
      </c>
      <c r="X77" s="52" t="e">
        <f>IF(AND(I77&gt;I$9, I77&gt;(I$9+I$8),$D77&gt;'RV ERU Connections'!$F$38),X76,IF(I77&gt;I$8,((((VLOOKUP($B77,'Rate Projection'!$A$11:$G$101,3)))*(I77-I$8)/100)+(VLOOKUP($B77,'Rate Projection'!$A$11:$G$101,5)*'Monthly Revenue-Usage'!I$8/100)),(VLOOKUP($B77,'Rate Projection'!$A$11:$G$101,5)*('Monthly Revenue-Usage'!I77/100))))</f>
        <v>#REF!</v>
      </c>
      <c r="Z77" s="53" t="e">
        <f>(-ISPMT('Monthly Revenue-Usage'!$Z$10/12, 1,1*12, Z76)*12)+Z76</f>
        <v>#REF!</v>
      </c>
      <c r="AA77" s="53" t="e">
        <f t="shared" si="15"/>
        <v>#REF!</v>
      </c>
    </row>
    <row r="78" spans="2:27" x14ac:dyDescent="0.3">
      <c r="B78" s="60">
        <f t="shared" si="16"/>
        <v>2076</v>
      </c>
      <c r="C78" s="5" t="e">
        <f t="shared" si="17"/>
        <v>#REF!</v>
      </c>
      <c r="D78" s="5" t="e">
        <f t="shared" si="14"/>
        <v>#REF!</v>
      </c>
      <c r="E78" s="46" t="e">
        <f t="shared" si="9"/>
        <v>#REF!</v>
      </c>
      <c r="F78" s="46" t="e">
        <f t="shared" si="10"/>
        <v>#REF!</v>
      </c>
      <c r="G78" s="46" t="e">
        <f t="shared" si="11"/>
        <v>#REF!</v>
      </c>
      <c r="H78" s="46" t="e">
        <f t="shared" si="12"/>
        <v>#REF!</v>
      </c>
      <c r="I78" s="46" t="e">
        <f t="shared" si="13"/>
        <v>#REF!</v>
      </c>
      <c r="J78" s="53" t="e">
        <f>IF(AND(E78&gt;E$9, $D78&gt;'RV ERU Connections'!$F$37),J77,(VLOOKUP($B78,'Rate Projection'!$A$11:$G$101,2)*(E78/100)))</f>
        <v>#REF!</v>
      </c>
      <c r="K78" s="53" t="e">
        <f>IF(AND(F78&gt;F$9, $D78&gt;'RV ERU Connections'!$F$37),K77,(VLOOKUP($B78,'Rate Projection'!$A$11:$G$101,3)*(F78/100)))</f>
        <v>#REF!</v>
      </c>
      <c r="L78" s="53" t="e">
        <f>IF(AND(G78&gt;G$9, $D78&gt;'RV ERU Connections'!$F$37),L77,(VLOOKUP($B78,'Rate Projection'!$A$11:$G$101,3)*(G78/100)))</f>
        <v>#REF!</v>
      </c>
      <c r="M78" s="53" t="e">
        <f>IF(AND(H78&gt;H$9, $D78&gt;'RV ERU Connections'!$F$37),M77,(VLOOKUP($B78,'Rate Projection'!$A$11:$G$101,3)*(H78/100)))</f>
        <v>#REF!</v>
      </c>
      <c r="N78" s="53" t="e">
        <f>IF(AND(I78&gt;I$9, $D78&gt;'RV ERU Connections'!$F$37),N77,(VLOOKUP($B78,'Rate Projection'!$A$11:$G$101,3)*(I78/100)))</f>
        <v>#REF!</v>
      </c>
      <c r="O78" s="54" t="e">
        <f>IF(AND(E78&gt;E$9, E78&gt;(E$9+E$8),$D78&gt;'RV ERU Connections'!$F$38),O77,IF(E78&gt;E$9,((('Rate Projection'!$C$6+(VLOOKUP($B78,'Rate Projection'!$A$11:$G$101,4)))*(E78-E$9)/100)+(VLOOKUP($B78,'Rate Projection'!$A$11:$G$101,2)*'Monthly Revenue-Usage'!E$9/100)),(VLOOKUP($B78,'Rate Projection'!$A$11:$G$101,2)*('Monthly Revenue-Usage'!E78/100))))</f>
        <v>#REF!</v>
      </c>
      <c r="P78" s="54" t="e">
        <f>IF(AND(F78&gt;F$9, F78&gt;(F$9+F$8),$D78&gt;'RV ERU Connections'!$F$38),P77,IF(F78&gt;F$9,((('Rate Projection'!$C$6+(VLOOKUP($B78,'Rate Projection'!$A$11:$G$101,5)))*(F78-F$9)/100)+(VLOOKUP($B78,'Rate Projection'!$A$11:$G$101,3)*'Monthly Revenue-Usage'!F$9/100)),(VLOOKUP($B78,'Rate Projection'!$A$11:$G$101,3)*('Monthly Revenue-Usage'!F78/100))))</f>
        <v>#REF!</v>
      </c>
      <c r="Q78" s="54" t="e">
        <f>IF(AND(G78&gt;G$9, G78&gt;(G$9+G$8),$D78&gt;'RV ERU Connections'!$F$38),Q77,IF(G78&gt;G$9,((('Rate Projection'!$C$6+(VLOOKUP($B78,'Rate Projection'!$A$11:$G$101,5)))*(G78-G$9)/100)+(VLOOKUP($B78,'Rate Projection'!$A$11:$G$101,3)*'Monthly Revenue-Usage'!G$9/100)),(VLOOKUP($B78,'Rate Projection'!$A$11:$G$101,3)*('Monthly Revenue-Usage'!G78/100))))</f>
        <v>#REF!</v>
      </c>
      <c r="R78" s="54" t="e">
        <f>IF(AND(H78&gt;H$9, H78&gt;(H$9+H$8),$D78&gt;'RV ERU Connections'!$F$38),R77,IF(H78&gt;H$9,((('Rate Projection'!$C$6+(VLOOKUP($B78,'Rate Projection'!$A$11:$G$101,5)))*(H78-H$9)/100)+(VLOOKUP($B78,'Rate Projection'!$A$11:$G$101,3)*'Monthly Revenue-Usage'!H$9/100)),(VLOOKUP($B78,'Rate Projection'!$A$11:$G$101,3)*('Monthly Revenue-Usage'!H78/100))))</f>
        <v>#REF!</v>
      </c>
      <c r="S78" s="54" t="e">
        <f>IF(AND(I78&gt;I$9, I78&gt;(I$9+I$8),$D78&gt;'RV ERU Connections'!$F$38),S77,IF(I78&gt;I$9,((('Rate Projection'!$C$6+(VLOOKUP($B78,'Rate Projection'!$A$11:$G$101,5)))*(I78-I$9)/100)+(VLOOKUP($B78,'Rate Projection'!$A$11:$G$101,3)*'Monthly Revenue-Usage'!I$9/100)),(VLOOKUP($B78,'Rate Projection'!$A$11:$G$101,3)*('Monthly Revenue-Usage'!I78/100))))</f>
        <v>#REF!</v>
      </c>
      <c r="T78" s="52" t="e">
        <f>IF(AND(E78&gt;E$9, E78&gt;(E$9+E$8),$D78&gt;'RV ERU Connections'!$F$38),T77,IF(E78&gt;E$8,((((VLOOKUP($B78,'Rate Projection'!$A$11:$G$101,2)))*(E78-E$8)/100)+(VLOOKUP($B78,'Rate Projection'!$A$11:$G$101,4)*'Monthly Revenue-Usage'!E$8/100)),(VLOOKUP($B78,'Rate Projection'!$A$11:$G$101,4)*('Monthly Revenue-Usage'!E78/100))))</f>
        <v>#REF!</v>
      </c>
      <c r="U78" s="52" t="e">
        <f>IF(AND(F78&gt;F$9, F78&gt;(F$9+F$8),$D78&gt;'RV ERU Connections'!$F$38),U77,IF(F78&gt;F$8,((((VLOOKUP($B78,'Rate Projection'!$A$11:$G$101,3)))*(F78-F$8)/100)+(VLOOKUP($B78,'Rate Projection'!$A$11:$G$101,5)*'Monthly Revenue-Usage'!F$8/100)),(VLOOKUP($B78,'Rate Projection'!$A$11:$G$101,5)*('Monthly Revenue-Usage'!F78/100))))</f>
        <v>#REF!</v>
      </c>
      <c r="V78" s="52" t="e">
        <f>IF(AND(G78&gt;G$9, G78&gt;(G$9+G$8),$D78&gt;'RV ERU Connections'!$F$38),V77,IF(G78&gt;G$8,((((VLOOKUP($B78,'Rate Projection'!$A$11:$G$101,3)))*(G78-G$8)/100)+(VLOOKUP($B78,'Rate Projection'!$A$11:$G$101,5)*'Monthly Revenue-Usage'!G$8/100)),(VLOOKUP($B78,'Rate Projection'!$A$11:$G$101,5)*('Monthly Revenue-Usage'!G78/100))))</f>
        <v>#REF!</v>
      </c>
      <c r="W78" s="52" t="e">
        <f>IF(AND(H78&gt;H$9, H78&gt;(H$9+H$8),$D78&gt;'RV ERU Connections'!$F$38),W77,IF(H78&gt;H$8,((((VLOOKUP($B78,'Rate Projection'!$A$11:$G$101,3)))*(H78-H$8)/100)+(VLOOKUP($B78,'Rate Projection'!$A$11:$G$101,5)*'Monthly Revenue-Usage'!H$8/100)),(VLOOKUP($B78,'Rate Projection'!$A$11:$G$101,5)*('Monthly Revenue-Usage'!H78/100))))</f>
        <v>#REF!</v>
      </c>
      <c r="X78" s="52" t="e">
        <f>IF(AND(I78&gt;I$9, I78&gt;(I$9+I$8),$D78&gt;'RV ERU Connections'!$F$38),X77,IF(I78&gt;I$8,((((VLOOKUP($B78,'Rate Projection'!$A$11:$G$101,3)))*(I78-I$8)/100)+(VLOOKUP($B78,'Rate Projection'!$A$11:$G$101,5)*'Monthly Revenue-Usage'!I$8/100)),(VLOOKUP($B78,'Rate Projection'!$A$11:$G$101,5)*('Monthly Revenue-Usage'!I78/100))))</f>
        <v>#REF!</v>
      </c>
      <c r="Z78" s="53" t="e">
        <f>(-ISPMT('Monthly Revenue-Usage'!$Z$10/12, 1,1*12, Z77)*12)+Z77</f>
        <v>#REF!</v>
      </c>
      <c r="AA78" s="53" t="e">
        <f t="shared" si="15"/>
        <v>#REF!</v>
      </c>
    </row>
    <row r="79" spans="2:27" x14ac:dyDescent="0.3">
      <c r="B79" s="60">
        <f t="shared" si="16"/>
        <v>2077</v>
      </c>
      <c r="C79" s="5" t="e">
        <f t="shared" si="17"/>
        <v>#REF!</v>
      </c>
      <c r="D79" s="5" t="e">
        <f t="shared" si="14"/>
        <v>#REF!</v>
      </c>
      <c r="E79" s="46" t="e">
        <f t="shared" si="9"/>
        <v>#REF!</v>
      </c>
      <c r="F79" s="46" t="e">
        <f t="shared" si="10"/>
        <v>#REF!</v>
      </c>
      <c r="G79" s="46" t="e">
        <f t="shared" si="11"/>
        <v>#REF!</v>
      </c>
      <c r="H79" s="46" t="e">
        <f t="shared" si="12"/>
        <v>#REF!</v>
      </c>
      <c r="I79" s="46" t="e">
        <f t="shared" si="13"/>
        <v>#REF!</v>
      </c>
      <c r="J79" s="53" t="e">
        <f>IF(AND(E79&gt;E$9, $D79&gt;'RV ERU Connections'!$F$37),J78,(VLOOKUP($B79,'Rate Projection'!$A$11:$G$101,2)*(E79/100)))</f>
        <v>#REF!</v>
      </c>
      <c r="K79" s="53" t="e">
        <f>IF(AND(F79&gt;F$9, $D79&gt;'RV ERU Connections'!$F$37),K78,(VLOOKUP($B79,'Rate Projection'!$A$11:$G$101,3)*(F79/100)))</f>
        <v>#REF!</v>
      </c>
      <c r="L79" s="53" t="e">
        <f>IF(AND(G79&gt;G$9, $D79&gt;'RV ERU Connections'!$F$37),L78,(VLOOKUP($B79,'Rate Projection'!$A$11:$G$101,3)*(G79/100)))</f>
        <v>#REF!</v>
      </c>
      <c r="M79" s="53" t="e">
        <f>IF(AND(H79&gt;H$9, $D79&gt;'RV ERU Connections'!$F$37),M78,(VLOOKUP($B79,'Rate Projection'!$A$11:$G$101,3)*(H79/100)))</f>
        <v>#REF!</v>
      </c>
      <c r="N79" s="53" t="e">
        <f>IF(AND(I79&gt;I$9, $D79&gt;'RV ERU Connections'!$F$37),N78,(VLOOKUP($B79,'Rate Projection'!$A$11:$G$101,3)*(I79/100)))</f>
        <v>#REF!</v>
      </c>
      <c r="O79" s="54" t="e">
        <f>IF(AND(E79&gt;E$9, E79&gt;(E$9+E$8),$D79&gt;'RV ERU Connections'!$F$38),O78,IF(E79&gt;E$9,((('Rate Projection'!$C$6+(VLOOKUP($B79,'Rate Projection'!$A$11:$G$101,4)))*(E79-E$9)/100)+(VLOOKUP($B79,'Rate Projection'!$A$11:$G$101,2)*'Monthly Revenue-Usage'!E$9/100)),(VLOOKUP($B79,'Rate Projection'!$A$11:$G$101,2)*('Monthly Revenue-Usage'!E79/100))))</f>
        <v>#REF!</v>
      </c>
      <c r="P79" s="54" t="e">
        <f>IF(AND(F79&gt;F$9, F79&gt;(F$9+F$8),$D79&gt;'RV ERU Connections'!$F$38),P78,IF(F79&gt;F$9,((('Rate Projection'!$C$6+(VLOOKUP($B79,'Rate Projection'!$A$11:$G$101,5)))*(F79-F$9)/100)+(VLOOKUP($B79,'Rate Projection'!$A$11:$G$101,3)*'Monthly Revenue-Usage'!F$9/100)),(VLOOKUP($B79,'Rate Projection'!$A$11:$G$101,3)*('Monthly Revenue-Usage'!F79/100))))</f>
        <v>#REF!</v>
      </c>
      <c r="Q79" s="54" t="e">
        <f>IF(AND(G79&gt;G$9, G79&gt;(G$9+G$8),$D79&gt;'RV ERU Connections'!$F$38),Q78,IF(G79&gt;G$9,((('Rate Projection'!$C$6+(VLOOKUP($B79,'Rate Projection'!$A$11:$G$101,5)))*(G79-G$9)/100)+(VLOOKUP($B79,'Rate Projection'!$A$11:$G$101,3)*'Monthly Revenue-Usage'!G$9/100)),(VLOOKUP($B79,'Rate Projection'!$A$11:$G$101,3)*('Monthly Revenue-Usage'!G79/100))))</f>
        <v>#REF!</v>
      </c>
      <c r="R79" s="54" t="e">
        <f>IF(AND(H79&gt;H$9, H79&gt;(H$9+H$8),$D79&gt;'RV ERU Connections'!$F$38),R78,IF(H79&gt;H$9,((('Rate Projection'!$C$6+(VLOOKUP($B79,'Rate Projection'!$A$11:$G$101,5)))*(H79-H$9)/100)+(VLOOKUP($B79,'Rate Projection'!$A$11:$G$101,3)*'Monthly Revenue-Usage'!H$9/100)),(VLOOKUP($B79,'Rate Projection'!$A$11:$G$101,3)*('Monthly Revenue-Usage'!H79/100))))</f>
        <v>#REF!</v>
      </c>
      <c r="S79" s="54" t="e">
        <f>IF(AND(I79&gt;I$9, I79&gt;(I$9+I$8),$D79&gt;'RV ERU Connections'!$F$38),S78,IF(I79&gt;I$9,((('Rate Projection'!$C$6+(VLOOKUP($B79,'Rate Projection'!$A$11:$G$101,5)))*(I79-I$9)/100)+(VLOOKUP($B79,'Rate Projection'!$A$11:$G$101,3)*'Monthly Revenue-Usage'!I$9/100)),(VLOOKUP($B79,'Rate Projection'!$A$11:$G$101,3)*('Monthly Revenue-Usage'!I79/100))))</f>
        <v>#REF!</v>
      </c>
      <c r="T79" s="52" t="e">
        <f>IF(AND(E79&gt;E$9, E79&gt;(E$9+E$8),$D79&gt;'RV ERU Connections'!$F$38),T78,IF(E79&gt;E$8,((((VLOOKUP($B79,'Rate Projection'!$A$11:$G$101,2)))*(E79-E$8)/100)+(VLOOKUP($B79,'Rate Projection'!$A$11:$G$101,4)*'Monthly Revenue-Usage'!E$8/100)),(VLOOKUP($B79,'Rate Projection'!$A$11:$G$101,4)*('Monthly Revenue-Usage'!E79/100))))</f>
        <v>#REF!</v>
      </c>
      <c r="U79" s="52" t="e">
        <f>IF(AND(F79&gt;F$9, F79&gt;(F$9+F$8),$D79&gt;'RV ERU Connections'!$F$38),U78,IF(F79&gt;F$8,((((VLOOKUP($B79,'Rate Projection'!$A$11:$G$101,3)))*(F79-F$8)/100)+(VLOOKUP($B79,'Rate Projection'!$A$11:$G$101,5)*'Monthly Revenue-Usage'!F$8/100)),(VLOOKUP($B79,'Rate Projection'!$A$11:$G$101,5)*('Monthly Revenue-Usage'!F79/100))))</f>
        <v>#REF!</v>
      </c>
      <c r="V79" s="52" t="e">
        <f>IF(AND(G79&gt;G$9, G79&gt;(G$9+G$8),$D79&gt;'RV ERU Connections'!$F$38),V78,IF(G79&gt;G$8,((((VLOOKUP($B79,'Rate Projection'!$A$11:$G$101,3)))*(G79-G$8)/100)+(VLOOKUP($B79,'Rate Projection'!$A$11:$G$101,5)*'Monthly Revenue-Usage'!G$8/100)),(VLOOKUP($B79,'Rate Projection'!$A$11:$G$101,5)*('Monthly Revenue-Usage'!G79/100))))</f>
        <v>#REF!</v>
      </c>
      <c r="W79" s="52" t="e">
        <f>IF(AND(H79&gt;H$9, H79&gt;(H$9+H$8),$D79&gt;'RV ERU Connections'!$F$38),W78,IF(H79&gt;H$8,((((VLOOKUP($B79,'Rate Projection'!$A$11:$G$101,3)))*(H79-H$8)/100)+(VLOOKUP($B79,'Rate Projection'!$A$11:$G$101,5)*'Monthly Revenue-Usage'!H$8/100)),(VLOOKUP($B79,'Rate Projection'!$A$11:$G$101,5)*('Monthly Revenue-Usage'!H79/100))))</f>
        <v>#REF!</v>
      </c>
      <c r="X79" s="52" t="e">
        <f>IF(AND(I79&gt;I$9, I79&gt;(I$9+I$8),$D79&gt;'RV ERU Connections'!$F$38),X78,IF(I79&gt;I$8,((((VLOOKUP($B79,'Rate Projection'!$A$11:$G$101,3)))*(I79-I$8)/100)+(VLOOKUP($B79,'Rate Projection'!$A$11:$G$101,5)*'Monthly Revenue-Usage'!I$8/100)),(VLOOKUP($B79,'Rate Projection'!$A$11:$G$101,5)*('Monthly Revenue-Usage'!I79/100))))</f>
        <v>#REF!</v>
      </c>
      <c r="Z79" s="53" t="e">
        <f>(-ISPMT('Monthly Revenue-Usage'!$Z$10/12, 1,1*12, Z78)*12)+Z78</f>
        <v>#REF!</v>
      </c>
      <c r="AA79" s="53" t="e">
        <f t="shared" si="15"/>
        <v>#REF!</v>
      </c>
    </row>
    <row r="80" spans="2:27" x14ac:dyDescent="0.3">
      <c r="B80" s="60">
        <f t="shared" si="16"/>
        <v>2078</v>
      </c>
      <c r="C80" s="5" t="e">
        <f t="shared" si="17"/>
        <v>#REF!</v>
      </c>
      <c r="D80" s="5" t="e">
        <f t="shared" si="14"/>
        <v>#REF!</v>
      </c>
      <c r="E80" s="46" t="e">
        <f t="shared" si="9"/>
        <v>#REF!</v>
      </c>
      <c r="F80" s="46" t="e">
        <f t="shared" si="10"/>
        <v>#REF!</v>
      </c>
      <c r="G80" s="46" t="e">
        <f t="shared" si="11"/>
        <v>#REF!</v>
      </c>
      <c r="H80" s="46" t="e">
        <f t="shared" si="12"/>
        <v>#REF!</v>
      </c>
      <c r="I80" s="46" t="e">
        <f t="shared" si="13"/>
        <v>#REF!</v>
      </c>
      <c r="J80" s="53" t="e">
        <f>IF(AND(E80&gt;E$9, $D80&gt;'RV ERU Connections'!$F$37),J79,(VLOOKUP($B80,'Rate Projection'!$A$11:$G$101,2)*(E80/100)))</f>
        <v>#REF!</v>
      </c>
      <c r="K80" s="53" t="e">
        <f>IF(AND(F80&gt;F$9, $D80&gt;'RV ERU Connections'!$F$37),K79,(VLOOKUP($B80,'Rate Projection'!$A$11:$G$101,3)*(F80/100)))</f>
        <v>#REF!</v>
      </c>
      <c r="L80" s="53" t="e">
        <f>IF(AND(G80&gt;G$9, $D80&gt;'RV ERU Connections'!$F$37),L79,(VLOOKUP($B80,'Rate Projection'!$A$11:$G$101,3)*(G80/100)))</f>
        <v>#REF!</v>
      </c>
      <c r="M80" s="53" t="e">
        <f>IF(AND(H80&gt;H$9, $D80&gt;'RV ERU Connections'!$F$37),M79,(VLOOKUP($B80,'Rate Projection'!$A$11:$G$101,3)*(H80/100)))</f>
        <v>#REF!</v>
      </c>
      <c r="N80" s="53" t="e">
        <f>IF(AND(I80&gt;I$9, $D80&gt;'RV ERU Connections'!$F$37),N79,(VLOOKUP($B80,'Rate Projection'!$A$11:$G$101,3)*(I80/100)))</f>
        <v>#REF!</v>
      </c>
      <c r="O80" s="54" t="e">
        <f>IF(AND(E80&gt;E$9, E80&gt;(E$9+E$8),$D80&gt;'RV ERU Connections'!$F$38),O79,IF(E80&gt;E$9,((('Rate Projection'!$C$6+(VLOOKUP($B80,'Rate Projection'!$A$11:$G$101,4)))*(E80-E$9)/100)+(VLOOKUP($B80,'Rate Projection'!$A$11:$G$101,2)*'Monthly Revenue-Usage'!E$9/100)),(VLOOKUP($B80,'Rate Projection'!$A$11:$G$101,2)*('Monthly Revenue-Usage'!E80/100))))</f>
        <v>#REF!</v>
      </c>
      <c r="P80" s="54" t="e">
        <f>IF(AND(F80&gt;F$9, F80&gt;(F$9+F$8),$D80&gt;'RV ERU Connections'!$F$38),P79,IF(F80&gt;F$9,((('Rate Projection'!$C$6+(VLOOKUP($B80,'Rate Projection'!$A$11:$G$101,5)))*(F80-F$9)/100)+(VLOOKUP($B80,'Rate Projection'!$A$11:$G$101,3)*'Monthly Revenue-Usage'!F$9/100)),(VLOOKUP($B80,'Rate Projection'!$A$11:$G$101,3)*('Monthly Revenue-Usage'!F80/100))))</f>
        <v>#REF!</v>
      </c>
      <c r="Q80" s="54" t="e">
        <f>IF(AND(G80&gt;G$9, G80&gt;(G$9+G$8),$D80&gt;'RV ERU Connections'!$F$38),Q79,IF(G80&gt;G$9,((('Rate Projection'!$C$6+(VLOOKUP($B80,'Rate Projection'!$A$11:$G$101,5)))*(G80-G$9)/100)+(VLOOKUP($B80,'Rate Projection'!$A$11:$G$101,3)*'Monthly Revenue-Usage'!G$9/100)),(VLOOKUP($B80,'Rate Projection'!$A$11:$G$101,3)*('Monthly Revenue-Usage'!G80/100))))</f>
        <v>#REF!</v>
      </c>
      <c r="R80" s="54" t="e">
        <f>IF(AND(H80&gt;H$9, H80&gt;(H$9+H$8),$D80&gt;'RV ERU Connections'!$F$38),R79,IF(H80&gt;H$9,((('Rate Projection'!$C$6+(VLOOKUP($B80,'Rate Projection'!$A$11:$G$101,5)))*(H80-H$9)/100)+(VLOOKUP($B80,'Rate Projection'!$A$11:$G$101,3)*'Monthly Revenue-Usage'!H$9/100)),(VLOOKUP($B80,'Rate Projection'!$A$11:$G$101,3)*('Monthly Revenue-Usage'!H80/100))))</f>
        <v>#REF!</v>
      </c>
      <c r="S80" s="54" t="e">
        <f>IF(AND(I80&gt;I$9, I80&gt;(I$9+I$8),$D80&gt;'RV ERU Connections'!$F$38),S79,IF(I80&gt;I$9,((('Rate Projection'!$C$6+(VLOOKUP($B80,'Rate Projection'!$A$11:$G$101,5)))*(I80-I$9)/100)+(VLOOKUP($B80,'Rate Projection'!$A$11:$G$101,3)*'Monthly Revenue-Usage'!I$9/100)),(VLOOKUP($B80,'Rate Projection'!$A$11:$G$101,3)*('Monthly Revenue-Usage'!I80/100))))</f>
        <v>#REF!</v>
      </c>
      <c r="T80" s="52" t="e">
        <f>IF(AND(E80&gt;E$9, E80&gt;(E$9+E$8),$D80&gt;'RV ERU Connections'!$F$38),T79,IF(E80&gt;E$8,((((VLOOKUP($B80,'Rate Projection'!$A$11:$G$101,2)))*(E80-E$8)/100)+(VLOOKUP($B80,'Rate Projection'!$A$11:$G$101,4)*'Monthly Revenue-Usage'!E$8/100)),(VLOOKUP($B80,'Rate Projection'!$A$11:$G$101,4)*('Monthly Revenue-Usage'!E80/100))))</f>
        <v>#REF!</v>
      </c>
      <c r="U80" s="52" t="e">
        <f>IF(AND(F80&gt;F$9, F80&gt;(F$9+F$8),$D80&gt;'RV ERU Connections'!$F$38),U79,IF(F80&gt;F$8,((((VLOOKUP($B80,'Rate Projection'!$A$11:$G$101,3)))*(F80-F$8)/100)+(VLOOKUP($B80,'Rate Projection'!$A$11:$G$101,5)*'Monthly Revenue-Usage'!F$8/100)),(VLOOKUP($B80,'Rate Projection'!$A$11:$G$101,5)*('Monthly Revenue-Usage'!F80/100))))</f>
        <v>#REF!</v>
      </c>
      <c r="V80" s="52" t="e">
        <f>IF(AND(G80&gt;G$9, G80&gt;(G$9+G$8),$D80&gt;'RV ERU Connections'!$F$38),V79,IF(G80&gt;G$8,((((VLOOKUP($B80,'Rate Projection'!$A$11:$G$101,3)))*(G80-G$8)/100)+(VLOOKUP($B80,'Rate Projection'!$A$11:$G$101,5)*'Monthly Revenue-Usage'!G$8/100)),(VLOOKUP($B80,'Rate Projection'!$A$11:$G$101,5)*('Monthly Revenue-Usage'!G80/100))))</f>
        <v>#REF!</v>
      </c>
      <c r="W80" s="52" t="e">
        <f>IF(AND(H80&gt;H$9, H80&gt;(H$9+H$8),$D80&gt;'RV ERU Connections'!$F$38),W79,IF(H80&gt;H$8,((((VLOOKUP($B80,'Rate Projection'!$A$11:$G$101,3)))*(H80-H$8)/100)+(VLOOKUP($B80,'Rate Projection'!$A$11:$G$101,5)*'Monthly Revenue-Usage'!H$8/100)),(VLOOKUP($B80,'Rate Projection'!$A$11:$G$101,5)*('Monthly Revenue-Usage'!H80/100))))</f>
        <v>#REF!</v>
      </c>
      <c r="X80" s="52" t="e">
        <f>IF(AND(I80&gt;I$9, I80&gt;(I$9+I$8),$D80&gt;'RV ERU Connections'!$F$38),X79,IF(I80&gt;I$8,((((VLOOKUP($B80,'Rate Projection'!$A$11:$G$101,3)))*(I80-I$8)/100)+(VLOOKUP($B80,'Rate Projection'!$A$11:$G$101,5)*'Monthly Revenue-Usage'!I$8/100)),(VLOOKUP($B80,'Rate Projection'!$A$11:$G$101,5)*('Monthly Revenue-Usage'!I80/100))))</f>
        <v>#REF!</v>
      </c>
      <c r="Z80" s="53" t="e">
        <f>(-ISPMT('Monthly Revenue-Usage'!$Z$10/12, 1,1*12, Z79)*12)+Z79</f>
        <v>#REF!</v>
      </c>
      <c r="AA80" s="53" t="e">
        <f t="shared" si="15"/>
        <v>#REF!</v>
      </c>
    </row>
    <row r="81" spans="2:27" x14ac:dyDescent="0.3">
      <c r="B81" s="60">
        <f t="shared" si="16"/>
        <v>2079</v>
      </c>
      <c r="C81" s="5" t="e">
        <f t="shared" si="17"/>
        <v>#REF!</v>
      </c>
      <c r="D81" s="5" t="e">
        <f t="shared" si="14"/>
        <v>#REF!</v>
      </c>
      <c r="E81" s="46" t="e">
        <f t="shared" si="9"/>
        <v>#REF!</v>
      </c>
      <c r="F81" s="46" t="e">
        <f t="shared" si="10"/>
        <v>#REF!</v>
      </c>
      <c r="G81" s="46" t="e">
        <f t="shared" si="11"/>
        <v>#REF!</v>
      </c>
      <c r="H81" s="46" t="e">
        <f t="shared" si="12"/>
        <v>#REF!</v>
      </c>
      <c r="I81" s="46" t="e">
        <f t="shared" si="13"/>
        <v>#REF!</v>
      </c>
      <c r="J81" s="53" t="e">
        <f>IF(AND(E81&gt;E$9, $D81&gt;'RV ERU Connections'!$F$37),J80,(VLOOKUP($B81,'Rate Projection'!$A$11:$G$101,2)*(E81/100)))</f>
        <v>#REF!</v>
      </c>
      <c r="K81" s="53" t="e">
        <f>IF(AND(F81&gt;F$9, $D81&gt;'RV ERU Connections'!$F$37),K80,(VLOOKUP($B81,'Rate Projection'!$A$11:$G$101,3)*(F81/100)))</f>
        <v>#REF!</v>
      </c>
      <c r="L81" s="53" t="e">
        <f>IF(AND(G81&gt;G$9, $D81&gt;'RV ERU Connections'!$F$37),L80,(VLOOKUP($B81,'Rate Projection'!$A$11:$G$101,3)*(G81/100)))</f>
        <v>#REF!</v>
      </c>
      <c r="M81" s="53" t="e">
        <f>IF(AND(H81&gt;H$9, $D81&gt;'RV ERU Connections'!$F$37),M80,(VLOOKUP($B81,'Rate Projection'!$A$11:$G$101,3)*(H81/100)))</f>
        <v>#REF!</v>
      </c>
      <c r="N81" s="53" t="e">
        <f>IF(AND(I81&gt;I$9, $D81&gt;'RV ERU Connections'!$F$37),N80,(VLOOKUP($B81,'Rate Projection'!$A$11:$G$101,3)*(I81/100)))</f>
        <v>#REF!</v>
      </c>
      <c r="O81" s="54" t="e">
        <f>IF(AND(E81&gt;E$9, E81&gt;(E$9+E$8),$D81&gt;'RV ERU Connections'!$F$38),O80,IF(E81&gt;E$9,((('Rate Projection'!$C$6+(VLOOKUP($B81,'Rate Projection'!$A$11:$G$101,4)))*(E81-E$9)/100)+(VLOOKUP($B81,'Rate Projection'!$A$11:$G$101,2)*'Monthly Revenue-Usage'!E$9/100)),(VLOOKUP($B81,'Rate Projection'!$A$11:$G$101,2)*('Monthly Revenue-Usage'!E81/100))))</f>
        <v>#REF!</v>
      </c>
      <c r="P81" s="54" t="e">
        <f>IF(AND(F81&gt;F$9, F81&gt;(F$9+F$8),$D81&gt;'RV ERU Connections'!$F$38),P80,IF(F81&gt;F$9,((('Rate Projection'!$C$6+(VLOOKUP($B81,'Rate Projection'!$A$11:$G$101,5)))*(F81-F$9)/100)+(VLOOKUP($B81,'Rate Projection'!$A$11:$G$101,3)*'Monthly Revenue-Usage'!F$9/100)),(VLOOKUP($B81,'Rate Projection'!$A$11:$G$101,3)*('Monthly Revenue-Usage'!F81/100))))</f>
        <v>#REF!</v>
      </c>
      <c r="Q81" s="54" t="e">
        <f>IF(AND(G81&gt;G$9, G81&gt;(G$9+G$8),$D81&gt;'RV ERU Connections'!$F$38),Q80,IF(G81&gt;G$9,((('Rate Projection'!$C$6+(VLOOKUP($B81,'Rate Projection'!$A$11:$G$101,5)))*(G81-G$9)/100)+(VLOOKUP($B81,'Rate Projection'!$A$11:$G$101,3)*'Monthly Revenue-Usage'!G$9/100)),(VLOOKUP($B81,'Rate Projection'!$A$11:$G$101,3)*('Monthly Revenue-Usage'!G81/100))))</f>
        <v>#REF!</v>
      </c>
      <c r="R81" s="54" t="e">
        <f>IF(AND(H81&gt;H$9, H81&gt;(H$9+H$8),$D81&gt;'RV ERU Connections'!$F$38),R80,IF(H81&gt;H$9,((('Rate Projection'!$C$6+(VLOOKUP($B81,'Rate Projection'!$A$11:$G$101,5)))*(H81-H$9)/100)+(VLOOKUP($B81,'Rate Projection'!$A$11:$G$101,3)*'Monthly Revenue-Usage'!H$9/100)),(VLOOKUP($B81,'Rate Projection'!$A$11:$G$101,3)*('Monthly Revenue-Usage'!H81/100))))</f>
        <v>#REF!</v>
      </c>
      <c r="S81" s="54" t="e">
        <f>IF(AND(I81&gt;I$9, I81&gt;(I$9+I$8),$D81&gt;'RV ERU Connections'!$F$38),S80,IF(I81&gt;I$9,((('Rate Projection'!$C$6+(VLOOKUP($B81,'Rate Projection'!$A$11:$G$101,5)))*(I81-I$9)/100)+(VLOOKUP($B81,'Rate Projection'!$A$11:$G$101,3)*'Monthly Revenue-Usage'!I$9/100)),(VLOOKUP($B81,'Rate Projection'!$A$11:$G$101,3)*('Monthly Revenue-Usage'!I81/100))))</f>
        <v>#REF!</v>
      </c>
      <c r="T81" s="52" t="e">
        <f>IF(AND(E81&gt;E$9, E81&gt;(E$9+E$8),$D81&gt;'RV ERU Connections'!$F$38),T80,IF(E81&gt;E$8,((((VLOOKUP($B81,'Rate Projection'!$A$11:$G$101,2)))*(E81-E$8)/100)+(VLOOKUP($B81,'Rate Projection'!$A$11:$G$101,4)*'Monthly Revenue-Usage'!E$8/100)),(VLOOKUP($B81,'Rate Projection'!$A$11:$G$101,4)*('Monthly Revenue-Usage'!E81/100))))</f>
        <v>#REF!</v>
      </c>
      <c r="U81" s="52" t="e">
        <f>IF(AND(F81&gt;F$9, F81&gt;(F$9+F$8),$D81&gt;'RV ERU Connections'!$F$38),U80,IF(F81&gt;F$8,((((VLOOKUP($B81,'Rate Projection'!$A$11:$G$101,3)))*(F81-F$8)/100)+(VLOOKUP($B81,'Rate Projection'!$A$11:$G$101,5)*'Monthly Revenue-Usage'!F$8/100)),(VLOOKUP($B81,'Rate Projection'!$A$11:$G$101,5)*('Monthly Revenue-Usage'!F81/100))))</f>
        <v>#REF!</v>
      </c>
      <c r="V81" s="52" t="e">
        <f>IF(AND(G81&gt;G$9, G81&gt;(G$9+G$8),$D81&gt;'RV ERU Connections'!$F$38),V80,IF(G81&gt;G$8,((((VLOOKUP($B81,'Rate Projection'!$A$11:$G$101,3)))*(G81-G$8)/100)+(VLOOKUP($B81,'Rate Projection'!$A$11:$G$101,5)*'Monthly Revenue-Usage'!G$8/100)),(VLOOKUP($B81,'Rate Projection'!$A$11:$G$101,5)*('Monthly Revenue-Usage'!G81/100))))</f>
        <v>#REF!</v>
      </c>
      <c r="W81" s="52" t="e">
        <f>IF(AND(H81&gt;H$9, H81&gt;(H$9+H$8),$D81&gt;'RV ERU Connections'!$F$38),W80,IF(H81&gt;H$8,((((VLOOKUP($B81,'Rate Projection'!$A$11:$G$101,3)))*(H81-H$8)/100)+(VLOOKUP($B81,'Rate Projection'!$A$11:$G$101,5)*'Monthly Revenue-Usage'!H$8/100)),(VLOOKUP($B81,'Rate Projection'!$A$11:$G$101,5)*('Monthly Revenue-Usage'!H81/100))))</f>
        <v>#REF!</v>
      </c>
      <c r="X81" s="52" t="e">
        <f>IF(AND(I81&gt;I$9, I81&gt;(I$9+I$8),$D81&gt;'RV ERU Connections'!$F$38),X80,IF(I81&gt;I$8,((((VLOOKUP($B81,'Rate Projection'!$A$11:$G$101,3)))*(I81-I$8)/100)+(VLOOKUP($B81,'Rate Projection'!$A$11:$G$101,5)*'Monthly Revenue-Usage'!I$8/100)),(VLOOKUP($B81,'Rate Projection'!$A$11:$G$101,5)*('Monthly Revenue-Usage'!I81/100))))</f>
        <v>#REF!</v>
      </c>
      <c r="Z81" s="53" t="e">
        <f>(-ISPMT('Monthly Revenue-Usage'!$Z$10/12, 1,1*12, Z80)*12)+Z80</f>
        <v>#REF!</v>
      </c>
      <c r="AA81" s="53" t="e">
        <f t="shared" si="15"/>
        <v>#REF!</v>
      </c>
    </row>
    <row r="82" spans="2:27" x14ac:dyDescent="0.3">
      <c r="B82" s="60">
        <f t="shared" si="16"/>
        <v>2080</v>
      </c>
      <c r="C82" s="5" t="e">
        <f t="shared" si="17"/>
        <v>#REF!</v>
      </c>
      <c r="D82" s="5" t="e">
        <f t="shared" si="14"/>
        <v>#REF!</v>
      </c>
      <c r="E82" s="46" t="e">
        <f t="shared" si="9"/>
        <v>#REF!</v>
      </c>
      <c r="F82" s="46" t="e">
        <f t="shared" si="10"/>
        <v>#REF!</v>
      </c>
      <c r="G82" s="46" t="e">
        <f t="shared" si="11"/>
        <v>#REF!</v>
      </c>
      <c r="H82" s="46" t="e">
        <f t="shared" si="12"/>
        <v>#REF!</v>
      </c>
      <c r="I82" s="46" t="e">
        <f t="shared" si="13"/>
        <v>#REF!</v>
      </c>
      <c r="J82" s="53" t="e">
        <f>IF(AND(E82&gt;E$9, $D82&gt;'RV ERU Connections'!$F$37),J81,(VLOOKUP($B82,'Rate Projection'!$A$11:$G$101,2)*(E82/100)))</f>
        <v>#REF!</v>
      </c>
      <c r="K82" s="53" t="e">
        <f>IF(AND(F82&gt;F$9, $D82&gt;'RV ERU Connections'!$F$37),K81,(VLOOKUP($B82,'Rate Projection'!$A$11:$G$101,3)*(F82/100)))</f>
        <v>#REF!</v>
      </c>
      <c r="L82" s="53" t="e">
        <f>IF(AND(G82&gt;G$9, $D82&gt;'RV ERU Connections'!$F$37),L81,(VLOOKUP($B82,'Rate Projection'!$A$11:$G$101,3)*(G82/100)))</f>
        <v>#REF!</v>
      </c>
      <c r="M82" s="53" t="e">
        <f>IF(AND(H82&gt;H$9, $D82&gt;'RV ERU Connections'!$F$37),M81,(VLOOKUP($B82,'Rate Projection'!$A$11:$G$101,3)*(H82/100)))</f>
        <v>#REF!</v>
      </c>
      <c r="N82" s="53" t="e">
        <f>IF(AND(I82&gt;I$9, $D82&gt;'RV ERU Connections'!$F$37),N81,(VLOOKUP($B82,'Rate Projection'!$A$11:$G$101,3)*(I82/100)))</f>
        <v>#REF!</v>
      </c>
      <c r="O82" s="54" t="e">
        <f>IF(AND(E82&gt;E$9, E82&gt;(E$9+E$8),$D82&gt;'RV ERU Connections'!$F$38),O81,IF(E82&gt;E$9,((('Rate Projection'!$C$6+(VLOOKUP($B82,'Rate Projection'!$A$11:$G$101,4)))*(E82-E$9)/100)+(VLOOKUP($B82,'Rate Projection'!$A$11:$G$101,2)*'Monthly Revenue-Usage'!E$9/100)),(VLOOKUP($B82,'Rate Projection'!$A$11:$G$101,2)*('Monthly Revenue-Usage'!E82/100))))</f>
        <v>#REF!</v>
      </c>
      <c r="P82" s="54" t="e">
        <f>IF(AND(F82&gt;F$9, F82&gt;(F$9+F$8),$D82&gt;'RV ERU Connections'!$F$38),P81,IF(F82&gt;F$9,((('Rate Projection'!$C$6+(VLOOKUP($B82,'Rate Projection'!$A$11:$G$101,5)))*(F82-F$9)/100)+(VLOOKUP($B82,'Rate Projection'!$A$11:$G$101,3)*'Monthly Revenue-Usage'!F$9/100)),(VLOOKUP($B82,'Rate Projection'!$A$11:$G$101,3)*('Monthly Revenue-Usage'!F82/100))))</f>
        <v>#REF!</v>
      </c>
      <c r="Q82" s="54" t="e">
        <f>IF(AND(G82&gt;G$9, G82&gt;(G$9+G$8),$D82&gt;'RV ERU Connections'!$F$38),Q81,IF(G82&gt;G$9,((('Rate Projection'!$C$6+(VLOOKUP($B82,'Rate Projection'!$A$11:$G$101,5)))*(G82-G$9)/100)+(VLOOKUP($B82,'Rate Projection'!$A$11:$G$101,3)*'Monthly Revenue-Usage'!G$9/100)),(VLOOKUP($B82,'Rate Projection'!$A$11:$G$101,3)*('Monthly Revenue-Usage'!G82/100))))</f>
        <v>#REF!</v>
      </c>
      <c r="R82" s="54" t="e">
        <f>IF(AND(H82&gt;H$9, H82&gt;(H$9+H$8),$D82&gt;'RV ERU Connections'!$F$38),R81,IF(H82&gt;H$9,((('Rate Projection'!$C$6+(VLOOKUP($B82,'Rate Projection'!$A$11:$G$101,5)))*(H82-H$9)/100)+(VLOOKUP($B82,'Rate Projection'!$A$11:$G$101,3)*'Monthly Revenue-Usage'!H$9/100)),(VLOOKUP($B82,'Rate Projection'!$A$11:$G$101,3)*('Monthly Revenue-Usage'!H82/100))))</f>
        <v>#REF!</v>
      </c>
      <c r="S82" s="54" t="e">
        <f>IF(AND(I82&gt;I$9, I82&gt;(I$9+I$8),$D82&gt;'RV ERU Connections'!$F$38),S81,IF(I82&gt;I$9,((('Rate Projection'!$C$6+(VLOOKUP($B82,'Rate Projection'!$A$11:$G$101,5)))*(I82-I$9)/100)+(VLOOKUP($B82,'Rate Projection'!$A$11:$G$101,3)*'Monthly Revenue-Usage'!I$9/100)),(VLOOKUP($B82,'Rate Projection'!$A$11:$G$101,3)*('Monthly Revenue-Usage'!I82/100))))</f>
        <v>#REF!</v>
      </c>
      <c r="T82" s="52" t="e">
        <f>IF(AND(E82&gt;E$9, E82&gt;(E$9+E$8),$D82&gt;'RV ERU Connections'!$F$38),T81,IF(E82&gt;E$8,((((VLOOKUP($B82,'Rate Projection'!$A$11:$G$101,2)))*(E82-E$8)/100)+(VLOOKUP($B82,'Rate Projection'!$A$11:$G$101,4)*'Monthly Revenue-Usage'!E$8/100)),(VLOOKUP($B82,'Rate Projection'!$A$11:$G$101,4)*('Monthly Revenue-Usage'!E82/100))))</f>
        <v>#REF!</v>
      </c>
      <c r="U82" s="52" t="e">
        <f>IF(AND(F82&gt;F$9, F82&gt;(F$9+F$8),$D82&gt;'RV ERU Connections'!$F$38),U81,IF(F82&gt;F$8,((((VLOOKUP($B82,'Rate Projection'!$A$11:$G$101,3)))*(F82-F$8)/100)+(VLOOKUP($B82,'Rate Projection'!$A$11:$G$101,5)*'Monthly Revenue-Usage'!F$8/100)),(VLOOKUP($B82,'Rate Projection'!$A$11:$G$101,5)*('Monthly Revenue-Usage'!F82/100))))</f>
        <v>#REF!</v>
      </c>
      <c r="V82" s="52" t="e">
        <f>IF(AND(G82&gt;G$9, G82&gt;(G$9+G$8),$D82&gt;'RV ERU Connections'!$F$38),V81,IF(G82&gt;G$8,((((VLOOKUP($B82,'Rate Projection'!$A$11:$G$101,3)))*(G82-G$8)/100)+(VLOOKUP($B82,'Rate Projection'!$A$11:$G$101,5)*'Monthly Revenue-Usage'!G$8/100)),(VLOOKUP($B82,'Rate Projection'!$A$11:$G$101,5)*('Monthly Revenue-Usage'!G82/100))))</f>
        <v>#REF!</v>
      </c>
      <c r="W82" s="52" t="e">
        <f>IF(AND(H82&gt;H$9, H82&gt;(H$9+H$8),$D82&gt;'RV ERU Connections'!$F$38),W81,IF(H82&gt;H$8,((((VLOOKUP($B82,'Rate Projection'!$A$11:$G$101,3)))*(H82-H$8)/100)+(VLOOKUP($B82,'Rate Projection'!$A$11:$G$101,5)*'Monthly Revenue-Usage'!H$8/100)),(VLOOKUP($B82,'Rate Projection'!$A$11:$G$101,5)*('Monthly Revenue-Usage'!H82/100))))</f>
        <v>#REF!</v>
      </c>
      <c r="X82" s="52" t="e">
        <f>IF(AND(I82&gt;I$9, I82&gt;(I$9+I$8),$D82&gt;'RV ERU Connections'!$F$38),X81,IF(I82&gt;I$8,((((VLOOKUP($B82,'Rate Projection'!$A$11:$G$101,3)))*(I82-I$8)/100)+(VLOOKUP($B82,'Rate Projection'!$A$11:$G$101,5)*'Monthly Revenue-Usage'!I$8/100)),(VLOOKUP($B82,'Rate Projection'!$A$11:$G$101,5)*('Monthly Revenue-Usage'!I82/100))))</f>
        <v>#REF!</v>
      </c>
      <c r="Z82" s="53" t="e">
        <f>(-ISPMT('Monthly Revenue-Usage'!$Z$10/12, 1,1*12, Z81)*12)+Z81</f>
        <v>#REF!</v>
      </c>
      <c r="AA82" s="53" t="e">
        <f t="shared" si="15"/>
        <v>#REF!</v>
      </c>
    </row>
    <row r="83" spans="2:27" x14ac:dyDescent="0.3">
      <c r="B83" s="59">
        <f t="shared" si="16"/>
        <v>2081</v>
      </c>
      <c r="C83" s="5" t="e">
        <f t="shared" si="17"/>
        <v>#REF!</v>
      </c>
      <c r="D83" s="5" t="e">
        <f t="shared" si="14"/>
        <v>#REF!</v>
      </c>
      <c r="E83" s="46" t="e">
        <f t="shared" si="9"/>
        <v>#REF!</v>
      </c>
      <c r="F83" s="46" t="e">
        <f t="shared" si="10"/>
        <v>#REF!</v>
      </c>
      <c r="G83" s="46" t="e">
        <f t="shared" si="11"/>
        <v>#REF!</v>
      </c>
      <c r="H83" s="46" t="e">
        <f t="shared" si="12"/>
        <v>#REF!</v>
      </c>
      <c r="I83" s="46" t="e">
        <f t="shared" si="13"/>
        <v>#REF!</v>
      </c>
      <c r="J83" s="53" t="e">
        <f>IF(AND(E83&gt;E$9, $D83&gt;'RV ERU Connections'!$F$37),J82,(VLOOKUP($B83,'Rate Projection'!$A$11:$G$101,2)*(E83/100)))</f>
        <v>#REF!</v>
      </c>
      <c r="K83" s="53" t="e">
        <f>IF(AND(F83&gt;F$9, $D83&gt;'RV ERU Connections'!$F$37),K82,(VLOOKUP($B83,'Rate Projection'!$A$11:$G$101,3)*(F83/100)))</f>
        <v>#REF!</v>
      </c>
      <c r="L83" s="53" t="e">
        <f>IF(AND(G83&gt;G$9, $D83&gt;'RV ERU Connections'!$F$37),L82,(VLOOKUP($B83,'Rate Projection'!$A$11:$G$101,3)*(G83/100)))</f>
        <v>#REF!</v>
      </c>
      <c r="M83" s="53" t="e">
        <f>IF(AND(H83&gt;H$9, $D83&gt;'RV ERU Connections'!$F$37),M82,(VLOOKUP($B83,'Rate Projection'!$A$11:$G$101,3)*(H83/100)))</f>
        <v>#REF!</v>
      </c>
      <c r="N83" s="53" t="e">
        <f>IF(AND(I83&gt;I$9, $D83&gt;'RV ERU Connections'!$F$37),N82,(VLOOKUP($B83,'Rate Projection'!$A$11:$G$101,3)*(I83/100)))</f>
        <v>#REF!</v>
      </c>
      <c r="O83" s="54" t="e">
        <f>IF(AND(E83&gt;E$9, E83&gt;(E$9+E$8),$D83&gt;'RV ERU Connections'!$F$38),O82,IF(E83&gt;E$9,((('Rate Projection'!$C$6+(VLOOKUP($B83,'Rate Projection'!$A$11:$G$101,4)))*(E83-E$9)/100)+(VLOOKUP($B83,'Rate Projection'!$A$11:$G$101,2)*'Monthly Revenue-Usage'!E$9/100)),(VLOOKUP($B83,'Rate Projection'!$A$11:$G$101,2)*('Monthly Revenue-Usage'!E83/100))))</f>
        <v>#REF!</v>
      </c>
      <c r="P83" s="54" t="e">
        <f>IF(AND(F83&gt;F$9, F83&gt;(F$9+F$8),$D83&gt;'RV ERU Connections'!$F$38),P82,IF(F83&gt;F$9,((('Rate Projection'!$C$6+(VLOOKUP($B83,'Rate Projection'!$A$11:$G$101,5)))*(F83-F$9)/100)+(VLOOKUP($B83,'Rate Projection'!$A$11:$G$101,3)*'Monthly Revenue-Usage'!F$9/100)),(VLOOKUP($B83,'Rate Projection'!$A$11:$G$101,3)*('Monthly Revenue-Usage'!F83/100))))</f>
        <v>#REF!</v>
      </c>
      <c r="Q83" s="54" t="e">
        <f>IF(AND(G83&gt;G$9, G83&gt;(G$9+G$8),$D83&gt;'RV ERU Connections'!$F$38),Q82,IF(G83&gt;G$9,((('Rate Projection'!$C$6+(VLOOKUP($B83,'Rate Projection'!$A$11:$G$101,5)))*(G83-G$9)/100)+(VLOOKUP($B83,'Rate Projection'!$A$11:$G$101,3)*'Monthly Revenue-Usage'!G$9/100)),(VLOOKUP($B83,'Rate Projection'!$A$11:$G$101,3)*('Monthly Revenue-Usage'!G83/100))))</f>
        <v>#REF!</v>
      </c>
      <c r="R83" s="54" t="e">
        <f>IF(AND(H83&gt;H$9, H83&gt;(H$9+H$8),$D83&gt;'RV ERU Connections'!$F$38),R82,IF(H83&gt;H$9,((('Rate Projection'!$C$6+(VLOOKUP($B83,'Rate Projection'!$A$11:$G$101,5)))*(H83-H$9)/100)+(VLOOKUP($B83,'Rate Projection'!$A$11:$G$101,3)*'Monthly Revenue-Usage'!H$9/100)),(VLOOKUP($B83,'Rate Projection'!$A$11:$G$101,3)*('Monthly Revenue-Usage'!H83/100))))</f>
        <v>#REF!</v>
      </c>
      <c r="S83" s="54" t="e">
        <f>IF(AND(I83&gt;I$9, I83&gt;(I$9+I$8),$D83&gt;'RV ERU Connections'!$F$38),S82,IF(I83&gt;I$9,((('Rate Projection'!$C$6+(VLOOKUP($B83,'Rate Projection'!$A$11:$G$101,5)))*(I83-I$9)/100)+(VLOOKUP($B83,'Rate Projection'!$A$11:$G$101,3)*'Monthly Revenue-Usage'!I$9/100)),(VLOOKUP($B83,'Rate Projection'!$A$11:$G$101,3)*('Monthly Revenue-Usage'!I83/100))))</f>
        <v>#REF!</v>
      </c>
      <c r="T83" s="52" t="e">
        <f>IF(AND(E83&gt;E$9, E83&gt;(E$9+E$8),$D83&gt;'RV ERU Connections'!$F$38),T82,IF(E83&gt;E$8,((((VLOOKUP($B83,'Rate Projection'!$A$11:$G$101,2)))*(E83-E$8)/100)+(VLOOKUP($B83,'Rate Projection'!$A$11:$G$101,4)*'Monthly Revenue-Usage'!E$8/100)),(VLOOKUP($B83,'Rate Projection'!$A$11:$G$101,4)*('Monthly Revenue-Usage'!E83/100))))</f>
        <v>#REF!</v>
      </c>
      <c r="U83" s="52" t="e">
        <f>IF(AND(F83&gt;F$9, F83&gt;(F$9+F$8),$D83&gt;'RV ERU Connections'!$F$38),U82,IF(F83&gt;F$8,((((VLOOKUP($B83,'Rate Projection'!$A$11:$G$101,3)))*(F83-F$8)/100)+(VLOOKUP($B83,'Rate Projection'!$A$11:$G$101,5)*'Monthly Revenue-Usage'!F$8/100)),(VLOOKUP($B83,'Rate Projection'!$A$11:$G$101,5)*('Monthly Revenue-Usage'!F83/100))))</f>
        <v>#REF!</v>
      </c>
      <c r="V83" s="52" t="e">
        <f>IF(AND(G83&gt;G$9, G83&gt;(G$9+G$8),$D83&gt;'RV ERU Connections'!$F$38),V82,IF(G83&gt;G$8,((((VLOOKUP($B83,'Rate Projection'!$A$11:$G$101,3)))*(G83-G$8)/100)+(VLOOKUP($B83,'Rate Projection'!$A$11:$G$101,5)*'Monthly Revenue-Usage'!G$8/100)),(VLOOKUP($B83,'Rate Projection'!$A$11:$G$101,5)*('Monthly Revenue-Usage'!G83/100))))</f>
        <v>#REF!</v>
      </c>
      <c r="W83" s="52" t="e">
        <f>IF(AND(H83&gt;H$9, H83&gt;(H$9+H$8),$D83&gt;'RV ERU Connections'!$F$38),W82,IF(H83&gt;H$8,((((VLOOKUP($B83,'Rate Projection'!$A$11:$G$101,3)))*(H83-H$8)/100)+(VLOOKUP($B83,'Rate Projection'!$A$11:$G$101,5)*'Monthly Revenue-Usage'!H$8/100)),(VLOOKUP($B83,'Rate Projection'!$A$11:$G$101,5)*('Monthly Revenue-Usage'!H83/100))))</f>
        <v>#REF!</v>
      </c>
      <c r="X83" s="52" t="e">
        <f>IF(AND(I83&gt;I$9, I83&gt;(I$9+I$8),$D83&gt;'RV ERU Connections'!$F$38),X82,IF(I83&gt;I$8,((((VLOOKUP($B83,'Rate Projection'!$A$11:$G$101,3)))*(I83-I$8)/100)+(VLOOKUP($B83,'Rate Projection'!$A$11:$G$101,5)*'Monthly Revenue-Usage'!I$8/100)),(VLOOKUP($B83,'Rate Projection'!$A$11:$G$101,5)*('Monthly Revenue-Usage'!I83/100))))</f>
        <v>#REF!</v>
      </c>
      <c r="Z83" s="53" t="e">
        <f>(-ISPMT('Monthly Revenue-Usage'!$Z$10/12, 1,1*12, Z82)*12)+Z82</f>
        <v>#REF!</v>
      </c>
      <c r="AA83" s="53" t="e">
        <f t="shared" si="15"/>
        <v>#REF!</v>
      </c>
    </row>
    <row r="84" spans="2:27" x14ac:dyDescent="0.3">
      <c r="B84" s="59">
        <f t="shared" si="16"/>
        <v>2082</v>
      </c>
      <c r="C84" s="5" t="e">
        <f t="shared" si="17"/>
        <v>#REF!</v>
      </c>
      <c r="D84" s="5" t="e">
        <f t="shared" si="14"/>
        <v>#REF!</v>
      </c>
      <c r="E84" s="46" t="e">
        <f t="shared" si="9"/>
        <v>#REF!</v>
      </c>
      <c r="F84" s="46" t="e">
        <f t="shared" si="10"/>
        <v>#REF!</v>
      </c>
      <c r="G84" s="46" t="e">
        <f t="shared" si="11"/>
        <v>#REF!</v>
      </c>
      <c r="H84" s="46" t="e">
        <f t="shared" si="12"/>
        <v>#REF!</v>
      </c>
      <c r="I84" s="46" t="e">
        <f t="shared" si="13"/>
        <v>#REF!</v>
      </c>
      <c r="J84" s="53" t="e">
        <f>IF(AND(E84&gt;E$9, $D84&gt;'RV ERU Connections'!$F$37),J83,(VLOOKUP($B84,'Rate Projection'!$A$11:$G$101,2)*(E84/100)))</f>
        <v>#REF!</v>
      </c>
      <c r="K84" s="53" t="e">
        <f>IF(AND(F84&gt;F$9, $D84&gt;'RV ERU Connections'!$F$37),K83,(VLOOKUP($B84,'Rate Projection'!$A$11:$G$101,3)*(F84/100)))</f>
        <v>#REF!</v>
      </c>
      <c r="L84" s="53" t="e">
        <f>IF(AND(G84&gt;G$9, $D84&gt;'RV ERU Connections'!$F$37),L83,(VLOOKUP($B84,'Rate Projection'!$A$11:$G$101,3)*(G84/100)))</f>
        <v>#REF!</v>
      </c>
      <c r="M84" s="53" t="e">
        <f>IF(AND(H84&gt;H$9, $D84&gt;'RV ERU Connections'!$F$37),M83,(VLOOKUP($B84,'Rate Projection'!$A$11:$G$101,3)*(H84/100)))</f>
        <v>#REF!</v>
      </c>
      <c r="N84" s="53" t="e">
        <f>IF(AND(I84&gt;I$9, $D84&gt;'RV ERU Connections'!$F$37),N83,(VLOOKUP($B84,'Rate Projection'!$A$11:$G$101,3)*(I84/100)))</f>
        <v>#REF!</v>
      </c>
      <c r="O84" s="54" t="e">
        <f>IF(AND(E84&gt;E$9, E84&gt;(E$9+E$8),$D84&gt;'RV ERU Connections'!$F$38),O83,IF(E84&gt;E$9,((('Rate Projection'!$C$6+(VLOOKUP($B84,'Rate Projection'!$A$11:$G$101,4)))*(E84-E$9)/100)+(VLOOKUP($B84,'Rate Projection'!$A$11:$G$101,2)*'Monthly Revenue-Usage'!E$9/100)),(VLOOKUP($B84,'Rate Projection'!$A$11:$G$101,2)*('Monthly Revenue-Usage'!E84/100))))</f>
        <v>#REF!</v>
      </c>
      <c r="P84" s="54" t="e">
        <f>IF(AND(F84&gt;F$9, F84&gt;(F$9+F$8),$D84&gt;'RV ERU Connections'!$F$38),P83,IF(F84&gt;F$9,((('Rate Projection'!$C$6+(VLOOKUP($B84,'Rate Projection'!$A$11:$G$101,5)))*(F84-F$9)/100)+(VLOOKUP($B84,'Rate Projection'!$A$11:$G$101,3)*'Monthly Revenue-Usage'!F$9/100)),(VLOOKUP($B84,'Rate Projection'!$A$11:$G$101,3)*('Monthly Revenue-Usage'!F84/100))))</f>
        <v>#REF!</v>
      </c>
      <c r="Q84" s="54" t="e">
        <f>IF(AND(G84&gt;G$9, G84&gt;(G$9+G$8),$D84&gt;'RV ERU Connections'!$F$38),Q83,IF(G84&gt;G$9,((('Rate Projection'!$C$6+(VLOOKUP($B84,'Rate Projection'!$A$11:$G$101,5)))*(G84-G$9)/100)+(VLOOKUP($B84,'Rate Projection'!$A$11:$G$101,3)*'Monthly Revenue-Usage'!G$9/100)),(VLOOKUP($B84,'Rate Projection'!$A$11:$G$101,3)*('Monthly Revenue-Usage'!G84/100))))</f>
        <v>#REF!</v>
      </c>
      <c r="R84" s="54" t="e">
        <f>IF(AND(H84&gt;H$9, H84&gt;(H$9+H$8),$D84&gt;'RV ERU Connections'!$F$38),R83,IF(H84&gt;H$9,((('Rate Projection'!$C$6+(VLOOKUP($B84,'Rate Projection'!$A$11:$G$101,5)))*(H84-H$9)/100)+(VLOOKUP($B84,'Rate Projection'!$A$11:$G$101,3)*'Monthly Revenue-Usage'!H$9/100)),(VLOOKUP($B84,'Rate Projection'!$A$11:$G$101,3)*('Monthly Revenue-Usage'!H84/100))))</f>
        <v>#REF!</v>
      </c>
      <c r="S84" s="54" t="e">
        <f>IF(AND(I84&gt;I$9, I84&gt;(I$9+I$8),$D84&gt;'RV ERU Connections'!$F$38),S83,IF(I84&gt;I$9,((('Rate Projection'!$C$6+(VLOOKUP($B84,'Rate Projection'!$A$11:$G$101,5)))*(I84-I$9)/100)+(VLOOKUP($B84,'Rate Projection'!$A$11:$G$101,3)*'Monthly Revenue-Usage'!I$9/100)),(VLOOKUP($B84,'Rate Projection'!$A$11:$G$101,3)*('Monthly Revenue-Usage'!I84/100))))</f>
        <v>#REF!</v>
      </c>
      <c r="T84" s="52" t="e">
        <f>IF(AND(E84&gt;E$9, E84&gt;(E$9+E$8),$D84&gt;'RV ERU Connections'!$F$38),T83,IF(E84&gt;E$8,((((VLOOKUP($B84,'Rate Projection'!$A$11:$G$101,2)))*(E84-E$8)/100)+(VLOOKUP($B84,'Rate Projection'!$A$11:$G$101,4)*'Monthly Revenue-Usage'!E$8/100)),(VLOOKUP($B84,'Rate Projection'!$A$11:$G$101,4)*('Monthly Revenue-Usage'!E84/100))))</f>
        <v>#REF!</v>
      </c>
      <c r="U84" s="52" t="e">
        <f>IF(AND(F84&gt;F$9, F84&gt;(F$9+F$8),$D84&gt;'RV ERU Connections'!$F$38),U83,IF(F84&gt;F$8,((((VLOOKUP($B84,'Rate Projection'!$A$11:$G$101,3)))*(F84-F$8)/100)+(VLOOKUP($B84,'Rate Projection'!$A$11:$G$101,5)*'Monthly Revenue-Usage'!F$8/100)),(VLOOKUP($B84,'Rate Projection'!$A$11:$G$101,5)*('Monthly Revenue-Usage'!F84/100))))</f>
        <v>#REF!</v>
      </c>
      <c r="V84" s="52" t="e">
        <f>IF(AND(G84&gt;G$9, G84&gt;(G$9+G$8),$D84&gt;'RV ERU Connections'!$F$38),V83,IF(G84&gt;G$8,((((VLOOKUP($B84,'Rate Projection'!$A$11:$G$101,3)))*(G84-G$8)/100)+(VLOOKUP($B84,'Rate Projection'!$A$11:$G$101,5)*'Monthly Revenue-Usage'!G$8/100)),(VLOOKUP($B84,'Rate Projection'!$A$11:$G$101,5)*('Monthly Revenue-Usage'!G84/100))))</f>
        <v>#REF!</v>
      </c>
      <c r="W84" s="52" t="e">
        <f>IF(AND(H84&gt;H$9, H84&gt;(H$9+H$8),$D84&gt;'RV ERU Connections'!$F$38),W83,IF(H84&gt;H$8,((((VLOOKUP($B84,'Rate Projection'!$A$11:$G$101,3)))*(H84-H$8)/100)+(VLOOKUP($B84,'Rate Projection'!$A$11:$G$101,5)*'Monthly Revenue-Usage'!H$8/100)),(VLOOKUP($B84,'Rate Projection'!$A$11:$G$101,5)*('Monthly Revenue-Usage'!H84/100))))</f>
        <v>#REF!</v>
      </c>
      <c r="X84" s="52" t="e">
        <f>IF(AND(I84&gt;I$9, I84&gt;(I$9+I$8),$D84&gt;'RV ERU Connections'!$F$38),X83,IF(I84&gt;I$8,((((VLOOKUP($B84,'Rate Projection'!$A$11:$G$101,3)))*(I84-I$8)/100)+(VLOOKUP($B84,'Rate Projection'!$A$11:$G$101,5)*'Monthly Revenue-Usage'!I$8/100)),(VLOOKUP($B84,'Rate Projection'!$A$11:$G$101,5)*('Monthly Revenue-Usage'!I84/100))))</f>
        <v>#REF!</v>
      </c>
      <c r="Z84" s="53" t="e">
        <f>(-ISPMT('Monthly Revenue-Usage'!$Z$10/12, 1,1*12, Z83)*12)+Z83</f>
        <v>#REF!</v>
      </c>
      <c r="AA84" s="53" t="e">
        <f t="shared" si="15"/>
        <v>#REF!</v>
      </c>
    </row>
    <row r="85" spans="2:27" x14ac:dyDescent="0.3">
      <c r="B85" s="59">
        <f t="shared" si="16"/>
        <v>2083</v>
      </c>
      <c r="C85" s="5" t="e">
        <f t="shared" si="17"/>
        <v>#REF!</v>
      </c>
      <c r="D85" s="5" t="e">
        <f t="shared" si="14"/>
        <v>#REF!</v>
      </c>
      <c r="E85" s="46" t="e">
        <f t="shared" si="9"/>
        <v>#REF!</v>
      </c>
      <c r="F85" s="46" t="e">
        <f t="shared" si="10"/>
        <v>#REF!</v>
      </c>
      <c r="G85" s="46" t="e">
        <f t="shared" si="11"/>
        <v>#REF!</v>
      </c>
      <c r="H85" s="46" t="e">
        <f t="shared" si="12"/>
        <v>#REF!</v>
      </c>
      <c r="I85" s="46" t="e">
        <f t="shared" si="13"/>
        <v>#REF!</v>
      </c>
      <c r="J85" s="53" t="e">
        <f>IF(AND(E85&gt;E$9, $D85&gt;'RV ERU Connections'!$F$37),J84,(VLOOKUP($B85,'Rate Projection'!$A$11:$G$101,2)*(E85/100)))</f>
        <v>#REF!</v>
      </c>
      <c r="K85" s="53" t="e">
        <f>IF(AND(F85&gt;F$9, $D85&gt;'RV ERU Connections'!$F$37),K84,(VLOOKUP($B85,'Rate Projection'!$A$11:$G$101,3)*(F85/100)))</f>
        <v>#REF!</v>
      </c>
      <c r="L85" s="53" t="e">
        <f>IF(AND(G85&gt;G$9, $D85&gt;'RV ERU Connections'!$F$37),L84,(VLOOKUP($B85,'Rate Projection'!$A$11:$G$101,3)*(G85/100)))</f>
        <v>#REF!</v>
      </c>
      <c r="M85" s="53" t="e">
        <f>IF(AND(H85&gt;H$9, $D85&gt;'RV ERU Connections'!$F$37),M84,(VLOOKUP($B85,'Rate Projection'!$A$11:$G$101,3)*(H85/100)))</f>
        <v>#REF!</v>
      </c>
      <c r="N85" s="53" t="e">
        <f>IF(AND(I85&gt;I$9, $D85&gt;'RV ERU Connections'!$F$37),N84,(VLOOKUP($B85,'Rate Projection'!$A$11:$G$101,3)*(I85/100)))</f>
        <v>#REF!</v>
      </c>
      <c r="O85" s="54" t="e">
        <f>IF(AND(E85&gt;E$9, E85&gt;(E$9+E$8),$D85&gt;'RV ERU Connections'!$F$38),O84,IF(E85&gt;E$9,((('Rate Projection'!$C$6+(VLOOKUP($B85,'Rate Projection'!$A$11:$G$101,4)))*(E85-E$9)/100)+(VLOOKUP($B85,'Rate Projection'!$A$11:$G$101,2)*'Monthly Revenue-Usage'!E$9/100)),(VLOOKUP($B85,'Rate Projection'!$A$11:$G$101,2)*('Monthly Revenue-Usage'!E85/100))))</f>
        <v>#REF!</v>
      </c>
      <c r="P85" s="54" t="e">
        <f>IF(AND(F85&gt;F$9, F85&gt;(F$9+F$8),$D85&gt;'RV ERU Connections'!$F$38),P84,IF(F85&gt;F$9,((('Rate Projection'!$C$6+(VLOOKUP($B85,'Rate Projection'!$A$11:$G$101,5)))*(F85-F$9)/100)+(VLOOKUP($B85,'Rate Projection'!$A$11:$G$101,3)*'Monthly Revenue-Usage'!F$9/100)),(VLOOKUP($B85,'Rate Projection'!$A$11:$G$101,3)*('Monthly Revenue-Usage'!F85/100))))</f>
        <v>#REF!</v>
      </c>
      <c r="Q85" s="54" t="e">
        <f>IF(AND(G85&gt;G$9, G85&gt;(G$9+G$8),$D85&gt;'RV ERU Connections'!$F$38),Q84,IF(G85&gt;G$9,((('Rate Projection'!$C$6+(VLOOKUP($B85,'Rate Projection'!$A$11:$G$101,5)))*(G85-G$9)/100)+(VLOOKUP($B85,'Rate Projection'!$A$11:$G$101,3)*'Monthly Revenue-Usage'!G$9/100)),(VLOOKUP($B85,'Rate Projection'!$A$11:$G$101,3)*('Monthly Revenue-Usage'!G85/100))))</f>
        <v>#REF!</v>
      </c>
      <c r="R85" s="54" t="e">
        <f>IF(AND(H85&gt;H$9, H85&gt;(H$9+H$8),$D85&gt;'RV ERU Connections'!$F$38),R84,IF(H85&gt;H$9,((('Rate Projection'!$C$6+(VLOOKUP($B85,'Rate Projection'!$A$11:$G$101,5)))*(H85-H$9)/100)+(VLOOKUP($B85,'Rate Projection'!$A$11:$G$101,3)*'Monthly Revenue-Usage'!H$9/100)),(VLOOKUP($B85,'Rate Projection'!$A$11:$G$101,3)*('Monthly Revenue-Usage'!H85/100))))</f>
        <v>#REF!</v>
      </c>
      <c r="S85" s="54" t="e">
        <f>IF(AND(I85&gt;I$9, I85&gt;(I$9+I$8),$D85&gt;'RV ERU Connections'!$F$38),S84,IF(I85&gt;I$9,((('Rate Projection'!$C$6+(VLOOKUP($B85,'Rate Projection'!$A$11:$G$101,5)))*(I85-I$9)/100)+(VLOOKUP($B85,'Rate Projection'!$A$11:$G$101,3)*'Monthly Revenue-Usage'!I$9/100)),(VLOOKUP($B85,'Rate Projection'!$A$11:$G$101,3)*('Monthly Revenue-Usage'!I85/100))))</f>
        <v>#REF!</v>
      </c>
      <c r="T85" s="52" t="e">
        <f>IF(AND(E85&gt;E$9, E85&gt;(E$9+E$8),$D85&gt;'RV ERU Connections'!$F$38),T84,IF(E85&gt;E$8,((((VLOOKUP($B85,'Rate Projection'!$A$11:$G$101,2)))*(E85-E$8)/100)+(VLOOKUP($B85,'Rate Projection'!$A$11:$G$101,4)*'Monthly Revenue-Usage'!E$8/100)),(VLOOKUP($B85,'Rate Projection'!$A$11:$G$101,4)*('Monthly Revenue-Usage'!E85/100))))</f>
        <v>#REF!</v>
      </c>
      <c r="U85" s="52" t="e">
        <f>IF(AND(F85&gt;F$9, F85&gt;(F$9+F$8),$D85&gt;'RV ERU Connections'!$F$38),U84,IF(F85&gt;F$8,((((VLOOKUP($B85,'Rate Projection'!$A$11:$G$101,3)))*(F85-F$8)/100)+(VLOOKUP($B85,'Rate Projection'!$A$11:$G$101,5)*'Monthly Revenue-Usage'!F$8/100)),(VLOOKUP($B85,'Rate Projection'!$A$11:$G$101,5)*('Monthly Revenue-Usage'!F85/100))))</f>
        <v>#REF!</v>
      </c>
      <c r="V85" s="52" t="e">
        <f>IF(AND(G85&gt;G$9, G85&gt;(G$9+G$8),$D85&gt;'RV ERU Connections'!$F$38),V84,IF(G85&gt;G$8,((((VLOOKUP($B85,'Rate Projection'!$A$11:$G$101,3)))*(G85-G$8)/100)+(VLOOKUP($B85,'Rate Projection'!$A$11:$G$101,5)*'Monthly Revenue-Usage'!G$8/100)),(VLOOKUP($B85,'Rate Projection'!$A$11:$G$101,5)*('Monthly Revenue-Usage'!G85/100))))</f>
        <v>#REF!</v>
      </c>
      <c r="W85" s="52" t="e">
        <f>IF(AND(H85&gt;H$9, H85&gt;(H$9+H$8),$D85&gt;'RV ERU Connections'!$F$38),W84,IF(H85&gt;H$8,((((VLOOKUP($B85,'Rate Projection'!$A$11:$G$101,3)))*(H85-H$8)/100)+(VLOOKUP($B85,'Rate Projection'!$A$11:$G$101,5)*'Monthly Revenue-Usage'!H$8/100)),(VLOOKUP($B85,'Rate Projection'!$A$11:$G$101,5)*('Monthly Revenue-Usage'!H85/100))))</f>
        <v>#REF!</v>
      </c>
      <c r="X85" s="52" t="e">
        <f>IF(AND(I85&gt;I$9, I85&gt;(I$9+I$8),$D85&gt;'RV ERU Connections'!$F$38),X84,IF(I85&gt;I$8,((((VLOOKUP($B85,'Rate Projection'!$A$11:$G$101,3)))*(I85-I$8)/100)+(VLOOKUP($B85,'Rate Projection'!$A$11:$G$101,5)*'Monthly Revenue-Usage'!I$8/100)),(VLOOKUP($B85,'Rate Projection'!$A$11:$G$101,5)*('Monthly Revenue-Usage'!I85/100))))</f>
        <v>#REF!</v>
      </c>
      <c r="Z85" s="53" t="e">
        <f>(-ISPMT('Monthly Revenue-Usage'!$Z$10/12, 1,1*12, Z84)*12)+Z84</f>
        <v>#REF!</v>
      </c>
      <c r="AA85" s="53" t="e">
        <f t="shared" si="15"/>
        <v>#REF!</v>
      </c>
    </row>
    <row r="86" spans="2:27" x14ac:dyDescent="0.3">
      <c r="B86" s="59">
        <f t="shared" si="16"/>
        <v>2084</v>
      </c>
      <c r="C86" s="5" t="e">
        <f t="shared" si="17"/>
        <v>#REF!</v>
      </c>
      <c r="D86" s="5" t="e">
        <f t="shared" si="14"/>
        <v>#REF!</v>
      </c>
      <c r="E86" s="46" t="e">
        <f t="shared" si="9"/>
        <v>#REF!</v>
      </c>
      <c r="F86" s="46" t="e">
        <f t="shared" si="10"/>
        <v>#REF!</v>
      </c>
      <c r="G86" s="46" t="e">
        <f t="shared" si="11"/>
        <v>#REF!</v>
      </c>
      <c r="H86" s="46" t="e">
        <f t="shared" si="12"/>
        <v>#REF!</v>
      </c>
      <c r="I86" s="46" t="e">
        <f t="shared" si="13"/>
        <v>#REF!</v>
      </c>
      <c r="J86" s="53" t="e">
        <f>IF(AND(E86&gt;E$9, $D86&gt;'RV ERU Connections'!$F$37),J85,(VLOOKUP($B86,'Rate Projection'!$A$11:$G$101,2)*(E86/100)))</f>
        <v>#REF!</v>
      </c>
      <c r="K86" s="53" t="e">
        <f>IF(AND(F86&gt;F$9, $D86&gt;'RV ERU Connections'!$F$37),K85,(VLOOKUP($B86,'Rate Projection'!$A$11:$G$101,3)*(F86/100)))</f>
        <v>#REF!</v>
      </c>
      <c r="L86" s="53" t="e">
        <f>IF(AND(G86&gt;G$9, $D86&gt;'RV ERU Connections'!$F$37),L85,(VLOOKUP($B86,'Rate Projection'!$A$11:$G$101,3)*(G86/100)))</f>
        <v>#REF!</v>
      </c>
      <c r="M86" s="53" t="e">
        <f>IF(AND(H86&gt;H$9, $D86&gt;'RV ERU Connections'!$F$37),M85,(VLOOKUP($B86,'Rate Projection'!$A$11:$G$101,3)*(H86/100)))</f>
        <v>#REF!</v>
      </c>
      <c r="N86" s="53" t="e">
        <f>IF(AND(I86&gt;I$9, $D86&gt;'RV ERU Connections'!$F$37),N85,(VLOOKUP($B86,'Rate Projection'!$A$11:$G$101,3)*(I86/100)))</f>
        <v>#REF!</v>
      </c>
      <c r="O86" s="54" t="e">
        <f>IF(AND(E86&gt;E$9, E86&gt;(E$9+E$8),$D86&gt;'RV ERU Connections'!$F$38),O85,IF(E86&gt;E$9,((('Rate Projection'!$C$6+(VLOOKUP($B86,'Rate Projection'!$A$11:$G$101,4)))*(E86-E$9)/100)+(VLOOKUP($B86,'Rate Projection'!$A$11:$G$101,2)*'Monthly Revenue-Usage'!E$9/100)),(VLOOKUP($B86,'Rate Projection'!$A$11:$G$101,2)*('Monthly Revenue-Usage'!E86/100))))</f>
        <v>#REF!</v>
      </c>
      <c r="P86" s="54" t="e">
        <f>IF(AND(F86&gt;F$9, F86&gt;(F$9+F$8),$D86&gt;'RV ERU Connections'!$F$38),P85,IF(F86&gt;F$9,((('Rate Projection'!$C$6+(VLOOKUP($B86,'Rate Projection'!$A$11:$G$101,5)))*(F86-F$9)/100)+(VLOOKUP($B86,'Rate Projection'!$A$11:$G$101,3)*'Monthly Revenue-Usage'!F$9/100)),(VLOOKUP($B86,'Rate Projection'!$A$11:$G$101,3)*('Monthly Revenue-Usage'!F86/100))))</f>
        <v>#REF!</v>
      </c>
      <c r="Q86" s="54" t="e">
        <f>IF(AND(G86&gt;G$9, G86&gt;(G$9+G$8),$D86&gt;'RV ERU Connections'!$F$38),Q85,IF(G86&gt;G$9,((('Rate Projection'!$C$6+(VLOOKUP($B86,'Rate Projection'!$A$11:$G$101,5)))*(G86-G$9)/100)+(VLOOKUP($B86,'Rate Projection'!$A$11:$G$101,3)*'Monthly Revenue-Usage'!G$9/100)),(VLOOKUP($B86,'Rate Projection'!$A$11:$G$101,3)*('Monthly Revenue-Usage'!G86/100))))</f>
        <v>#REF!</v>
      </c>
      <c r="R86" s="54" t="e">
        <f>IF(AND(H86&gt;H$9, H86&gt;(H$9+H$8),$D86&gt;'RV ERU Connections'!$F$38),R85,IF(H86&gt;H$9,((('Rate Projection'!$C$6+(VLOOKUP($B86,'Rate Projection'!$A$11:$G$101,5)))*(H86-H$9)/100)+(VLOOKUP($B86,'Rate Projection'!$A$11:$G$101,3)*'Monthly Revenue-Usage'!H$9/100)),(VLOOKUP($B86,'Rate Projection'!$A$11:$G$101,3)*('Monthly Revenue-Usage'!H86/100))))</f>
        <v>#REF!</v>
      </c>
      <c r="S86" s="54" t="e">
        <f>IF(AND(I86&gt;I$9, I86&gt;(I$9+I$8),$D86&gt;'RV ERU Connections'!$F$38),S85,IF(I86&gt;I$9,((('Rate Projection'!$C$6+(VLOOKUP($B86,'Rate Projection'!$A$11:$G$101,5)))*(I86-I$9)/100)+(VLOOKUP($B86,'Rate Projection'!$A$11:$G$101,3)*'Monthly Revenue-Usage'!I$9/100)),(VLOOKUP($B86,'Rate Projection'!$A$11:$G$101,3)*('Monthly Revenue-Usage'!I86/100))))</f>
        <v>#REF!</v>
      </c>
      <c r="T86" s="52" t="e">
        <f>IF(AND(E86&gt;E$9, E86&gt;(E$9+E$8),$D86&gt;'RV ERU Connections'!$F$38),T85,IF(E86&gt;E$8,((((VLOOKUP($B86,'Rate Projection'!$A$11:$G$101,2)))*(E86-E$8)/100)+(VLOOKUP($B86,'Rate Projection'!$A$11:$G$101,4)*'Monthly Revenue-Usage'!E$8/100)),(VLOOKUP($B86,'Rate Projection'!$A$11:$G$101,4)*('Monthly Revenue-Usage'!E86/100))))</f>
        <v>#REF!</v>
      </c>
      <c r="U86" s="52" t="e">
        <f>IF(AND(F86&gt;F$9, F86&gt;(F$9+F$8),$D86&gt;'RV ERU Connections'!$F$38),U85,IF(F86&gt;F$8,((((VLOOKUP($B86,'Rate Projection'!$A$11:$G$101,3)))*(F86-F$8)/100)+(VLOOKUP($B86,'Rate Projection'!$A$11:$G$101,5)*'Monthly Revenue-Usage'!F$8/100)),(VLOOKUP($B86,'Rate Projection'!$A$11:$G$101,5)*('Monthly Revenue-Usage'!F86/100))))</f>
        <v>#REF!</v>
      </c>
      <c r="V86" s="52" t="e">
        <f>IF(AND(G86&gt;G$9, G86&gt;(G$9+G$8),$D86&gt;'RV ERU Connections'!$F$38),V85,IF(G86&gt;G$8,((((VLOOKUP($B86,'Rate Projection'!$A$11:$G$101,3)))*(G86-G$8)/100)+(VLOOKUP($B86,'Rate Projection'!$A$11:$G$101,5)*'Monthly Revenue-Usage'!G$8/100)),(VLOOKUP($B86,'Rate Projection'!$A$11:$G$101,5)*('Monthly Revenue-Usage'!G86/100))))</f>
        <v>#REF!</v>
      </c>
      <c r="W86" s="52" t="e">
        <f>IF(AND(H86&gt;H$9, H86&gt;(H$9+H$8),$D86&gt;'RV ERU Connections'!$F$38),W85,IF(H86&gt;H$8,((((VLOOKUP($B86,'Rate Projection'!$A$11:$G$101,3)))*(H86-H$8)/100)+(VLOOKUP($B86,'Rate Projection'!$A$11:$G$101,5)*'Monthly Revenue-Usage'!H$8/100)),(VLOOKUP($B86,'Rate Projection'!$A$11:$G$101,5)*('Monthly Revenue-Usage'!H86/100))))</f>
        <v>#REF!</v>
      </c>
      <c r="X86" s="52" t="e">
        <f>IF(AND(I86&gt;I$9, I86&gt;(I$9+I$8),$D86&gt;'RV ERU Connections'!$F$38),X85,IF(I86&gt;I$8,((((VLOOKUP($B86,'Rate Projection'!$A$11:$G$101,3)))*(I86-I$8)/100)+(VLOOKUP($B86,'Rate Projection'!$A$11:$G$101,5)*'Monthly Revenue-Usage'!I$8/100)),(VLOOKUP($B86,'Rate Projection'!$A$11:$G$101,5)*('Monthly Revenue-Usage'!I86/100))))</f>
        <v>#REF!</v>
      </c>
      <c r="Z86" s="53" t="e">
        <f>(-ISPMT('Monthly Revenue-Usage'!$Z$10/12, 1,1*12, Z85)*12)+Z85</f>
        <v>#REF!</v>
      </c>
      <c r="AA86" s="53" t="e">
        <f t="shared" si="15"/>
        <v>#REF!</v>
      </c>
    </row>
    <row r="87" spans="2:27" x14ac:dyDescent="0.3">
      <c r="B87" s="59">
        <f t="shared" si="16"/>
        <v>2085</v>
      </c>
      <c r="C87" s="5" t="e">
        <f t="shared" si="17"/>
        <v>#REF!</v>
      </c>
      <c r="D87" s="5" t="e">
        <f t="shared" si="14"/>
        <v>#REF!</v>
      </c>
      <c r="E87" s="46" t="e">
        <f t="shared" si="9"/>
        <v>#REF!</v>
      </c>
      <c r="F87" s="46" t="e">
        <f t="shared" si="10"/>
        <v>#REF!</v>
      </c>
      <c r="G87" s="46" t="e">
        <f t="shared" si="11"/>
        <v>#REF!</v>
      </c>
      <c r="H87" s="46" t="e">
        <f t="shared" si="12"/>
        <v>#REF!</v>
      </c>
      <c r="I87" s="46" t="e">
        <f t="shared" si="13"/>
        <v>#REF!</v>
      </c>
      <c r="J87" s="53" t="e">
        <f>IF(AND(E87&gt;E$9, $D87&gt;'RV ERU Connections'!$F$37),J86,(VLOOKUP($B87,'Rate Projection'!$A$11:$G$101,2)*(E87/100)))</f>
        <v>#REF!</v>
      </c>
      <c r="K87" s="53" t="e">
        <f>IF(AND(F87&gt;F$9, $D87&gt;'RV ERU Connections'!$F$37),K86,(VLOOKUP($B87,'Rate Projection'!$A$11:$G$101,3)*(F87/100)))</f>
        <v>#REF!</v>
      </c>
      <c r="L87" s="53" t="e">
        <f>IF(AND(G87&gt;G$9, $D87&gt;'RV ERU Connections'!$F$37),L86,(VLOOKUP($B87,'Rate Projection'!$A$11:$G$101,3)*(G87/100)))</f>
        <v>#REF!</v>
      </c>
      <c r="M87" s="53" t="e">
        <f>IF(AND(H87&gt;H$9, $D87&gt;'RV ERU Connections'!$F$37),M86,(VLOOKUP($B87,'Rate Projection'!$A$11:$G$101,3)*(H87/100)))</f>
        <v>#REF!</v>
      </c>
      <c r="N87" s="53" t="e">
        <f>IF(AND(I87&gt;I$9, $D87&gt;'RV ERU Connections'!$F$37),N86,(VLOOKUP($B87,'Rate Projection'!$A$11:$G$101,3)*(I87/100)))</f>
        <v>#REF!</v>
      </c>
      <c r="O87" s="54" t="e">
        <f>IF(AND(E87&gt;E$9, E87&gt;(E$9+E$8),$D87&gt;'RV ERU Connections'!$F$38),O86,IF(E87&gt;E$9,((('Rate Projection'!$C$6+(VLOOKUP($B87,'Rate Projection'!$A$11:$G$101,4)))*(E87-E$9)/100)+(VLOOKUP($B87,'Rate Projection'!$A$11:$G$101,2)*'Monthly Revenue-Usage'!E$9/100)),(VLOOKUP($B87,'Rate Projection'!$A$11:$G$101,2)*('Monthly Revenue-Usage'!E87/100))))</f>
        <v>#REF!</v>
      </c>
      <c r="P87" s="54" t="e">
        <f>IF(AND(F87&gt;F$9, F87&gt;(F$9+F$8),$D87&gt;'RV ERU Connections'!$F$38),P86,IF(F87&gt;F$9,((('Rate Projection'!$C$6+(VLOOKUP($B87,'Rate Projection'!$A$11:$G$101,5)))*(F87-F$9)/100)+(VLOOKUP($B87,'Rate Projection'!$A$11:$G$101,3)*'Monthly Revenue-Usage'!F$9/100)),(VLOOKUP($B87,'Rate Projection'!$A$11:$G$101,3)*('Monthly Revenue-Usage'!F87/100))))</f>
        <v>#REF!</v>
      </c>
      <c r="Q87" s="54" t="e">
        <f>IF(AND(G87&gt;G$9, G87&gt;(G$9+G$8),$D87&gt;'RV ERU Connections'!$F$38),Q86,IF(G87&gt;G$9,((('Rate Projection'!$C$6+(VLOOKUP($B87,'Rate Projection'!$A$11:$G$101,5)))*(G87-G$9)/100)+(VLOOKUP($B87,'Rate Projection'!$A$11:$G$101,3)*'Monthly Revenue-Usage'!G$9/100)),(VLOOKUP($B87,'Rate Projection'!$A$11:$G$101,3)*('Monthly Revenue-Usage'!G87/100))))</f>
        <v>#REF!</v>
      </c>
      <c r="R87" s="54" t="e">
        <f>IF(AND(H87&gt;H$9, H87&gt;(H$9+H$8),$D87&gt;'RV ERU Connections'!$F$38),R86,IF(H87&gt;H$9,((('Rate Projection'!$C$6+(VLOOKUP($B87,'Rate Projection'!$A$11:$G$101,5)))*(H87-H$9)/100)+(VLOOKUP($B87,'Rate Projection'!$A$11:$G$101,3)*'Monthly Revenue-Usage'!H$9/100)),(VLOOKUP($B87,'Rate Projection'!$A$11:$G$101,3)*('Monthly Revenue-Usage'!H87/100))))</f>
        <v>#REF!</v>
      </c>
      <c r="S87" s="54" t="e">
        <f>IF(AND(I87&gt;I$9, I87&gt;(I$9+I$8),$D87&gt;'RV ERU Connections'!$F$38),S86,IF(I87&gt;I$9,((('Rate Projection'!$C$6+(VLOOKUP($B87,'Rate Projection'!$A$11:$G$101,5)))*(I87-I$9)/100)+(VLOOKUP($B87,'Rate Projection'!$A$11:$G$101,3)*'Monthly Revenue-Usage'!I$9/100)),(VLOOKUP($B87,'Rate Projection'!$A$11:$G$101,3)*('Monthly Revenue-Usage'!I87/100))))</f>
        <v>#REF!</v>
      </c>
      <c r="T87" s="52" t="e">
        <f>IF(AND(E87&gt;E$9, E87&gt;(E$9+E$8),$D87&gt;'RV ERU Connections'!$F$38),T86,IF(E87&gt;E$8,((((VLOOKUP($B87,'Rate Projection'!$A$11:$G$101,2)))*(E87-E$8)/100)+(VLOOKUP($B87,'Rate Projection'!$A$11:$G$101,4)*'Monthly Revenue-Usage'!E$8/100)),(VLOOKUP($B87,'Rate Projection'!$A$11:$G$101,4)*('Monthly Revenue-Usage'!E87/100))))</f>
        <v>#REF!</v>
      </c>
      <c r="U87" s="52" t="e">
        <f>IF(AND(F87&gt;F$9, F87&gt;(F$9+F$8),$D87&gt;'RV ERU Connections'!$F$38),U86,IF(F87&gt;F$8,((((VLOOKUP($B87,'Rate Projection'!$A$11:$G$101,3)))*(F87-F$8)/100)+(VLOOKUP($B87,'Rate Projection'!$A$11:$G$101,5)*'Monthly Revenue-Usage'!F$8/100)),(VLOOKUP($B87,'Rate Projection'!$A$11:$G$101,5)*('Monthly Revenue-Usage'!F87/100))))</f>
        <v>#REF!</v>
      </c>
      <c r="V87" s="52" t="e">
        <f>IF(AND(G87&gt;G$9, G87&gt;(G$9+G$8),$D87&gt;'RV ERU Connections'!$F$38),V86,IF(G87&gt;G$8,((((VLOOKUP($B87,'Rate Projection'!$A$11:$G$101,3)))*(G87-G$8)/100)+(VLOOKUP($B87,'Rate Projection'!$A$11:$G$101,5)*'Monthly Revenue-Usage'!G$8/100)),(VLOOKUP($B87,'Rate Projection'!$A$11:$G$101,5)*('Monthly Revenue-Usage'!G87/100))))</f>
        <v>#REF!</v>
      </c>
      <c r="W87" s="52" t="e">
        <f>IF(AND(H87&gt;H$9, H87&gt;(H$9+H$8),$D87&gt;'RV ERU Connections'!$F$38),W86,IF(H87&gt;H$8,((((VLOOKUP($B87,'Rate Projection'!$A$11:$G$101,3)))*(H87-H$8)/100)+(VLOOKUP($B87,'Rate Projection'!$A$11:$G$101,5)*'Monthly Revenue-Usage'!H$8/100)),(VLOOKUP($B87,'Rate Projection'!$A$11:$G$101,5)*('Monthly Revenue-Usage'!H87/100))))</f>
        <v>#REF!</v>
      </c>
      <c r="X87" s="52" t="e">
        <f>IF(AND(I87&gt;I$9, I87&gt;(I$9+I$8),$D87&gt;'RV ERU Connections'!$F$38),X86,IF(I87&gt;I$8,((((VLOOKUP($B87,'Rate Projection'!$A$11:$G$101,3)))*(I87-I$8)/100)+(VLOOKUP($B87,'Rate Projection'!$A$11:$G$101,5)*'Monthly Revenue-Usage'!I$8/100)),(VLOOKUP($B87,'Rate Projection'!$A$11:$G$101,5)*('Monthly Revenue-Usage'!I87/100))))</f>
        <v>#REF!</v>
      </c>
      <c r="Z87" s="53" t="e">
        <f>(-ISPMT('Monthly Revenue-Usage'!$Z$10/12, 1,1*12, Z86)*12)+Z86</f>
        <v>#REF!</v>
      </c>
      <c r="AA87" s="53" t="e">
        <f t="shared" si="15"/>
        <v>#REF!</v>
      </c>
    </row>
    <row r="88" spans="2:27" x14ac:dyDescent="0.3">
      <c r="B88" s="59">
        <f t="shared" si="16"/>
        <v>2086</v>
      </c>
      <c r="C88" s="5" t="e">
        <f t="shared" si="17"/>
        <v>#REF!</v>
      </c>
      <c r="D88" s="5" t="e">
        <f t="shared" si="14"/>
        <v>#REF!</v>
      </c>
      <c r="E88" s="46" t="e">
        <f t="shared" si="9"/>
        <v>#REF!</v>
      </c>
      <c r="F88" s="46" t="e">
        <f t="shared" si="10"/>
        <v>#REF!</v>
      </c>
      <c r="G88" s="46" t="e">
        <f t="shared" si="11"/>
        <v>#REF!</v>
      </c>
      <c r="H88" s="46" t="e">
        <f t="shared" si="12"/>
        <v>#REF!</v>
      </c>
      <c r="I88" s="46" t="e">
        <f t="shared" si="13"/>
        <v>#REF!</v>
      </c>
      <c r="J88" s="53" t="e">
        <f>IF(AND(E88&gt;E$9, $D88&gt;'RV ERU Connections'!$F$37),J87,(VLOOKUP($B88,'Rate Projection'!$A$11:$G$101,2)*(E88/100)))</f>
        <v>#REF!</v>
      </c>
      <c r="K88" s="53" t="e">
        <f>IF(AND(F88&gt;F$9, $D88&gt;'RV ERU Connections'!$F$37),K87,(VLOOKUP($B88,'Rate Projection'!$A$11:$G$101,3)*(F88/100)))</f>
        <v>#REF!</v>
      </c>
      <c r="L88" s="53" t="e">
        <f>IF(AND(G88&gt;G$9, $D88&gt;'RV ERU Connections'!$F$37),L87,(VLOOKUP($B88,'Rate Projection'!$A$11:$G$101,3)*(G88/100)))</f>
        <v>#REF!</v>
      </c>
      <c r="M88" s="53" t="e">
        <f>IF(AND(H88&gt;H$9, $D88&gt;'RV ERU Connections'!$F$37),M87,(VLOOKUP($B88,'Rate Projection'!$A$11:$G$101,3)*(H88/100)))</f>
        <v>#REF!</v>
      </c>
      <c r="N88" s="53" t="e">
        <f>IF(AND(I88&gt;I$9, $D88&gt;'RV ERU Connections'!$F$37),N87,(VLOOKUP($B88,'Rate Projection'!$A$11:$G$101,3)*(I88/100)))</f>
        <v>#REF!</v>
      </c>
      <c r="O88" s="54" t="e">
        <f>IF(AND(E88&gt;E$9, E88&gt;(E$9+E$8),$D88&gt;'RV ERU Connections'!$F$38),O87,IF(E88&gt;E$9,((('Rate Projection'!$C$6+(VLOOKUP($B88,'Rate Projection'!$A$11:$G$101,4)))*(E88-E$9)/100)+(VLOOKUP($B88,'Rate Projection'!$A$11:$G$101,2)*'Monthly Revenue-Usage'!E$9/100)),(VLOOKUP($B88,'Rate Projection'!$A$11:$G$101,2)*('Monthly Revenue-Usage'!E88/100))))</f>
        <v>#REF!</v>
      </c>
      <c r="P88" s="54" t="e">
        <f>IF(AND(F88&gt;F$9, F88&gt;(F$9+F$8),$D88&gt;'RV ERU Connections'!$F$38),P87,IF(F88&gt;F$9,((('Rate Projection'!$C$6+(VLOOKUP($B88,'Rate Projection'!$A$11:$G$101,5)))*(F88-F$9)/100)+(VLOOKUP($B88,'Rate Projection'!$A$11:$G$101,3)*'Monthly Revenue-Usage'!F$9/100)),(VLOOKUP($B88,'Rate Projection'!$A$11:$G$101,3)*('Monthly Revenue-Usage'!F88/100))))</f>
        <v>#REF!</v>
      </c>
      <c r="Q88" s="54" t="e">
        <f>IF(AND(G88&gt;G$9, G88&gt;(G$9+G$8),$D88&gt;'RV ERU Connections'!$F$38),Q87,IF(G88&gt;G$9,((('Rate Projection'!$C$6+(VLOOKUP($B88,'Rate Projection'!$A$11:$G$101,5)))*(G88-G$9)/100)+(VLOOKUP($B88,'Rate Projection'!$A$11:$G$101,3)*'Monthly Revenue-Usage'!G$9/100)),(VLOOKUP($B88,'Rate Projection'!$A$11:$G$101,3)*('Monthly Revenue-Usage'!G88/100))))</f>
        <v>#REF!</v>
      </c>
      <c r="R88" s="54" t="e">
        <f>IF(AND(H88&gt;H$9, H88&gt;(H$9+H$8),$D88&gt;'RV ERU Connections'!$F$38),R87,IF(H88&gt;H$9,((('Rate Projection'!$C$6+(VLOOKUP($B88,'Rate Projection'!$A$11:$G$101,5)))*(H88-H$9)/100)+(VLOOKUP($B88,'Rate Projection'!$A$11:$G$101,3)*'Monthly Revenue-Usage'!H$9/100)),(VLOOKUP($B88,'Rate Projection'!$A$11:$G$101,3)*('Monthly Revenue-Usage'!H88/100))))</f>
        <v>#REF!</v>
      </c>
      <c r="S88" s="54" t="e">
        <f>IF(AND(I88&gt;I$9, I88&gt;(I$9+I$8),$D88&gt;'RV ERU Connections'!$F$38),S87,IF(I88&gt;I$9,((('Rate Projection'!$C$6+(VLOOKUP($B88,'Rate Projection'!$A$11:$G$101,5)))*(I88-I$9)/100)+(VLOOKUP($B88,'Rate Projection'!$A$11:$G$101,3)*'Monthly Revenue-Usage'!I$9/100)),(VLOOKUP($B88,'Rate Projection'!$A$11:$G$101,3)*('Monthly Revenue-Usage'!I88/100))))</f>
        <v>#REF!</v>
      </c>
      <c r="T88" s="52" t="e">
        <f>IF(AND(E88&gt;E$9, E88&gt;(E$9+E$8),$D88&gt;'RV ERU Connections'!$F$38),T87,IF(E88&gt;E$8,((((VLOOKUP($B88,'Rate Projection'!$A$11:$G$101,2)))*(E88-E$8)/100)+(VLOOKUP($B88,'Rate Projection'!$A$11:$G$101,4)*'Monthly Revenue-Usage'!E$8/100)),(VLOOKUP($B88,'Rate Projection'!$A$11:$G$101,4)*('Monthly Revenue-Usage'!E88/100))))</f>
        <v>#REF!</v>
      </c>
      <c r="U88" s="52" t="e">
        <f>IF(AND(F88&gt;F$9, F88&gt;(F$9+F$8),$D88&gt;'RV ERU Connections'!$F$38),U87,IF(F88&gt;F$8,((((VLOOKUP($B88,'Rate Projection'!$A$11:$G$101,3)))*(F88-F$8)/100)+(VLOOKUP($B88,'Rate Projection'!$A$11:$G$101,5)*'Monthly Revenue-Usage'!F$8/100)),(VLOOKUP($B88,'Rate Projection'!$A$11:$G$101,5)*('Monthly Revenue-Usage'!F88/100))))</f>
        <v>#REF!</v>
      </c>
      <c r="V88" s="52" t="e">
        <f>IF(AND(G88&gt;G$9, G88&gt;(G$9+G$8),$D88&gt;'RV ERU Connections'!$F$38),V87,IF(G88&gt;G$8,((((VLOOKUP($B88,'Rate Projection'!$A$11:$G$101,3)))*(G88-G$8)/100)+(VLOOKUP($B88,'Rate Projection'!$A$11:$G$101,5)*'Monthly Revenue-Usage'!G$8/100)),(VLOOKUP($B88,'Rate Projection'!$A$11:$G$101,5)*('Monthly Revenue-Usage'!G88/100))))</f>
        <v>#REF!</v>
      </c>
      <c r="W88" s="52" t="e">
        <f>IF(AND(H88&gt;H$9, H88&gt;(H$9+H$8),$D88&gt;'RV ERU Connections'!$F$38),W87,IF(H88&gt;H$8,((((VLOOKUP($B88,'Rate Projection'!$A$11:$G$101,3)))*(H88-H$8)/100)+(VLOOKUP($B88,'Rate Projection'!$A$11:$G$101,5)*'Monthly Revenue-Usage'!H$8/100)),(VLOOKUP($B88,'Rate Projection'!$A$11:$G$101,5)*('Monthly Revenue-Usage'!H88/100))))</f>
        <v>#REF!</v>
      </c>
      <c r="X88" s="52" t="e">
        <f>IF(AND(I88&gt;I$9, I88&gt;(I$9+I$8),$D88&gt;'RV ERU Connections'!$F$38),X87,IF(I88&gt;I$8,((((VLOOKUP($B88,'Rate Projection'!$A$11:$G$101,3)))*(I88-I$8)/100)+(VLOOKUP($B88,'Rate Projection'!$A$11:$G$101,5)*'Monthly Revenue-Usage'!I$8/100)),(VLOOKUP($B88,'Rate Projection'!$A$11:$G$101,5)*('Monthly Revenue-Usage'!I88/100))))</f>
        <v>#REF!</v>
      </c>
      <c r="Z88" s="53" t="e">
        <f>(-ISPMT('Monthly Revenue-Usage'!$Z$10/12, 1,1*12, Z87)*12)+Z87</f>
        <v>#REF!</v>
      </c>
      <c r="AA88" s="53" t="e">
        <f t="shared" si="15"/>
        <v>#REF!</v>
      </c>
    </row>
    <row r="89" spans="2:27" x14ac:dyDescent="0.3">
      <c r="B89" s="59">
        <f t="shared" si="16"/>
        <v>2087</v>
      </c>
      <c r="C89" s="5" t="e">
        <f t="shared" si="17"/>
        <v>#REF!</v>
      </c>
      <c r="D89" s="5" t="e">
        <f t="shared" si="14"/>
        <v>#REF!</v>
      </c>
      <c r="E89" s="46" t="e">
        <f t="shared" si="9"/>
        <v>#REF!</v>
      </c>
      <c r="F89" s="46" t="e">
        <f t="shared" si="10"/>
        <v>#REF!</v>
      </c>
      <c r="G89" s="46" t="e">
        <f t="shared" si="11"/>
        <v>#REF!</v>
      </c>
      <c r="H89" s="46" t="e">
        <f t="shared" si="12"/>
        <v>#REF!</v>
      </c>
      <c r="I89" s="46" t="e">
        <f t="shared" si="13"/>
        <v>#REF!</v>
      </c>
      <c r="J89" s="53" t="e">
        <f>IF(AND(E89&gt;E$9, $D89&gt;'RV ERU Connections'!$F$37),J88,(VLOOKUP($B89,'Rate Projection'!$A$11:$G$101,2)*(E89/100)))</f>
        <v>#REF!</v>
      </c>
      <c r="K89" s="53" t="e">
        <f>IF(AND(F89&gt;F$9, $D89&gt;'RV ERU Connections'!$F$37),K88,(VLOOKUP($B89,'Rate Projection'!$A$11:$G$101,3)*(F89/100)))</f>
        <v>#REF!</v>
      </c>
      <c r="L89" s="53" t="e">
        <f>IF(AND(G89&gt;G$9, $D89&gt;'RV ERU Connections'!$F$37),L88,(VLOOKUP($B89,'Rate Projection'!$A$11:$G$101,3)*(G89/100)))</f>
        <v>#REF!</v>
      </c>
      <c r="M89" s="53" t="e">
        <f>IF(AND(H89&gt;H$9, $D89&gt;'RV ERU Connections'!$F$37),M88,(VLOOKUP($B89,'Rate Projection'!$A$11:$G$101,3)*(H89/100)))</f>
        <v>#REF!</v>
      </c>
      <c r="N89" s="53" t="e">
        <f>IF(AND(I89&gt;I$9, $D89&gt;'RV ERU Connections'!$F$37),N88,(VLOOKUP($B89,'Rate Projection'!$A$11:$G$101,3)*(I89/100)))</f>
        <v>#REF!</v>
      </c>
      <c r="O89" s="54" t="e">
        <f>IF(AND(E89&gt;E$9, E89&gt;(E$9+E$8),$D89&gt;'RV ERU Connections'!$F$38),O88,IF(E89&gt;E$9,((('Rate Projection'!$C$6+(VLOOKUP($B89,'Rate Projection'!$A$11:$G$101,4)))*(E89-E$9)/100)+(VLOOKUP($B89,'Rate Projection'!$A$11:$G$101,2)*'Monthly Revenue-Usage'!E$9/100)),(VLOOKUP($B89,'Rate Projection'!$A$11:$G$101,2)*('Monthly Revenue-Usage'!E89/100))))</f>
        <v>#REF!</v>
      </c>
      <c r="P89" s="54" t="e">
        <f>IF(AND(F89&gt;F$9, F89&gt;(F$9+F$8),$D89&gt;'RV ERU Connections'!$F$38),P88,IF(F89&gt;F$9,((('Rate Projection'!$C$6+(VLOOKUP($B89,'Rate Projection'!$A$11:$G$101,5)))*(F89-F$9)/100)+(VLOOKUP($B89,'Rate Projection'!$A$11:$G$101,3)*'Monthly Revenue-Usage'!F$9/100)),(VLOOKUP($B89,'Rate Projection'!$A$11:$G$101,3)*('Monthly Revenue-Usage'!F89/100))))</f>
        <v>#REF!</v>
      </c>
      <c r="Q89" s="54" t="e">
        <f>IF(AND(G89&gt;G$9, G89&gt;(G$9+G$8),$D89&gt;'RV ERU Connections'!$F$38),Q88,IF(G89&gt;G$9,((('Rate Projection'!$C$6+(VLOOKUP($B89,'Rate Projection'!$A$11:$G$101,5)))*(G89-G$9)/100)+(VLOOKUP($B89,'Rate Projection'!$A$11:$G$101,3)*'Monthly Revenue-Usage'!G$9/100)),(VLOOKUP($B89,'Rate Projection'!$A$11:$G$101,3)*('Monthly Revenue-Usage'!G89/100))))</f>
        <v>#REF!</v>
      </c>
      <c r="R89" s="54" t="e">
        <f>IF(AND(H89&gt;H$9, H89&gt;(H$9+H$8),$D89&gt;'RV ERU Connections'!$F$38),R88,IF(H89&gt;H$9,((('Rate Projection'!$C$6+(VLOOKUP($B89,'Rate Projection'!$A$11:$G$101,5)))*(H89-H$9)/100)+(VLOOKUP($B89,'Rate Projection'!$A$11:$G$101,3)*'Monthly Revenue-Usage'!H$9/100)),(VLOOKUP($B89,'Rate Projection'!$A$11:$G$101,3)*('Monthly Revenue-Usage'!H89/100))))</f>
        <v>#REF!</v>
      </c>
      <c r="S89" s="54" t="e">
        <f>IF(AND(I89&gt;I$9, I89&gt;(I$9+I$8),$D89&gt;'RV ERU Connections'!$F$38),S88,IF(I89&gt;I$9,((('Rate Projection'!$C$6+(VLOOKUP($B89,'Rate Projection'!$A$11:$G$101,5)))*(I89-I$9)/100)+(VLOOKUP($B89,'Rate Projection'!$A$11:$G$101,3)*'Monthly Revenue-Usage'!I$9/100)),(VLOOKUP($B89,'Rate Projection'!$A$11:$G$101,3)*('Monthly Revenue-Usage'!I89/100))))</f>
        <v>#REF!</v>
      </c>
      <c r="T89" s="52" t="e">
        <f>IF(AND(E89&gt;E$9, E89&gt;(E$9+E$8),$D89&gt;'RV ERU Connections'!$F$38),T88,IF(E89&gt;E$8,((((VLOOKUP($B89,'Rate Projection'!$A$11:$G$101,2)))*(E89-E$8)/100)+(VLOOKUP($B89,'Rate Projection'!$A$11:$G$101,4)*'Monthly Revenue-Usage'!E$8/100)),(VLOOKUP($B89,'Rate Projection'!$A$11:$G$101,4)*('Monthly Revenue-Usage'!E89/100))))</f>
        <v>#REF!</v>
      </c>
      <c r="U89" s="52" t="e">
        <f>IF(AND(F89&gt;F$9, F89&gt;(F$9+F$8),$D89&gt;'RV ERU Connections'!$F$38),U88,IF(F89&gt;F$8,((((VLOOKUP($B89,'Rate Projection'!$A$11:$G$101,3)))*(F89-F$8)/100)+(VLOOKUP($B89,'Rate Projection'!$A$11:$G$101,5)*'Monthly Revenue-Usage'!F$8/100)),(VLOOKUP($B89,'Rate Projection'!$A$11:$G$101,5)*('Monthly Revenue-Usage'!F89/100))))</f>
        <v>#REF!</v>
      </c>
      <c r="V89" s="52" t="e">
        <f>IF(AND(G89&gt;G$9, G89&gt;(G$9+G$8),$D89&gt;'RV ERU Connections'!$F$38),V88,IF(G89&gt;G$8,((((VLOOKUP($B89,'Rate Projection'!$A$11:$G$101,3)))*(G89-G$8)/100)+(VLOOKUP($B89,'Rate Projection'!$A$11:$G$101,5)*'Monthly Revenue-Usage'!G$8/100)),(VLOOKUP($B89,'Rate Projection'!$A$11:$G$101,5)*('Monthly Revenue-Usage'!G89/100))))</f>
        <v>#REF!</v>
      </c>
      <c r="W89" s="52" t="e">
        <f>IF(AND(H89&gt;H$9, H89&gt;(H$9+H$8),$D89&gt;'RV ERU Connections'!$F$38),W88,IF(H89&gt;H$8,((((VLOOKUP($B89,'Rate Projection'!$A$11:$G$101,3)))*(H89-H$8)/100)+(VLOOKUP($B89,'Rate Projection'!$A$11:$G$101,5)*'Monthly Revenue-Usage'!H$8/100)),(VLOOKUP($B89,'Rate Projection'!$A$11:$G$101,5)*('Monthly Revenue-Usage'!H89/100))))</f>
        <v>#REF!</v>
      </c>
      <c r="X89" s="52" t="e">
        <f>IF(AND(I89&gt;I$9, I89&gt;(I$9+I$8),$D89&gt;'RV ERU Connections'!$F$38),X88,IF(I89&gt;I$8,((((VLOOKUP($B89,'Rate Projection'!$A$11:$G$101,3)))*(I89-I$8)/100)+(VLOOKUP($B89,'Rate Projection'!$A$11:$G$101,5)*'Monthly Revenue-Usage'!I$8/100)),(VLOOKUP($B89,'Rate Projection'!$A$11:$G$101,5)*('Monthly Revenue-Usage'!I89/100))))</f>
        <v>#REF!</v>
      </c>
      <c r="Z89" s="53" t="e">
        <f>(-ISPMT('Monthly Revenue-Usage'!$Z$10/12, 1,1*12, Z88)*12)+Z88</f>
        <v>#REF!</v>
      </c>
      <c r="AA89" s="53" t="e">
        <f t="shared" si="15"/>
        <v>#REF!</v>
      </c>
    </row>
    <row r="90" spans="2:27" x14ac:dyDescent="0.3">
      <c r="B90" s="59">
        <f t="shared" si="16"/>
        <v>2088</v>
      </c>
      <c r="C90" s="5" t="e">
        <f t="shared" si="17"/>
        <v>#REF!</v>
      </c>
      <c r="D90" s="5" t="e">
        <f t="shared" si="14"/>
        <v>#REF!</v>
      </c>
      <c r="E90" s="46" t="e">
        <f t="shared" si="9"/>
        <v>#REF!</v>
      </c>
      <c r="F90" s="46" t="e">
        <f t="shared" si="10"/>
        <v>#REF!</v>
      </c>
      <c r="G90" s="46" t="e">
        <f t="shared" si="11"/>
        <v>#REF!</v>
      </c>
      <c r="H90" s="46" t="e">
        <f t="shared" si="12"/>
        <v>#REF!</v>
      </c>
      <c r="I90" s="46" t="e">
        <f t="shared" si="13"/>
        <v>#REF!</v>
      </c>
      <c r="J90" s="53" t="e">
        <f>IF(AND(E90&gt;E$9, $D90&gt;'RV ERU Connections'!$F$37),J89,(VLOOKUP($B90,'Rate Projection'!$A$11:$G$101,2)*(E90/100)))</f>
        <v>#REF!</v>
      </c>
      <c r="K90" s="53" t="e">
        <f>IF(AND(F90&gt;F$9, $D90&gt;'RV ERU Connections'!$F$37),K89,(VLOOKUP($B90,'Rate Projection'!$A$11:$G$101,3)*(F90/100)))</f>
        <v>#REF!</v>
      </c>
      <c r="L90" s="53" t="e">
        <f>IF(AND(G90&gt;G$9, $D90&gt;'RV ERU Connections'!$F$37),L89,(VLOOKUP($B90,'Rate Projection'!$A$11:$G$101,3)*(G90/100)))</f>
        <v>#REF!</v>
      </c>
      <c r="M90" s="53" t="e">
        <f>IF(AND(H90&gt;H$9, $D90&gt;'RV ERU Connections'!$F$37),M89,(VLOOKUP($B90,'Rate Projection'!$A$11:$G$101,3)*(H90/100)))</f>
        <v>#REF!</v>
      </c>
      <c r="N90" s="53" t="e">
        <f>IF(AND(I90&gt;I$9, $D90&gt;'RV ERU Connections'!$F$37),N89,(VLOOKUP($B90,'Rate Projection'!$A$11:$G$101,3)*(I90/100)))</f>
        <v>#REF!</v>
      </c>
      <c r="O90" s="54" t="e">
        <f>IF(AND(E90&gt;E$9, E90&gt;(E$9+E$8),$D90&gt;'RV ERU Connections'!$F$38),O89,IF(E90&gt;E$9,((('Rate Projection'!$C$6+(VLOOKUP($B90,'Rate Projection'!$A$11:$G$101,4)))*(E90-E$9)/100)+(VLOOKUP($B90,'Rate Projection'!$A$11:$G$101,2)*'Monthly Revenue-Usage'!E$9/100)),(VLOOKUP($B90,'Rate Projection'!$A$11:$G$101,2)*('Monthly Revenue-Usage'!E90/100))))</f>
        <v>#REF!</v>
      </c>
      <c r="P90" s="54" t="e">
        <f>IF(AND(F90&gt;F$9, F90&gt;(F$9+F$8),$D90&gt;'RV ERU Connections'!$F$38),P89,IF(F90&gt;F$9,((('Rate Projection'!$C$6+(VLOOKUP($B90,'Rate Projection'!$A$11:$G$101,5)))*(F90-F$9)/100)+(VLOOKUP($B90,'Rate Projection'!$A$11:$G$101,3)*'Monthly Revenue-Usage'!F$9/100)),(VLOOKUP($B90,'Rate Projection'!$A$11:$G$101,3)*('Monthly Revenue-Usage'!F90/100))))</f>
        <v>#REF!</v>
      </c>
      <c r="Q90" s="54" t="e">
        <f>IF(AND(G90&gt;G$9, G90&gt;(G$9+G$8),$D90&gt;'RV ERU Connections'!$F$38),Q89,IF(G90&gt;G$9,((('Rate Projection'!$C$6+(VLOOKUP($B90,'Rate Projection'!$A$11:$G$101,5)))*(G90-G$9)/100)+(VLOOKUP($B90,'Rate Projection'!$A$11:$G$101,3)*'Monthly Revenue-Usage'!G$9/100)),(VLOOKUP($B90,'Rate Projection'!$A$11:$G$101,3)*('Monthly Revenue-Usage'!G90/100))))</f>
        <v>#REF!</v>
      </c>
      <c r="R90" s="54" t="e">
        <f>IF(AND(H90&gt;H$9, H90&gt;(H$9+H$8),$D90&gt;'RV ERU Connections'!$F$38),R89,IF(H90&gt;H$9,((('Rate Projection'!$C$6+(VLOOKUP($B90,'Rate Projection'!$A$11:$G$101,5)))*(H90-H$9)/100)+(VLOOKUP($B90,'Rate Projection'!$A$11:$G$101,3)*'Monthly Revenue-Usage'!H$9/100)),(VLOOKUP($B90,'Rate Projection'!$A$11:$G$101,3)*('Monthly Revenue-Usage'!H90/100))))</f>
        <v>#REF!</v>
      </c>
      <c r="S90" s="54" t="e">
        <f>IF(AND(I90&gt;I$9, I90&gt;(I$9+I$8),$D90&gt;'RV ERU Connections'!$F$38),S89,IF(I90&gt;I$9,((('Rate Projection'!$C$6+(VLOOKUP($B90,'Rate Projection'!$A$11:$G$101,5)))*(I90-I$9)/100)+(VLOOKUP($B90,'Rate Projection'!$A$11:$G$101,3)*'Monthly Revenue-Usage'!I$9/100)),(VLOOKUP($B90,'Rate Projection'!$A$11:$G$101,3)*('Monthly Revenue-Usage'!I90/100))))</f>
        <v>#REF!</v>
      </c>
      <c r="T90" s="52" t="e">
        <f>IF(AND(E90&gt;E$9, E90&gt;(E$9+E$8),$D90&gt;'RV ERU Connections'!$F$38),T89,IF(E90&gt;E$8,((((VLOOKUP($B90,'Rate Projection'!$A$11:$G$101,2)))*(E90-E$8)/100)+(VLOOKUP($B90,'Rate Projection'!$A$11:$G$101,4)*'Monthly Revenue-Usage'!E$8/100)),(VLOOKUP($B90,'Rate Projection'!$A$11:$G$101,4)*('Monthly Revenue-Usage'!E90/100))))</f>
        <v>#REF!</v>
      </c>
      <c r="U90" s="52" t="e">
        <f>IF(AND(F90&gt;F$9, F90&gt;(F$9+F$8),$D90&gt;'RV ERU Connections'!$F$38),U89,IF(F90&gt;F$8,((((VLOOKUP($B90,'Rate Projection'!$A$11:$G$101,3)))*(F90-F$8)/100)+(VLOOKUP($B90,'Rate Projection'!$A$11:$G$101,5)*'Monthly Revenue-Usage'!F$8/100)),(VLOOKUP($B90,'Rate Projection'!$A$11:$G$101,5)*('Monthly Revenue-Usage'!F90/100))))</f>
        <v>#REF!</v>
      </c>
      <c r="V90" s="52" t="e">
        <f>IF(AND(G90&gt;G$9, G90&gt;(G$9+G$8),$D90&gt;'RV ERU Connections'!$F$38),V89,IF(G90&gt;G$8,((((VLOOKUP($B90,'Rate Projection'!$A$11:$G$101,3)))*(G90-G$8)/100)+(VLOOKUP($B90,'Rate Projection'!$A$11:$G$101,5)*'Monthly Revenue-Usage'!G$8/100)),(VLOOKUP($B90,'Rate Projection'!$A$11:$G$101,5)*('Monthly Revenue-Usage'!G90/100))))</f>
        <v>#REF!</v>
      </c>
      <c r="W90" s="52" t="e">
        <f>IF(AND(H90&gt;H$9, H90&gt;(H$9+H$8),$D90&gt;'RV ERU Connections'!$F$38),W89,IF(H90&gt;H$8,((((VLOOKUP($B90,'Rate Projection'!$A$11:$G$101,3)))*(H90-H$8)/100)+(VLOOKUP($B90,'Rate Projection'!$A$11:$G$101,5)*'Monthly Revenue-Usage'!H$8/100)),(VLOOKUP($B90,'Rate Projection'!$A$11:$G$101,5)*('Monthly Revenue-Usage'!H90/100))))</f>
        <v>#REF!</v>
      </c>
      <c r="X90" s="52" t="e">
        <f>IF(AND(I90&gt;I$9, I90&gt;(I$9+I$8),$D90&gt;'RV ERU Connections'!$F$38),X89,IF(I90&gt;I$8,((((VLOOKUP($B90,'Rate Projection'!$A$11:$G$101,3)))*(I90-I$8)/100)+(VLOOKUP($B90,'Rate Projection'!$A$11:$G$101,5)*'Monthly Revenue-Usage'!I$8/100)),(VLOOKUP($B90,'Rate Projection'!$A$11:$G$101,5)*('Monthly Revenue-Usage'!I90/100))))</f>
        <v>#REF!</v>
      </c>
      <c r="Z90" s="53" t="e">
        <f>(-ISPMT('Monthly Revenue-Usage'!$Z$10/12, 1,1*12, Z89)*12)+Z89</f>
        <v>#REF!</v>
      </c>
      <c r="AA90" s="53" t="e">
        <f t="shared" si="15"/>
        <v>#REF!</v>
      </c>
    </row>
    <row r="91" spans="2:27" x14ac:dyDescent="0.3">
      <c r="B91" s="59">
        <f t="shared" si="16"/>
        <v>2089</v>
      </c>
      <c r="C91" s="5" t="e">
        <f t="shared" si="17"/>
        <v>#REF!</v>
      </c>
      <c r="D91" s="5" t="e">
        <f t="shared" si="14"/>
        <v>#REF!</v>
      </c>
      <c r="E91" s="46" t="e">
        <f t="shared" si="9"/>
        <v>#REF!</v>
      </c>
      <c r="F91" s="46" t="e">
        <f t="shared" si="10"/>
        <v>#REF!</v>
      </c>
      <c r="G91" s="46" t="e">
        <f t="shared" si="11"/>
        <v>#REF!</v>
      </c>
      <c r="H91" s="46" t="e">
        <f t="shared" si="12"/>
        <v>#REF!</v>
      </c>
      <c r="I91" s="46" t="e">
        <f t="shared" si="13"/>
        <v>#REF!</v>
      </c>
      <c r="J91" s="53" t="e">
        <f>IF(AND(E91&gt;E$9, $D91&gt;'RV ERU Connections'!$F$37),J90,(VLOOKUP($B91,'Rate Projection'!$A$11:$G$101,2)*(E91/100)))</f>
        <v>#REF!</v>
      </c>
      <c r="K91" s="53" t="e">
        <f>IF(AND(F91&gt;F$9, $D91&gt;'RV ERU Connections'!$F$37),K90,(VLOOKUP($B91,'Rate Projection'!$A$11:$G$101,3)*(F91/100)))</f>
        <v>#REF!</v>
      </c>
      <c r="L91" s="53" t="e">
        <f>IF(AND(G91&gt;G$9, $D91&gt;'RV ERU Connections'!$F$37),L90,(VLOOKUP($B91,'Rate Projection'!$A$11:$G$101,3)*(G91/100)))</f>
        <v>#REF!</v>
      </c>
      <c r="M91" s="53" t="e">
        <f>IF(AND(H91&gt;H$9, $D91&gt;'RV ERU Connections'!$F$37),M90,(VLOOKUP($B91,'Rate Projection'!$A$11:$G$101,3)*(H91/100)))</f>
        <v>#REF!</v>
      </c>
      <c r="N91" s="53" t="e">
        <f>IF(AND(I91&gt;I$9, $D91&gt;'RV ERU Connections'!$F$37),N90,(VLOOKUP($B91,'Rate Projection'!$A$11:$G$101,3)*(I91/100)))</f>
        <v>#REF!</v>
      </c>
      <c r="O91" s="54" t="e">
        <f>IF(AND(E91&gt;E$9, E91&gt;(E$9+E$8),$D91&gt;'RV ERU Connections'!$F$38),O90,IF(E91&gt;E$9,((('Rate Projection'!$C$6+(VLOOKUP($B91,'Rate Projection'!$A$11:$G$101,4)))*(E91-E$9)/100)+(VLOOKUP($B91,'Rate Projection'!$A$11:$G$101,2)*'Monthly Revenue-Usage'!E$9/100)),(VLOOKUP($B91,'Rate Projection'!$A$11:$G$101,2)*('Monthly Revenue-Usage'!E91/100))))</f>
        <v>#REF!</v>
      </c>
      <c r="P91" s="54" t="e">
        <f>IF(AND(F91&gt;F$9, F91&gt;(F$9+F$8),$D91&gt;'RV ERU Connections'!$F$38),P90,IF(F91&gt;F$9,((('Rate Projection'!$C$6+(VLOOKUP($B91,'Rate Projection'!$A$11:$G$101,5)))*(F91-F$9)/100)+(VLOOKUP($B91,'Rate Projection'!$A$11:$G$101,3)*'Monthly Revenue-Usage'!F$9/100)),(VLOOKUP($B91,'Rate Projection'!$A$11:$G$101,3)*('Monthly Revenue-Usage'!F91/100))))</f>
        <v>#REF!</v>
      </c>
      <c r="Q91" s="54" t="e">
        <f>IF(AND(G91&gt;G$9, G91&gt;(G$9+G$8),$D91&gt;'RV ERU Connections'!$F$38),Q90,IF(G91&gt;G$9,((('Rate Projection'!$C$6+(VLOOKUP($B91,'Rate Projection'!$A$11:$G$101,5)))*(G91-G$9)/100)+(VLOOKUP($B91,'Rate Projection'!$A$11:$G$101,3)*'Monthly Revenue-Usage'!G$9/100)),(VLOOKUP($B91,'Rate Projection'!$A$11:$G$101,3)*('Monthly Revenue-Usage'!G91/100))))</f>
        <v>#REF!</v>
      </c>
      <c r="R91" s="54" t="e">
        <f>IF(AND(H91&gt;H$9, H91&gt;(H$9+H$8),$D91&gt;'RV ERU Connections'!$F$38),R90,IF(H91&gt;H$9,((('Rate Projection'!$C$6+(VLOOKUP($B91,'Rate Projection'!$A$11:$G$101,5)))*(H91-H$9)/100)+(VLOOKUP($B91,'Rate Projection'!$A$11:$G$101,3)*'Monthly Revenue-Usage'!H$9/100)),(VLOOKUP($B91,'Rate Projection'!$A$11:$G$101,3)*('Monthly Revenue-Usage'!H91/100))))</f>
        <v>#REF!</v>
      </c>
      <c r="S91" s="54" t="e">
        <f>IF(AND(I91&gt;I$9, I91&gt;(I$9+I$8),$D91&gt;'RV ERU Connections'!$F$38),S90,IF(I91&gt;I$9,((('Rate Projection'!$C$6+(VLOOKUP($B91,'Rate Projection'!$A$11:$G$101,5)))*(I91-I$9)/100)+(VLOOKUP($B91,'Rate Projection'!$A$11:$G$101,3)*'Monthly Revenue-Usage'!I$9/100)),(VLOOKUP($B91,'Rate Projection'!$A$11:$G$101,3)*('Monthly Revenue-Usage'!I91/100))))</f>
        <v>#REF!</v>
      </c>
      <c r="T91" s="52" t="e">
        <f>IF(AND(E91&gt;E$9, E91&gt;(E$9+E$8),$D91&gt;'RV ERU Connections'!$F$38),T90,IF(E91&gt;E$8,((((VLOOKUP($B91,'Rate Projection'!$A$11:$G$101,2)))*(E91-E$8)/100)+(VLOOKUP($B91,'Rate Projection'!$A$11:$G$101,4)*'Monthly Revenue-Usage'!E$8/100)),(VLOOKUP($B91,'Rate Projection'!$A$11:$G$101,4)*('Monthly Revenue-Usage'!E91/100))))</f>
        <v>#REF!</v>
      </c>
      <c r="U91" s="52" t="e">
        <f>IF(AND(F91&gt;F$9, F91&gt;(F$9+F$8),$D91&gt;'RV ERU Connections'!$F$38),U90,IF(F91&gt;F$8,((((VLOOKUP($B91,'Rate Projection'!$A$11:$G$101,3)))*(F91-F$8)/100)+(VLOOKUP($B91,'Rate Projection'!$A$11:$G$101,5)*'Monthly Revenue-Usage'!F$8/100)),(VLOOKUP($B91,'Rate Projection'!$A$11:$G$101,5)*('Monthly Revenue-Usage'!F91/100))))</f>
        <v>#REF!</v>
      </c>
      <c r="V91" s="52" t="e">
        <f>IF(AND(G91&gt;G$9, G91&gt;(G$9+G$8),$D91&gt;'RV ERU Connections'!$F$38),V90,IF(G91&gt;G$8,((((VLOOKUP($B91,'Rate Projection'!$A$11:$G$101,3)))*(G91-G$8)/100)+(VLOOKUP($B91,'Rate Projection'!$A$11:$G$101,5)*'Monthly Revenue-Usage'!G$8/100)),(VLOOKUP($B91,'Rate Projection'!$A$11:$G$101,5)*('Monthly Revenue-Usage'!G91/100))))</f>
        <v>#REF!</v>
      </c>
      <c r="W91" s="52" t="e">
        <f>IF(AND(H91&gt;H$9, H91&gt;(H$9+H$8),$D91&gt;'RV ERU Connections'!$F$38),W90,IF(H91&gt;H$8,((((VLOOKUP($B91,'Rate Projection'!$A$11:$G$101,3)))*(H91-H$8)/100)+(VLOOKUP($B91,'Rate Projection'!$A$11:$G$101,5)*'Monthly Revenue-Usage'!H$8/100)),(VLOOKUP($B91,'Rate Projection'!$A$11:$G$101,5)*('Monthly Revenue-Usage'!H91/100))))</f>
        <v>#REF!</v>
      </c>
      <c r="X91" s="52" t="e">
        <f>IF(AND(I91&gt;I$9, I91&gt;(I$9+I$8),$D91&gt;'RV ERU Connections'!$F$38),X90,IF(I91&gt;I$8,((((VLOOKUP($B91,'Rate Projection'!$A$11:$G$101,3)))*(I91-I$8)/100)+(VLOOKUP($B91,'Rate Projection'!$A$11:$G$101,5)*'Monthly Revenue-Usage'!I$8/100)),(VLOOKUP($B91,'Rate Projection'!$A$11:$G$101,5)*('Monthly Revenue-Usage'!I91/100))))</f>
        <v>#REF!</v>
      </c>
      <c r="Z91" s="53" t="e">
        <f>(-ISPMT('Monthly Revenue-Usage'!$Z$10/12, 1,1*12, Z90)*12)+Z90</f>
        <v>#REF!</v>
      </c>
      <c r="AA91" s="53" t="e">
        <f t="shared" si="15"/>
        <v>#REF!</v>
      </c>
    </row>
    <row r="92" spans="2:27" x14ac:dyDescent="0.3">
      <c r="B92" s="59">
        <f t="shared" si="16"/>
        <v>2090</v>
      </c>
      <c r="C92" s="5" t="e">
        <f t="shared" si="17"/>
        <v>#REF!</v>
      </c>
      <c r="D92" s="5" t="e">
        <f t="shared" si="14"/>
        <v>#REF!</v>
      </c>
      <c r="E92" s="46" t="e">
        <f t="shared" si="9"/>
        <v>#REF!</v>
      </c>
      <c r="F92" s="46" t="e">
        <f t="shared" si="10"/>
        <v>#REF!</v>
      </c>
      <c r="G92" s="46" t="e">
        <f t="shared" si="11"/>
        <v>#REF!</v>
      </c>
      <c r="H92" s="46" t="e">
        <f t="shared" si="12"/>
        <v>#REF!</v>
      </c>
      <c r="I92" s="46" t="e">
        <f t="shared" si="13"/>
        <v>#REF!</v>
      </c>
      <c r="J92" s="53" t="e">
        <f>IF(AND(E92&gt;E$9, $D92&gt;'RV ERU Connections'!$F$37),J91,(VLOOKUP($B92,'Rate Projection'!$A$11:$G$101,2)*(E92/100)))</f>
        <v>#REF!</v>
      </c>
      <c r="K92" s="53" t="e">
        <f>IF(AND(F92&gt;F$9, $D92&gt;'RV ERU Connections'!$F$37),K91,(VLOOKUP($B92,'Rate Projection'!$A$11:$G$101,3)*(F92/100)))</f>
        <v>#REF!</v>
      </c>
      <c r="L92" s="53" t="e">
        <f>IF(AND(G92&gt;G$9, $D92&gt;'RV ERU Connections'!$F$37),L91,(VLOOKUP($B92,'Rate Projection'!$A$11:$G$101,3)*(G92/100)))</f>
        <v>#REF!</v>
      </c>
      <c r="M92" s="53" t="e">
        <f>IF(AND(H92&gt;H$9, $D92&gt;'RV ERU Connections'!$F$37),M91,(VLOOKUP($B92,'Rate Projection'!$A$11:$G$101,3)*(H92/100)))</f>
        <v>#REF!</v>
      </c>
      <c r="N92" s="53" t="e">
        <f>IF(AND(I92&gt;I$9, $D92&gt;'RV ERU Connections'!$F$37),N91,(VLOOKUP($B92,'Rate Projection'!$A$11:$G$101,3)*(I92/100)))</f>
        <v>#REF!</v>
      </c>
      <c r="O92" s="54" t="e">
        <f>IF(AND(E92&gt;E$9, E92&gt;(E$9+E$8),$D92&gt;'RV ERU Connections'!$F$38),O91,IF(E92&gt;E$9,((('Rate Projection'!$C$6+(VLOOKUP($B92,'Rate Projection'!$A$11:$G$101,4)))*(E92-E$9)/100)+(VLOOKUP($B92,'Rate Projection'!$A$11:$G$101,2)*'Monthly Revenue-Usage'!E$9/100)),(VLOOKUP($B92,'Rate Projection'!$A$11:$G$101,2)*('Monthly Revenue-Usage'!E92/100))))</f>
        <v>#REF!</v>
      </c>
      <c r="P92" s="54" t="e">
        <f>IF(AND(F92&gt;F$9, F92&gt;(F$9+F$8),$D92&gt;'RV ERU Connections'!$F$38),P91,IF(F92&gt;F$9,((('Rate Projection'!$C$6+(VLOOKUP($B92,'Rate Projection'!$A$11:$G$101,5)))*(F92-F$9)/100)+(VLOOKUP($B92,'Rate Projection'!$A$11:$G$101,3)*'Monthly Revenue-Usage'!F$9/100)),(VLOOKUP($B92,'Rate Projection'!$A$11:$G$101,3)*('Monthly Revenue-Usage'!F92/100))))</f>
        <v>#REF!</v>
      </c>
      <c r="Q92" s="54" t="e">
        <f>IF(AND(G92&gt;G$9, G92&gt;(G$9+G$8),$D92&gt;'RV ERU Connections'!$F$38),Q91,IF(G92&gt;G$9,((('Rate Projection'!$C$6+(VLOOKUP($B92,'Rate Projection'!$A$11:$G$101,5)))*(G92-G$9)/100)+(VLOOKUP($B92,'Rate Projection'!$A$11:$G$101,3)*'Monthly Revenue-Usage'!G$9/100)),(VLOOKUP($B92,'Rate Projection'!$A$11:$G$101,3)*('Monthly Revenue-Usage'!G92/100))))</f>
        <v>#REF!</v>
      </c>
      <c r="R92" s="54" t="e">
        <f>IF(AND(H92&gt;H$9, H92&gt;(H$9+H$8),$D92&gt;'RV ERU Connections'!$F$38),R91,IF(H92&gt;H$9,((('Rate Projection'!$C$6+(VLOOKUP($B92,'Rate Projection'!$A$11:$G$101,5)))*(H92-H$9)/100)+(VLOOKUP($B92,'Rate Projection'!$A$11:$G$101,3)*'Monthly Revenue-Usage'!H$9/100)),(VLOOKUP($B92,'Rate Projection'!$A$11:$G$101,3)*('Monthly Revenue-Usage'!H92/100))))</f>
        <v>#REF!</v>
      </c>
      <c r="S92" s="54" t="e">
        <f>IF(AND(I92&gt;I$9, I92&gt;(I$9+I$8),$D92&gt;'RV ERU Connections'!$F$38),S91,IF(I92&gt;I$9,((('Rate Projection'!$C$6+(VLOOKUP($B92,'Rate Projection'!$A$11:$G$101,5)))*(I92-I$9)/100)+(VLOOKUP($B92,'Rate Projection'!$A$11:$G$101,3)*'Monthly Revenue-Usage'!I$9/100)),(VLOOKUP($B92,'Rate Projection'!$A$11:$G$101,3)*('Monthly Revenue-Usage'!I92/100))))</f>
        <v>#REF!</v>
      </c>
      <c r="T92" s="52" t="e">
        <f>IF(AND(E92&gt;E$9, E92&gt;(E$9+E$8),$D92&gt;'RV ERU Connections'!$F$38),T91,IF(E92&gt;E$8,((((VLOOKUP($B92,'Rate Projection'!$A$11:$G$101,2)))*(E92-E$8)/100)+(VLOOKUP($B92,'Rate Projection'!$A$11:$G$101,4)*'Monthly Revenue-Usage'!E$8/100)),(VLOOKUP($B92,'Rate Projection'!$A$11:$G$101,4)*('Monthly Revenue-Usage'!E92/100))))</f>
        <v>#REF!</v>
      </c>
      <c r="U92" s="52" t="e">
        <f>IF(AND(F92&gt;F$9, F92&gt;(F$9+F$8),$D92&gt;'RV ERU Connections'!$F$38),U91,IF(F92&gt;F$8,((((VLOOKUP($B92,'Rate Projection'!$A$11:$G$101,3)))*(F92-F$8)/100)+(VLOOKUP($B92,'Rate Projection'!$A$11:$G$101,5)*'Monthly Revenue-Usage'!F$8/100)),(VLOOKUP($B92,'Rate Projection'!$A$11:$G$101,5)*('Monthly Revenue-Usage'!F92/100))))</f>
        <v>#REF!</v>
      </c>
      <c r="V92" s="52" t="e">
        <f>IF(AND(G92&gt;G$9, G92&gt;(G$9+G$8),$D92&gt;'RV ERU Connections'!$F$38),V91,IF(G92&gt;G$8,((((VLOOKUP($B92,'Rate Projection'!$A$11:$G$101,3)))*(G92-G$8)/100)+(VLOOKUP($B92,'Rate Projection'!$A$11:$G$101,5)*'Monthly Revenue-Usage'!G$8/100)),(VLOOKUP($B92,'Rate Projection'!$A$11:$G$101,5)*('Monthly Revenue-Usage'!G92/100))))</f>
        <v>#REF!</v>
      </c>
      <c r="W92" s="52" t="e">
        <f>IF(AND(H92&gt;H$9, H92&gt;(H$9+H$8),$D92&gt;'RV ERU Connections'!$F$38),W91,IF(H92&gt;H$8,((((VLOOKUP($B92,'Rate Projection'!$A$11:$G$101,3)))*(H92-H$8)/100)+(VLOOKUP($B92,'Rate Projection'!$A$11:$G$101,5)*'Monthly Revenue-Usage'!H$8/100)),(VLOOKUP($B92,'Rate Projection'!$A$11:$G$101,5)*('Monthly Revenue-Usage'!H92/100))))</f>
        <v>#REF!</v>
      </c>
      <c r="X92" s="52" t="e">
        <f>IF(AND(I92&gt;I$9, I92&gt;(I$9+I$8),$D92&gt;'RV ERU Connections'!$F$38),X91,IF(I92&gt;I$8,((((VLOOKUP($B92,'Rate Projection'!$A$11:$G$101,3)))*(I92-I$8)/100)+(VLOOKUP($B92,'Rate Projection'!$A$11:$G$101,5)*'Monthly Revenue-Usage'!I$8/100)),(VLOOKUP($B92,'Rate Projection'!$A$11:$G$101,5)*('Monthly Revenue-Usage'!I92/100))))</f>
        <v>#REF!</v>
      </c>
      <c r="Z92" s="53" t="e">
        <f>(-ISPMT('Monthly Revenue-Usage'!$Z$10/12, 1,1*12, Z91)*12)+Z91</f>
        <v>#REF!</v>
      </c>
      <c r="AA92" s="53" t="e">
        <f t="shared" si="15"/>
        <v>#REF!</v>
      </c>
    </row>
    <row r="93" spans="2:27" x14ac:dyDescent="0.3">
      <c r="B93" s="59">
        <f t="shared" si="16"/>
        <v>2091</v>
      </c>
      <c r="C93" s="5" t="e">
        <f t="shared" si="17"/>
        <v>#REF!</v>
      </c>
      <c r="D93" s="5" t="e">
        <f t="shared" si="14"/>
        <v>#REF!</v>
      </c>
      <c r="E93" s="46" t="e">
        <f t="shared" si="9"/>
        <v>#REF!</v>
      </c>
      <c r="F93" s="46" t="e">
        <f t="shared" si="10"/>
        <v>#REF!</v>
      </c>
      <c r="G93" s="46" t="e">
        <f t="shared" si="11"/>
        <v>#REF!</v>
      </c>
      <c r="H93" s="46" t="e">
        <f t="shared" si="12"/>
        <v>#REF!</v>
      </c>
      <c r="I93" s="46" t="e">
        <f t="shared" si="13"/>
        <v>#REF!</v>
      </c>
      <c r="J93" s="53" t="e">
        <f>IF(AND(E93&gt;E$9, $D93&gt;'RV ERU Connections'!$F$37),J92,(VLOOKUP($B93,'Rate Projection'!$A$11:$G$101,2)*(E93/100)))</f>
        <v>#REF!</v>
      </c>
      <c r="K93" s="53" t="e">
        <f>IF(AND(F93&gt;F$9, $D93&gt;'RV ERU Connections'!$F$37),K92,(VLOOKUP($B93,'Rate Projection'!$A$11:$G$101,3)*(F93/100)))</f>
        <v>#REF!</v>
      </c>
      <c r="L93" s="53" t="e">
        <f>IF(AND(G93&gt;G$9, $D93&gt;'RV ERU Connections'!$F$37),L92,(VLOOKUP($B93,'Rate Projection'!$A$11:$G$101,3)*(G93/100)))</f>
        <v>#REF!</v>
      </c>
      <c r="M93" s="53" t="e">
        <f>IF(AND(H93&gt;H$9, $D93&gt;'RV ERU Connections'!$F$37),M92,(VLOOKUP($B93,'Rate Projection'!$A$11:$G$101,3)*(H93/100)))</f>
        <v>#REF!</v>
      </c>
      <c r="N93" s="53" t="e">
        <f>IF(AND(I93&gt;I$9, $D93&gt;'RV ERU Connections'!$F$37),N92,(VLOOKUP($B93,'Rate Projection'!$A$11:$G$101,3)*(I93/100)))</f>
        <v>#REF!</v>
      </c>
      <c r="O93" s="54" t="e">
        <f>IF(AND(E93&gt;E$9, E93&gt;(E$9+E$8),$D93&gt;'RV ERU Connections'!$F$38),O92,IF(E93&gt;E$9,((('Rate Projection'!$C$6+(VLOOKUP($B93,'Rate Projection'!$A$11:$G$101,4)))*(E93-E$9)/100)+(VLOOKUP($B93,'Rate Projection'!$A$11:$G$101,2)*'Monthly Revenue-Usage'!E$9/100)),(VLOOKUP($B93,'Rate Projection'!$A$11:$G$101,2)*('Monthly Revenue-Usage'!E93/100))))</f>
        <v>#REF!</v>
      </c>
      <c r="P93" s="54" t="e">
        <f>IF(AND(F93&gt;F$9, F93&gt;(F$9+F$8),$D93&gt;'RV ERU Connections'!$F$38),P92,IF(F93&gt;F$9,((('Rate Projection'!$C$6+(VLOOKUP($B93,'Rate Projection'!$A$11:$G$101,5)))*(F93-F$9)/100)+(VLOOKUP($B93,'Rate Projection'!$A$11:$G$101,3)*'Monthly Revenue-Usage'!F$9/100)),(VLOOKUP($B93,'Rate Projection'!$A$11:$G$101,3)*('Monthly Revenue-Usage'!F93/100))))</f>
        <v>#REF!</v>
      </c>
      <c r="Q93" s="54" t="e">
        <f>IF(AND(G93&gt;G$9, G93&gt;(G$9+G$8),$D93&gt;'RV ERU Connections'!$F$38),Q92,IF(G93&gt;G$9,((('Rate Projection'!$C$6+(VLOOKUP($B93,'Rate Projection'!$A$11:$G$101,5)))*(G93-G$9)/100)+(VLOOKUP($B93,'Rate Projection'!$A$11:$G$101,3)*'Monthly Revenue-Usage'!G$9/100)),(VLOOKUP($B93,'Rate Projection'!$A$11:$G$101,3)*('Monthly Revenue-Usage'!G93/100))))</f>
        <v>#REF!</v>
      </c>
      <c r="R93" s="54" t="e">
        <f>IF(AND(H93&gt;H$9, H93&gt;(H$9+H$8),$D93&gt;'RV ERU Connections'!$F$38),R92,IF(H93&gt;H$9,((('Rate Projection'!$C$6+(VLOOKUP($B93,'Rate Projection'!$A$11:$G$101,5)))*(H93-H$9)/100)+(VLOOKUP($B93,'Rate Projection'!$A$11:$G$101,3)*'Monthly Revenue-Usage'!H$9/100)),(VLOOKUP($B93,'Rate Projection'!$A$11:$G$101,3)*('Monthly Revenue-Usage'!H93/100))))</f>
        <v>#REF!</v>
      </c>
      <c r="S93" s="54" t="e">
        <f>IF(AND(I93&gt;I$9, I93&gt;(I$9+I$8),$D93&gt;'RV ERU Connections'!$F$38),S92,IF(I93&gt;I$9,((('Rate Projection'!$C$6+(VLOOKUP($B93,'Rate Projection'!$A$11:$G$101,5)))*(I93-I$9)/100)+(VLOOKUP($B93,'Rate Projection'!$A$11:$G$101,3)*'Monthly Revenue-Usage'!I$9/100)),(VLOOKUP($B93,'Rate Projection'!$A$11:$G$101,3)*('Monthly Revenue-Usage'!I93/100))))</f>
        <v>#REF!</v>
      </c>
      <c r="T93" s="52" t="e">
        <f>IF(AND(E93&gt;E$9, E93&gt;(E$9+E$8),$D93&gt;'RV ERU Connections'!$F$38),T92,IF(E93&gt;E$8,((((VLOOKUP($B93,'Rate Projection'!$A$11:$G$101,2)))*(E93-E$8)/100)+(VLOOKUP($B93,'Rate Projection'!$A$11:$G$101,4)*'Monthly Revenue-Usage'!E$8/100)),(VLOOKUP($B93,'Rate Projection'!$A$11:$G$101,4)*('Monthly Revenue-Usage'!E93/100))))</f>
        <v>#REF!</v>
      </c>
      <c r="U93" s="52" t="e">
        <f>IF(AND(F93&gt;F$9, F93&gt;(F$9+F$8),$D93&gt;'RV ERU Connections'!$F$38),U92,IF(F93&gt;F$8,((((VLOOKUP($B93,'Rate Projection'!$A$11:$G$101,3)))*(F93-F$8)/100)+(VLOOKUP($B93,'Rate Projection'!$A$11:$G$101,5)*'Monthly Revenue-Usage'!F$8/100)),(VLOOKUP($B93,'Rate Projection'!$A$11:$G$101,5)*('Monthly Revenue-Usage'!F93/100))))</f>
        <v>#REF!</v>
      </c>
      <c r="V93" s="52" t="e">
        <f>IF(AND(G93&gt;G$9, G93&gt;(G$9+G$8),$D93&gt;'RV ERU Connections'!$F$38),V92,IF(G93&gt;G$8,((((VLOOKUP($B93,'Rate Projection'!$A$11:$G$101,3)))*(G93-G$8)/100)+(VLOOKUP($B93,'Rate Projection'!$A$11:$G$101,5)*'Monthly Revenue-Usage'!G$8/100)),(VLOOKUP($B93,'Rate Projection'!$A$11:$G$101,5)*('Monthly Revenue-Usage'!G93/100))))</f>
        <v>#REF!</v>
      </c>
      <c r="W93" s="52" t="e">
        <f>IF(AND(H93&gt;H$9, H93&gt;(H$9+H$8),$D93&gt;'RV ERU Connections'!$F$38),W92,IF(H93&gt;H$8,((((VLOOKUP($B93,'Rate Projection'!$A$11:$G$101,3)))*(H93-H$8)/100)+(VLOOKUP($B93,'Rate Projection'!$A$11:$G$101,5)*'Monthly Revenue-Usage'!H$8/100)),(VLOOKUP($B93,'Rate Projection'!$A$11:$G$101,5)*('Monthly Revenue-Usage'!H93/100))))</f>
        <v>#REF!</v>
      </c>
      <c r="X93" s="52" t="e">
        <f>IF(AND(I93&gt;I$9, I93&gt;(I$9+I$8),$D93&gt;'RV ERU Connections'!$F$38),X92,IF(I93&gt;I$8,((((VLOOKUP($B93,'Rate Projection'!$A$11:$G$101,3)))*(I93-I$8)/100)+(VLOOKUP($B93,'Rate Projection'!$A$11:$G$101,5)*'Monthly Revenue-Usage'!I$8/100)),(VLOOKUP($B93,'Rate Projection'!$A$11:$G$101,5)*('Monthly Revenue-Usage'!I93/100))))</f>
        <v>#REF!</v>
      </c>
      <c r="Z93" s="53" t="e">
        <f>(-ISPMT('Monthly Revenue-Usage'!$Z$10/12, 1,1*12, Z92)*12)+Z92</f>
        <v>#REF!</v>
      </c>
      <c r="AA93" s="53" t="e">
        <f t="shared" si="15"/>
        <v>#REF!</v>
      </c>
    </row>
    <row r="94" spans="2:27" x14ac:dyDescent="0.3">
      <c r="B94" s="59">
        <f t="shared" si="16"/>
        <v>2092</v>
      </c>
      <c r="C94" s="5" t="e">
        <f t="shared" si="17"/>
        <v>#REF!</v>
      </c>
      <c r="D94" s="5" t="e">
        <f t="shared" si="14"/>
        <v>#REF!</v>
      </c>
      <c r="E94" s="46" t="e">
        <f t="shared" si="9"/>
        <v>#REF!</v>
      </c>
      <c r="F94" s="46" t="e">
        <f t="shared" si="10"/>
        <v>#REF!</v>
      </c>
      <c r="G94" s="46" t="e">
        <f t="shared" si="11"/>
        <v>#REF!</v>
      </c>
      <c r="H94" s="46" t="e">
        <f t="shared" si="12"/>
        <v>#REF!</v>
      </c>
      <c r="I94" s="46" t="e">
        <f t="shared" si="13"/>
        <v>#REF!</v>
      </c>
      <c r="J94" s="53" t="e">
        <f>IF(AND(E94&gt;E$9, $D94&gt;'RV ERU Connections'!$F$37),J93,(VLOOKUP($B94,'Rate Projection'!$A$11:$G$101,2)*(E94/100)))</f>
        <v>#REF!</v>
      </c>
      <c r="K94" s="53" t="e">
        <f>IF(AND(F94&gt;F$9, $D94&gt;'RV ERU Connections'!$F$37),K93,(VLOOKUP($B94,'Rate Projection'!$A$11:$G$101,3)*(F94/100)))</f>
        <v>#REF!</v>
      </c>
      <c r="L94" s="53" t="e">
        <f>IF(AND(G94&gt;G$9, $D94&gt;'RV ERU Connections'!$F$37),L93,(VLOOKUP($B94,'Rate Projection'!$A$11:$G$101,3)*(G94/100)))</f>
        <v>#REF!</v>
      </c>
      <c r="M94" s="53" t="e">
        <f>IF(AND(H94&gt;H$9, $D94&gt;'RV ERU Connections'!$F$37),M93,(VLOOKUP($B94,'Rate Projection'!$A$11:$G$101,3)*(H94/100)))</f>
        <v>#REF!</v>
      </c>
      <c r="N94" s="53" t="e">
        <f>IF(AND(I94&gt;I$9, $D94&gt;'RV ERU Connections'!$F$37),N93,(VLOOKUP($B94,'Rate Projection'!$A$11:$G$101,3)*(I94/100)))</f>
        <v>#REF!</v>
      </c>
      <c r="O94" s="54" t="e">
        <f>IF(AND(E94&gt;E$9, E94&gt;(E$9+E$8),$D94&gt;'RV ERU Connections'!$F$38),O93,IF(E94&gt;E$9,((('Rate Projection'!$C$6+(VLOOKUP($B94,'Rate Projection'!$A$11:$G$101,4)))*(E94-E$9)/100)+(VLOOKUP($B94,'Rate Projection'!$A$11:$G$101,2)*'Monthly Revenue-Usage'!E$9/100)),(VLOOKUP($B94,'Rate Projection'!$A$11:$G$101,2)*('Monthly Revenue-Usage'!E94/100))))</f>
        <v>#REF!</v>
      </c>
      <c r="P94" s="54" t="e">
        <f>IF(AND(F94&gt;F$9, F94&gt;(F$9+F$8),$D94&gt;'RV ERU Connections'!$F$38),P93,IF(F94&gt;F$9,((('Rate Projection'!$C$6+(VLOOKUP($B94,'Rate Projection'!$A$11:$G$101,5)))*(F94-F$9)/100)+(VLOOKUP($B94,'Rate Projection'!$A$11:$G$101,3)*'Monthly Revenue-Usage'!F$9/100)),(VLOOKUP($B94,'Rate Projection'!$A$11:$G$101,3)*('Monthly Revenue-Usage'!F94/100))))</f>
        <v>#REF!</v>
      </c>
      <c r="Q94" s="54" t="e">
        <f>IF(AND(G94&gt;G$9, G94&gt;(G$9+G$8),$D94&gt;'RV ERU Connections'!$F$38),Q93,IF(G94&gt;G$9,((('Rate Projection'!$C$6+(VLOOKUP($B94,'Rate Projection'!$A$11:$G$101,5)))*(G94-G$9)/100)+(VLOOKUP($B94,'Rate Projection'!$A$11:$G$101,3)*'Monthly Revenue-Usage'!G$9/100)),(VLOOKUP($B94,'Rate Projection'!$A$11:$G$101,3)*('Monthly Revenue-Usage'!G94/100))))</f>
        <v>#REF!</v>
      </c>
      <c r="R94" s="54" t="e">
        <f>IF(AND(H94&gt;H$9, H94&gt;(H$9+H$8),$D94&gt;'RV ERU Connections'!$F$38),R93,IF(H94&gt;H$9,((('Rate Projection'!$C$6+(VLOOKUP($B94,'Rate Projection'!$A$11:$G$101,5)))*(H94-H$9)/100)+(VLOOKUP($B94,'Rate Projection'!$A$11:$G$101,3)*'Monthly Revenue-Usage'!H$9/100)),(VLOOKUP($B94,'Rate Projection'!$A$11:$G$101,3)*('Monthly Revenue-Usage'!H94/100))))</f>
        <v>#REF!</v>
      </c>
      <c r="S94" s="54" t="e">
        <f>IF(AND(I94&gt;I$9, I94&gt;(I$9+I$8),$D94&gt;'RV ERU Connections'!$F$38),S93,IF(I94&gt;I$9,((('Rate Projection'!$C$6+(VLOOKUP($B94,'Rate Projection'!$A$11:$G$101,5)))*(I94-I$9)/100)+(VLOOKUP($B94,'Rate Projection'!$A$11:$G$101,3)*'Monthly Revenue-Usage'!I$9/100)),(VLOOKUP($B94,'Rate Projection'!$A$11:$G$101,3)*('Monthly Revenue-Usage'!I94/100))))</f>
        <v>#REF!</v>
      </c>
      <c r="T94" s="52" t="e">
        <f>IF(AND(E94&gt;E$9, E94&gt;(E$9+E$8),$D94&gt;'RV ERU Connections'!$F$38),T93,IF(E94&gt;E$8,((((VLOOKUP($B94,'Rate Projection'!$A$11:$G$101,2)))*(E94-E$8)/100)+(VLOOKUP($B94,'Rate Projection'!$A$11:$G$101,4)*'Monthly Revenue-Usage'!E$8/100)),(VLOOKUP($B94,'Rate Projection'!$A$11:$G$101,4)*('Monthly Revenue-Usage'!E94/100))))</f>
        <v>#REF!</v>
      </c>
      <c r="U94" s="52" t="e">
        <f>IF(AND(F94&gt;F$9, F94&gt;(F$9+F$8),$D94&gt;'RV ERU Connections'!$F$38),U93,IF(F94&gt;F$8,((((VLOOKUP($B94,'Rate Projection'!$A$11:$G$101,3)))*(F94-F$8)/100)+(VLOOKUP($B94,'Rate Projection'!$A$11:$G$101,5)*'Monthly Revenue-Usage'!F$8/100)),(VLOOKUP($B94,'Rate Projection'!$A$11:$G$101,5)*('Monthly Revenue-Usage'!F94/100))))</f>
        <v>#REF!</v>
      </c>
      <c r="V94" s="52" t="e">
        <f>IF(AND(G94&gt;G$9, G94&gt;(G$9+G$8),$D94&gt;'RV ERU Connections'!$F$38),V93,IF(G94&gt;G$8,((((VLOOKUP($B94,'Rate Projection'!$A$11:$G$101,3)))*(G94-G$8)/100)+(VLOOKUP($B94,'Rate Projection'!$A$11:$G$101,5)*'Monthly Revenue-Usage'!G$8/100)),(VLOOKUP($B94,'Rate Projection'!$A$11:$G$101,5)*('Monthly Revenue-Usage'!G94/100))))</f>
        <v>#REF!</v>
      </c>
      <c r="W94" s="52" t="e">
        <f>IF(AND(H94&gt;H$9, H94&gt;(H$9+H$8),$D94&gt;'RV ERU Connections'!$F$38),W93,IF(H94&gt;H$8,((((VLOOKUP($B94,'Rate Projection'!$A$11:$G$101,3)))*(H94-H$8)/100)+(VLOOKUP($B94,'Rate Projection'!$A$11:$G$101,5)*'Monthly Revenue-Usage'!H$8/100)),(VLOOKUP($B94,'Rate Projection'!$A$11:$G$101,5)*('Monthly Revenue-Usage'!H94/100))))</f>
        <v>#REF!</v>
      </c>
      <c r="X94" s="52" t="e">
        <f>IF(AND(I94&gt;I$9, I94&gt;(I$9+I$8),$D94&gt;'RV ERU Connections'!$F$38),X93,IF(I94&gt;I$8,((((VLOOKUP($B94,'Rate Projection'!$A$11:$G$101,3)))*(I94-I$8)/100)+(VLOOKUP($B94,'Rate Projection'!$A$11:$G$101,5)*'Monthly Revenue-Usage'!I$8/100)),(VLOOKUP($B94,'Rate Projection'!$A$11:$G$101,5)*('Monthly Revenue-Usage'!I94/100))))</f>
        <v>#REF!</v>
      </c>
      <c r="Z94" s="53" t="e">
        <f>(-ISPMT('Monthly Revenue-Usage'!$Z$10/12, 1,1*12, Z93)*12)+Z93</f>
        <v>#REF!</v>
      </c>
      <c r="AA94" s="53" t="e">
        <f t="shared" si="15"/>
        <v>#REF!</v>
      </c>
    </row>
    <row r="95" spans="2:27" x14ac:dyDescent="0.3">
      <c r="B95" s="59">
        <f t="shared" si="16"/>
        <v>2093</v>
      </c>
      <c r="C95" s="5" t="e">
        <f t="shared" si="17"/>
        <v>#REF!</v>
      </c>
      <c r="D95" s="5" t="e">
        <f t="shared" si="14"/>
        <v>#REF!</v>
      </c>
      <c r="E95" s="46" t="e">
        <f t="shared" si="9"/>
        <v>#REF!</v>
      </c>
      <c r="F95" s="46" t="e">
        <f t="shared" si="10"/>
        <v>#REF!</v>
      </c>
      <c r="G95" s="46" t="e">
        <f t="shared" si="11"/>
        <v>#REF!</v>
      </c>
      <c r="H95" s="46" t="e">
        <f t="shared" si="12"/>
        <v>#REF!</v>
      </c>
      <c r="I95" s="46" t="e">
        <f t="shared" si="13"/>
        <v>#REF!</v>
      </c>
      <c r="J95" s="53" t="e">
        <f>IF(AND(E95&gt;E$9, $D95&gt;'RV ERU Connections'!$F$37),J94,(VLOOKUP($B95,'Rate Projection'!$A$11:$G$101,2)*(E95/100)))</f>
        <v>#REF!</v>
      </c>
      <c r="K95" s="53" t="e">
        <f>IF(AND(F95&gt;F$9, $D95&gt;'RV ERU Connections'!$F$37),K94,(VLOOKUP($B95,'Rate Projection'!$A$11:$G$101,3)*(F95/100)))</f>
        <v>#REF!</v>
      </c>
      <c r="L95" s="53" t="e">
        <f>IF(AND(G95&gt;G$9, $D95&gt;'RV ERU Connections'!$F$37),L94,(VLOOKUP($B95,'Rate Projection'!$A$11:$G$101,3)*(G95/100)))</f>
        <v>#REF!</v>
      </c>
      <c r="M95" s="53" t="e">
        <f>IF(AND(H95&gt;H$9, $D95&gt;'RV ERU Connections'!$F$37),M94,(VLOOKUP($B95,'Rate Projection'!$A$11:$G$101,3)*(H95/100)))</f>
        <v>#REF!</v>
      </c>
      <c r="N95" s="53" t="e">
        <f>IF(AND(I95&gt;I$9, $D95&gt;'RV ERU Connections'!$F$37),N94,(VLOOKUP($B95,'Rate Projection'!$A$11:$G$101,3)*(I95/100)))</f>
        <v>#REF!</v>
      </c>
      <c r="O95" s="54" t="e">
        <f>IF(AND(E95&gt;E$9, E95&gt;(E$9+E$8),$D95&gt;'RV ERU Connections'!$F$38),O94,IF(E95&gt;E$9,((('Rate Projection'!$C$6+(VLOOKUP($B95,'Rate Projection'!$A$11:$G$101,4)))*(E95-E$9)/100)+(VLOOKUP($B95,'Rate Projection'!$A$11:$G$101,2)*'Monthly Revenue-Usage'!E$9/100)),(VLOOKUP($B95,'Rate Projection'!$A$11:$G$101,2)*('Monthly Revenue-Usage'!E95/100))))</f>
        <v>#REF!</v>
      </c>
      <c r="P95" s="54" t="e">
        <f>IF(AND(F95&gt;F$9, F95&gt;(F$9+F$8),$D95&gt;'RV ERU Connections'!$F$38),P94,IF(F95&gt;F$9,((('Rate Projection'!$C$6+(VLOOKUP($B95,'Rate Projection'!$A$11:$G$101,5)))*(F95-F$9)/100)+(VLOOKUP($B95,'Rate Projection'!$A$11:$G$101,3)*'Monthly Revenue-Usage'!F$9/100)),(VLOOKUP($B95,'Rate Projection'!$A$11:$G$101,3)*('Monthly Revenue-Usage'!F95/100))))</f>
        <v>#REF!</v>
      </c>
      <c r="Q95" s="54" t="e">
        <f>IF(AND(G95&gt;G$9, G95&gt;(G$9+G$8),$D95&gt;'RV ERU Connections'!$F$38),Q94,IF(G95&gt;G$9,((('Rate Projection'!$C$6+(VLOOKUP($B95,'Rate Projection'!$A$11:$G$101,5)))*(G95-G$9)/100)+(VLOOKUP($B95,'Rate Projection'!$A$11:$G$101,3)*'Monthly Revenue-Usage'!G$9/100)),(VLOOKUP($B95,'Rate Projection'!$A$11:$G$101,3)*('Monthly Revenue-Usage'!G95/100))))</f>
        <v>#REF!</v>
      </c>
      <c r="R95" s="54" t="e">
        <f>IF(AND(H95&gt;H$9, H95&gt;(H$9+H$8),$D95&gt;'RV ERU Connections'!$F$38),R94,IF(H95&gt;H$9,((('Rate Projection'!$C$6+(VLOOKUP($B95,'Rate Projection'!$A$11:$G$101,5)))*(H95-H$9)/100)+(VLOOKUP($B95,'Rate Projection'!$A$11:$G$101,3)*'Monthly Revenue-Usage'!H$9/100)),(VLOOKUP($B95,'Rate Projection'!$A$11:$G$101,3)*('Monthly Revenue-Usage'!H95/100))))</f>
        <v>#REF!</v>
      </c>
      <c r="S95" s="54" t="e">
        <f>IF(AND(I95&gt;I$9, I95&gt;(I$9+I$8),$D95&gt;'RV ERU Connections'!$F$38),S94,IF(I95&gt;I$9,((('Rate Projection'!$C$6+(VLOOKUP($B95,'Rate Projection'!$A$11:$G$101,5)))*(I95-I$9)/100)+(VLOOKUP($B95,'Rate Projection'!$A$11:$G$101,3)*'Monthly Revenue-Usage'!I$9/100)),(VLOOKUP($B95,'Rate Projection'!$A$11:$G$101,3)*('Monthly Revenue-Usage'!I95/100))))</f>
        <v>#REF!</v>
      </c>
      <c r="T95" s="52" t="e">
        <f>IF(AND(E95&gt;E$9, E95&gt;(E$9+E$8),$D95&gt;'RV ERU Connections'!$F$38),T94,IF(E95&gt;E$8,((((VLOOKUP($B95,'Rate Projection'!$A$11:$G$101,2)))*(E95-E$8)/100)+(VLOOKUP($B95,'Rate Projection'!$A$11:$G$101,4)*'Monthly Revenue-Usage'!E$8/100)),(VLOOKUP($B95,'Rate Projection'!$A$11:$G$101,4)*('Monthly Revenue-Usage'!E95/100))))</f>
        <v>#REF!</v>
      </c>
      <c r="U95" s="52" t="e">
        <f>IF(AND(F95&gt;F$9, F95&gt;(F$9+F$8),$D95&gt;'RV ERU Connections'!$F$38),U94,IF(F95&gt;F$8,((((VLOOKUP($B95,'Rate Projection'!$A$11:$G$101,3)))*(F95-F$8)/100)+(VLOOKUP($B95,'Rate Projection'!$A$11:$G$101,5)*'Monthly Revenue-Usage'!F$8/100)),(VLOOKUP($B95,'Rate Projection'!$A$11:$G$101,5)*('Monthly Revenue-Usage'!F95/100))))</f>
        <v>#REF!</v>
      </c>
      <c r="V95" s="52" t="e">
        <f>IF(AND(G95&gt;G$9, G95&gt;(G$9+G$8),$D95&gt;'RV ERU Connections'!$F$38),V94,IF(G95&gt;G$8,((((VLOOKUP($B95,'Rate Projection'!$A$11:$G$101,3)))*(G95-G$8)/100)+(VLOOKUP($B95,'Rate Projection'!$A$11:$G$101,5)*'Monthly Revenue-Usage'!G$8/100)),(VLOOKUP($B95,'Rate Projection'!$A$11:$G$101,5)*('Monthly Revenue-Usage'!G95/100))))</f>
        <v>#REF!</v>
      </c>
      <c r="W95" s="52" t="e">
        <f>IF(AND(H95&gt;H$9, H95&gt;(H$9+H$8),$D95&gt;'RV ERU Connections'!$F$38),W94,IF(H95&gt;H$8,((((VLOOKUP($B95,'Rate Projection'!$A$11:$G$101,3)))*(H95-H$8)/100)+(VLOOKUP($B95,'Rate Projection'!$A$11:$G$101,5)*'Monthly Revenue-Usage'!H$8/100)),(VLOOKUP($B95,'Rate Projection'!$A$11:$G$101,5)*('Monthly Revenue-Usage'!H95/100))))</f>
        <v>#REF!</v>
      </c>
      <c r="X95" s="52" t="e">
        <f>IF(AND(I95&gt;I$9, I95&gt;(I$9+I$8),$D95&gt;'RV ERU Connections'!$F$38),X94,IF(I95&gt;I$8,((((VLOOKUP($B95,'Rate Projection'!$A$11:$G$101,3)))*(I95-I$8)/100)+(VLOOKUP($B95,'Rate Projection'!$A$11:$G$101,5)*'Monthly Revenue-Usage'!I$8/100)),(VLOOKUP($B95,'Rate Projection'!$A$11:$G$101,5)*('Monthly Revenue-Usage'!I95/100))))</f>
        <v>#REF!</v>
      </c>
      <c r="Z95" s="53" t="e">
        <f>(-ISPMT('Monthly Revenue-Usage'!$Z$10/12, 1,1*12, Z94)*12)+Z94</f>
        <v>#REF!</v>
      </c>
      <c r="AA95" s="53" t="e">
        <f t="shared" si="15"/>
        <v>#REF!</v>
      </c>
    </row>
    <row r="96" spans="2:27" x14ac:dyDescent="0.3">
      <c r="B96" s="59">
        <f t="shared" si="16"/>
        <v>2094</v>
      </c>
      <c r="C96" s="5" t="e">
        <f t="shared" si="17"/>
        <v>#REF!</v>
      </c>
      <c r="D96" s="5" t="e">
        <f t="shared" si="14"/>
        <v>#REF!</v>
      </c>
      <c r="E96" s="46" t="e">
        <f t="shared" si="9"/>
        <v>#REF!</v>
      </c>
      <c r="F96" s="46" t="e">
        <f t="shared" si="10"/>
        <v>#REF!</v>
      </c>
      <c r="G96" s="46" t="e">
        <f t="shared" si="11"/>
        <v>#REF!</v>
      </c>
      <c r="H96" s="46" t="e">
        <f t="shared" si="12"/>
        <v>#REF!</v>
      </c>
      <c r="I96" s="46" t="e">
        <f t="shared" si="13"/>
        <v>#REF!</v>
      </c>
      <c r="J96" s="53" t="e">
        <f>IF(AND(E96&gt;E$9, $D96&gt;'RV ERU Connections'!$F$37),J95,(VLOOKUP($B96,'Rate Projection'!$A$11:$G$101,2)*(E96/100)))</f>
        <v>#REF!</v>
      </c>
      <c r="K96" s="53" t="e">
        <f>IF(AND(F96&gt;F$9, $D96&gt;'RV ERU Connections'!$F$37),K95,(VLOOKUP($B96,'Rate Projection'!$A$11:$G$101,3)*(F96/100)))</f>
        <v>#REF!</v>
      </c>
      <c r="L96" s="53" t="e">
        <f>IF(AND(G96&gt;G$9, $D96&gt;'RV ERU Connections'!$F$37),L95,(VLOOKUP($B96,'Rate Projection'!$A$11:$G$101,3)*(G96/100)))</f>
        <v>#REF!</v>
      </c>
      <c r="M96" s="53" t="e">
        <f>IF(AND(H96&gt;H$9, $D96&gt;'RV ERU Connections'!$F$37),M95,(VLOOKUP($B96,'Rate Projection'!$A$11:$G$101,3)*(H96/100)))</f>
        <v>#REF!</v>
      </c>
      <c r="N96" s="53" t="e">
        <f>IF(AND(I96&gt;I$9, $D96&gt;'RV ERU Connections'!$F$37),N95,(VLOOKUP($B96,'Rate Projection'!$A$11:$G$101,3)*(I96/100)))</f>
        <v>#REF!</v>
      </c>
      <c r="O96" s="54" t="e">
        <f>IF(AND(E96&gt;E$9, E96&gt;(E$9+E$8),$D96&gt;'RV ERU Connections'!$F$38),O95,IF(E96&gt;E$9,((('Rate Projection'!$C$6+(VLOOKUP($B96,'Rate Projection'!$A$11:$G$101,4)))*(E96-E$9)/100)+(VLOOKUP($B96,'Rate Projection'!$A$11:$G$101,2)*'Monthly Revenue-Usage'!E$9/100)),(VLOOKUP($B96,'Rate Projection'!$A$11:$G$101,2)*('Monthly Revenue-Usage'!E96/100))))</f>
        <v>#REF!</v>
      </c>
      <c r="P96" s="54" t="e">
        <f>IF(AND(F96&gt;F$9, F96&gt;(F$9+F$8),$D96&gt;'RV ERU Connections'!$F$38),P95,IF(F96&gt;F$9,((('Rate Projection'!$C$6+(VLOOKUP($B96,'Rate Projection'!$A$11:$G$101,5)))*(F96-F$9)/100)+(VLOOKUP($B96,'Rate Projection'!$A$11:$G$101,3)*'Monthly Revenue-Usage'!F$9/100)),(VLOOKUP($B96,'Rate Projection'!$A$11:$G$101,3)*('Monthly Revenue-Usage'!F96/100))))</f>
        <v>#REF!</v>
      </c>
      <c r="Q96" s="54" t="e">
        <f>IF(AND(G96&gt;G$9, G96&gt;(G$9+G$8),$D96&gt;'RV ERU Connections'!$F$38),Q95,IF(G96&gt;G$9,((('Rate Projection'!$C$6+(VLOOKUP($B96,'Rate Projection'!$A$11:$G$101,5)))*(G96-G$9)/100)+(VLOOKUP($B96,'Rate Projection'!$A$11:$G$101,3)*'Monthly Revenue-Usage'!G$9/100)),(VLOOKUP($B96,'Rate Projection'!$A$11:$G$101,3)*('Monthly Revenue-Usage'!G96/100))))</f>
        <v>#REF!</v>
      </c>
      <c r="R96" s="54" t="e">
        <f>IF(AND(H96&gt;H$9, H96&gt;(H$9+H$8),$D96&gt;'RV ERU Connections'!$F$38),R95,IF(H96&gt;H$9,((('Rate Projection'!$C$6+(VLOOKUP($B96,'Rate Projection'!$A$11:$G$101,5)))*(H96-H$9)/100)+(VLOOKUP($B96,'Rate Projection'!$A$11:$G$101,3)*'Monthly Revenue-Usage'!H$9/100)),(VLOOKUP($B96,'Rate Projection'!$A$11:$G$101,3)*('Monthly Revenue-Usage'!H96/100))))</f>
        <v>#REF!</v>
      </c>
      <c r="S96" s="54" t="e">
        <f>IF(AND(I96&gt;I$9, I96&gt;(I$9+I$8),$D96&gt;'RV ERU Connections'!$F$38),S95,IF(I96&gt;I$9,((('Rate Projection'!$C$6+(VLOOKUP($B96,'Rate Projection'!$A$11:$G$101,5)))*(I96-I$9)/100)+(VLOOKUP($B96,'Rate Projection'!$A$11:$G$101,3)*'Monthly Revenue-Usage'!I$9/100)),(VLOOKUP($B96,'Rate Projection'!$A$11:$G$101,3)*('Monthly Revenue-Usage'!I96/100))))</f>
        <v>#REF!</v>
      </c>
      <c r="T96" s="52" t="e">
        <f>IF(AND(E96&gt;E$9, E96&gt;(E$9+E$8),$D96&gt;'RV ERU Connections'!$F$38),T95,IF(E96&gt;E$8,((((VLOOKUP($B96,'Rate Projection'!$A$11:$G$101,2)))*(E96-E$8)/100)+(VLOOKUP($B96,'Rate Projection'!$A$11:$G$101,4)*'Monthly Revenue-Usage'!E$8/100)),(VLOOKUP($B96,'Rate Projection'!$A$11:$G$101,4)*('Monthly Revenue-Usage'!E96/100))))</f>
        <v>#REF!</v>
      </c>
      <c r="U96" s="52" t="e">
        <f>IF(AND(F96&gt;F$9, F96&gt;(F$9+F$8),$D96&gt;'RV ERU Connections'!$F$38),U95,IF(F96&gt;F$8,((((VLOOKUP($B96,'Rate Projection'!$A$11:$G$101,3)))*(F96-F$8)/100)+(VLOOKUP($B96,'Rate Projection'!$A$11:$G$101,5)*'Monthly Revenue-Usage'!F$8/100)),(VLOOKUP($B96,'Rate Projection'!$A$11:$G$101,5)*('Monthly Revenue-Usage'!F96/100))))</f>
        <v>#REF!</v>
      </c>
      <c r="V96" s="52" t="e">
        <f>IF(AND(G96&gt;G$9, G96&gt;(G$9+G$8),$D96&gt;'RV ERU Connections'!$F$38),V95,IF(G96&gt;G$8,((((VLOOKUP($B96,'Rate Projection'!$A$11:$G$101,3)))*(G96-G$8)/100)+(VLOOKUP($B96,'Rate Projection'!$A$11:$G$101,5)*'Monthly Revenue-Usage'!G$8/100)),(VLOOKUP($B96,'Rate Projection'!$A$11:$G$101,5)*('Monthly Revenue-Usage'!G96/100))))</f>
        <v>#REF!</v>
      </c>
      <c r="W96" s="52" t="e">
        <f>IF(AND(H96&gt;H$9, H96&gt;(H$9+H$8),$D96&gt;'RV ERU Connections'!$F$38),W95,IF(H96&gt;H$8,((((VLOOKUP($B96,'Rate Projection'!$A$11:$G$101,3)))*(H96-H$8)/100)+(VLOOKUP($B96,'Rate Projection'!$A$11:$G$101,5)*'Monthly Revenue-Usage'!H$8/100)),(VLOOKUP($B96,'Rate Projection'!$A$11:$G$101,5)*('Monthly Revenue-Usage'!H96/100))))</f>
        <v>#REF!</v>
      </c>
      <c r="X96" s="52" t="e">
        <f>IF(AND(I96&gt;I$9, I96&gt;(I$9+I$8),$D96&gt;'RV ERU Connections'!$F$38),X95,IF(I96&gt;I$8,((((VLOOKUP($B96,'Rate Projection'!$A$11:$G$101,3)))*(I96-I$8)/100)+(VLOOKUP($B96,'Rate Projection'!$A$11:$G$101,5)*'Monthly Revenue-Usage'!I$8/100)),(VLOOKUP($B96,'Rate Projection'!$A$11:$G$101,5)*('Monthly Revenue-Usage'!I96/100))))</f>
        <v>#REF!</v>
      </c>
      <c r="Z96" s="53" t="e">
        <f>(-ISPMT('Monthly Revenue-Usage'!$Z$10/12, 1,1*12, Z95)*12)+Z95</f>
        <v>#REF!</v>
      </c>
      <c r="AA96" s="53" t="e">
        <f t="shared" si="15"/>
        <v>#REF!</v>
      </c>
    </row>
    <row r="97" spans="2:27" x14ac:dyDescent="0.3">
      <c r="B97" s="59">
        <f t="shared" si="16"/>
        <v>2095</v>
      </c>
      <c r="C97" s="5" t="e">
        <f t="shared" si="17"/>
        <v>#REF!</v>
      </c>
      <c r="D97" s="5" t="e">
        <f t="shared" si="14"/>
        <v>#REF!</v>
      </c>
      <c r="E97" s="46" t="e">
        <f t="shared" si="9"/>
        <v>#REF!</v>
      </c>
      <c r="F97" s="46" t="e">
        <f t="shared" si="10"/>
        <v>#REF!</v>
      </c>
      <c r="G97" s="46" t="e">
        <f t="shared" si="11"/>
        <v>#REF!</v>
      </c>
      <c r="H97" s="46" t="e">
        <f t="shared" si="12"/>
        <v>#REF!</v>
      </c>
      <c r="I97" s="46" t="e">
        <f t="shared" si="13"/>
        <v>#REF!</v>
      </c>
      <c r="J97" s="53" t="e">
        <f>IF(AND(E97&gt;E$9, $D97&gt;'RV ERU Connections'!$F$37),J96,(VLOOKUP($B97,'Rate Projection'!$A$11:$G$101,2)*(E97/100)))</f>
        <v>#REF!</v>
      </c>
      <c r="K97" s="53" t="e">
        <f>IF(AND(F97&gt;F$9, $D97&gt;'RV ERU Connections'!$F$37),K96,(VLOOKUP($B97,'Rate Projection'!$A$11:$G$101,3)*(F97/100)))</f>
        <v>#REF!</v>
      </c>
      <c r="L97" s="53" t="e">
        <f>IF(AND(G97&gt;G$9, $D97&gt;'RV ERU Connections'!$F$37),L96,(VLOOKUP($B97,'Rate Projection'!$A$11:$G$101,3)*(G97/100)))</f>
        <v>#REF!</v>
      </c>
      <c r="M97" s="53" t="e">
        <f>IF(AND(H97&gt;H$9, $D97&gt;'RV ERU Connections'!$F$37),M96,(VLOOKUP($B97,'Rate Projection'!$A$11:$G$101,3)*(H97/100)))</f>
        <v>#REF!</v>
      </c>
      <c r="N97" s="53" t="e">
        <f>IF(AND(I97&gt;I$9, $D97&gt;'RV ERU Connections'!$F$37),N96,(VLOOKUP($B97,'Rate Projection'!$A$11:$G$101,3)*(I97/100)))</f>
        <v>#REF!</v>
      </c>
      <c r="O97" s="54" t="e">
        <f>IF(AND(E97&gt;E$9, E97&gt;(E$9+E$8),$D97&gt;'RV ERU Connections'!$F$38),O96,IF(E97&gt;E$9,((('Rate Projection'!$C$6+(VLOOKUP($B97,'Rate Projection'!$A$11:$G$101,4)))*(E97-E$9)/100)+(VLOOKUP($B97,'Rate Projection'!$A$11:$G$101,2)*'Monthly Revenue-Usage'!E$9/100)),(VLOOKUP($B97,'Rate Projection'!$A$11:$G$101,2)*('Monthly Revenue-Usage'!E97/100))))</f>
        <v>#REF!</v>
      </c>
      <c r="P97" s="54" t="e">
        <f>IF(AND(F97&gt;F$9, F97&gt;(F$9+F$8),$D97&gt;'RV ERU Connections'!$F$38),P96,IF(F97&gt;F$9,((('Rate Projection'!$C$6+(VLOOKUP($B97,'Rate Projection'!$A$11:$G$101,5)))*(F97-F$9)/100)+(VLOOKUP($B97,'Rate Projection'!$A$11:$G$101,3)*'Monthly Revenue-Usage'!F$9/100)),(VLOOKUP($B97,'Rate Projection'!$A$11:$G$101,3)*('Monthly Revenue-Usage'!F97/100))))</f>
        <v>#REF!</v>
      </c>
      <c r="Q97" s="54" t="e">
        <f>IF(AND(G97&gt;G$9, G97&gt;(G$9+G$8),$D97&gt;'RV ERU Connections'!$F$38),Q96,IF(G97&gt;G$9,((('Rate Projection'!$C$6+(VLOOKUP($B97,'Rate Projection'!$A$11:$G$101,5)))*(G97-G$9)/100)+(VLOOKUP($B97,'Rate Projection'!$A$11:$G$101,3)*'Monthly Revenue-Usage'!G$9/100)),(VLOOKUP($B97,'Rate Projection'!$A$11:$G$101,3)*('Monthly Revenue-Usage'!G97/100))))</f>
        <v>#REF!</v>
      </c>
      <c r="R97" s="54" t="e">
        <f>IF(AND(H97&gt;H$9, H97&gt;(H$9+H$8),$D97&gt;'RV ERU Connections'!$F$38),R96,IF(H97&gt;H$9,((('Rate Projection'!$C$6+(VLOOKUP($B97,'Rate Projection'!$A$11:$G$101,5)))*(H97-H$9)/100)+(VLOOKUP($B97,'Rate Projection'!$A$11:$G$101,3)*'Monthly Revenue-Usage'!H$9/100)),(VLOOKUP($B97,'Rate Projection'!$A$11:$G$101,3)*('Monthly Revenue-Usage'!H97/100))))</f>
        <v>#REF!</v>
      </c>
      <c r="S97" s="54" t="e">
        <f>IF(AND(I97&gt;I$9, I97&gt;(I$9+I$8),$D97&gt;'RV ERU Connections'!$F$38),S96,IF(I97&gt;I$9,((('Rate Projection'!$C$6+(VLOOKUP($B97,'Rate Projection'!$A$11:$G$101,5)))*(I97-I$9)/100)+(VLOOKUP($B97,'Rate Projection'!$A$11:$G$101,3)*'Monthly Revenue-Usage'!I$9/100)),(VLOOKUP($B97,'Rate Projection'!$A$11:$G$101,3)*('Monthly Revenue-Usage'!I97/100))))</f>
        <v>#REF!</v>
      </c>
      <c r="T97" s="52" t="e">
        <f>IF(AND(E97&gt;E$9, E97&gt;(E$9+E$8),$D97&gt;'RV ERU Connections'!$F$38),T96,IF(E97&gt;E$8,((((VLOOKUP($B97,'Rate Projection'!$A$11:$G$101,2)))*(E97-E$8)/100)+(VLOOKUP($B97,'Rate Projection'!$A$11:$G$101,4)*'Monthly Revenue-Usage'!E$8/100)),(VLOOKUP($B97,'Rate Projection'!$A$11:$G$101,4)*('Monthly Revenue-Usage'!E97/100))))</f>
        <v>#REF!</v>
      </c>
      <c r="U97" s="52" t="e">
        <f>IF(AND(F97&gt;F$9, F97&gt;(F$9+F$8),$D97&gt;'RV ERU Connections'!$F$38),U96,IF(F97&gt;F$8,((((VLOOKUP($B97,'Rate Projection'!$A$11:$G$101,3)))*(F97-F$8)/100)+(VLOOKUP($B97,'Rate Projection'!$A$11:$G$101,5)*'Monthly Revenue-Usage'!F$8/100)),(VLOOKUP($B97,'Rate Projection'!$A$11:$G$101,5)*('Monthly Revenue-Usage'!F97/100))))</f>
        <v>#REF!</v>
      </c>
      <c r="V97" s="52" t="e">
        <f>IF(AND(G97&gt;G$9, G97&gt;(G$9+G$8),$D97&gt;'RV ERU Connections'!$F$38),V96,IF(G97&gt;G$8,((((VLOOKUP($B97,'Rate Projection'!$A$11:$G$101,3)))*(G97-G$8)/100)+(VLOOKUP($B97,'Rate Projection'!$A$11:$G$101,5)*'Monthly Revenue-Usage'!G$8/100)),(VLOOKUP($B97,'Rate Projection'!$A$11:$G$101,5)*('Monthly Revenue-Usage'!G97/100))))</f>
        <v>#REF!</v>
      </c>
      <c r="W97" s="52" t="e">
        <f>IF(AND(H97&gt;H$9, H97&gt;(H$9+H$8),$D97&gt;'RV ERU Connections'!$F$38),W96,IF(H97&gt;H$8,((((VLOOKUP($B97,'Rate Projection'!$A$11:$G$101,3)))*(H97-H$8)/100)+(VLOOKUP($B97,'Rate Projection'!$A$11:$G$101,5)*'Monthly Revenue-Usage'!H$8/100)),(VLOOKUP($B97,'Rate Projection'!$A$11:$G$101,5)*('Monthly Revenue-Usage'!H97/100))))</f>
        <v>#REF!</v>
      </c>
      <c r="X97" s="52" t="e">
        <f>IF(AND(I97&gt;I$9, I97&gt;(I$9+I$8),$D97&gt;'RV ERU Connections'!$F$38),X96,IF(I97&gt;I$8,((((VLOOKUP($B97,'Rate Projection'!$A$11:$G$101,3)))*(I97-I$8)/100)+(VLOOKUP($B97,'Rate Projection'!$A$11:$G$101,5)*'Monthly Revenue-Usage'!I$8/100)),(VLOOKUP($B97,'Rate Projection'!$A$11:$G$101,5)*('Monthly Revenue-Usage'!I97/100))))</f>
        <v>#REF!</v>
      </c>
      <c r="Z97" s="53" t="e">
        <f>(-ISPMT('Monthly Revenue-Usage'!$Z$10/12, 1,1*12, Z96)*12)+Z96</f>
        <v>#REF!</v>
      </c>
      <c r="AA97" s="53" t="e">
        <f t="shared" si="15"/>
        <v>#REF!</v>
      </c>
    </row>
    <row r="98" spans="2:27" x14ac:dyDescent="0.3">
      <c r="B98" s="59">
        <f t="shared" si="16"/>
        <v>2096</v>
      </c>
      <c r="C98" s="5" t="e">
        <f t="shared" si="17"/>
        <v>#REF!</v>
      </c>
      <c r="D98" s="5" t="e">
        <f t="shared" si="14"/>
        <v>#REF!</v>
      </c>
      <c r="E98" s="46" t="e">
        <f t="shared" si="9"/>
        <v>#REF!</v>
      </c>
      <c r="F98" s="46" t="e">
        <f t="shared" si="10"/>
        <v>#REF!</v>
      </c>
      <c r="G98" s="46" t="e">
        <f t="shared" si="11"/>
        <v>#REF!</v>
      </c>
      <c r="H98" s="46" t="e">
        <f t="shared" si="12"/>
        <v>#REF!</v>
      </c>
      <c r="I98" s="46" t="e">
        <f t="shared" si="13"/>
        <v>#REF!</v>
      </c>
      <c r="J98" s="53" t="e">
        <f>IF(AND(E98&gt;E$9, $D98&gt;'RV ERU Connections'!$F$37),J97,(VLOOKUP($B98,'Rate Projection'!$A$11:$G$101,2)*(E98/100)))</f>
        <v>#REF!</v>
      </c>
      <c r="K98" s="53" t="e">
        <f>IF(AND(F98&gt;F$9, $D98&gt;'RV ERU Connections'!$F$37),K97,(VLOOKUP($B98,'Rate Projection'!$A$11:$G$101,3)*(F98/100)))</f>
        <v>#REF!</v>
      </c>
      <c r="L98" s="53" t="e">
        <f>IF(AND(G98&gt;G$9, $D98&gt;'RV ERU Connections'!$F$37),L97,(VLOOKUP($B98,'Rate Projection'!$A$11:$G$101,3)*(G98/100)))</f>
        <v>#REF!</v>
      </c>
      <c r="M98" s="53" t="e">
        <f>IF(AND(H98&gt;H$9, $D98&gt;'RV ERU Connections'!$F$37),M97,(VLOOKUP($B98,'Rate Projection'!$A$11:$G$101,3)*(H98/100)))</f>
        <v>#REF!</v>
      </c>
      <c r="N98" s="53" t="e">
        <f>IF(AND(I98&gt;I$9, $D98&gt;'RV ERU Connections'!$F$37),N97,(VLOOKUP($B98,'Rate Projection'!$A$11:$G$101,3)*(I98/100)))</f>
        <v>#REF!</v>
      </c>
      <c r="O98" s="54" t="e">
        <f>IF(AND(E98&gt;E$9, E98&gt;(E$9+E$8),$D98&gt;'RV ERU Connections'!$F$38),O97,IF(E98&gt;E$9,((('Rate Projection'!$C$6+(VLOOKUP($B98,'Rate Projection'!$A$11:$G$101,4)))*(E98-E$9)/100)+(VLOOKUP($B98,'Rate Projection'!$A$11:$G$101,2)*'Monthly Revenue-Usage'!E$9/100)),(VLOOKUP($B98,'Rate Projection'!$A$11:$G$101,2)*('Monthly Revenue-Usage'!E98/100))))</f>
        <v>#REF!</v>
      </c>
      <c r="P98" s="54" t="e">
        <f>IF(AND(F98&gt;F$9, F98&gt;(F$9+F$8),$D98&gt;'RV ERU Connections'!$F$38),P97,IF(F98&gt;F$9,((('Rate Projection'!$C$6+(VLOOKUP($B98,'Rate Projection'!$A$11:$G$101,5)))*(F98-F$9)/100)+(VLOOKUP($B98,'Rate Projection'!$A$11:$G$101,3)*'Monthly Revenue-Usage'!F$9/100)),(VLOOKUP($B98,'Rate Projection'!$A$11:$G$101,3)*('Monthly Revenue-Usage'!F98/100))))</f>
        <v>#REF!</v>
      </c>
      <c r="Q98" s="54" t="e">
        <f>IF(AND(G98&gt;G$9, G98&gt;(G$9+G$8),$D98&gt;'RV ERU Connections'!$F$38),Q97,IF(G98&gt;G$9,((('Rate Projection'!$C$6+(VLOOKUP($B98,'Rate Projection'!$A$11:$G$101,5)))*(G98-G$9)/100)+(VLOOKUP($B98,'Rate Projection'!$A$11:$G$101,3)*'Monthly Revenue-Usage'!G$9/100)),(VLOOKUP($B98,'Rate Projection'!$A$11:$G$101,3)*('Monthly Revenue-Usage'!G98/100))))</f>
        <v>#REF!</v>
      </c>
      <c r="R98" s="54" t="e">
        <f>IF(AND(H98&gt;H$9, H98&gt;(H$9+H$8),$D98&gt;'RV ERU Connections'!$F$38),R97,IF(H98&gt;H$9,((('Rate Projection'!$C$6+(VLOOKUP($B98,'Rate Projection'!$A$11:$G$101,5)))*(H98-H$9)/100)+(VLOOKUP($B98,'Rate Projection'!$A$11:$G$101,3)*'Monthly Revenue-Usage'!H$9/100)),(VLOOKUP($B98,'Rate Projection'!$A$11:$G$101,3)*('Monthly Revenue-Usage'!H98/100))))</f>
        <v>#REF!</v>
      </c>
      <c r="S98" s="54" t="e">
        <f>IF(AND(I98&gt;I$9, I98&gt;(I$9+I$8),$D98&gt;'RV ERU Connections'!$F$38),S97,IF(I98&gt;I$9,((('Rate Projection'!$C$6+(VLOOKUP($B98,'Rate Projection'!$A$11:$G$101,5)))*(I98-I$9)/100)+(VLOOKUP($B98,'Rate Projection'!$A$11:$G$101,3)*'Monthly Revenue-Usage'!I$9/100)),(VLOOKUP($B98,'Rate Projection'!$A$11:$G$101,3)*('Monthly Revenue-Usage'!I98/100))))</f>
        <v>#REF!</v>
      </c>
      <c r="T98" s="52" t="e">
        <f>IF(AND(E98&gt;E$9, E98&gt;(E$9+E$8),$D98&gt;'RV ERU Connections'!$F$38),T97,IF(E98&gt;E$8,((((VLOOKUP($B98,'Rate Projection'!$A$11:$G$101,2)))*(E98-E$8)/100)+(VLOOKUP($B98,'Rate Projection'!$A$11:$G$101,4)*'Monthly Revenue-Usage'!E$8/100)),(VLOOKUP($B98,'Rate Projection'!$A$11:$G$101,4)*('Monthly Revenue-Usage'!E98/100))))</f>
        <v>#REF!</v>
      </c>
      <c r="U98" s="52" t="e">
        <f>IF(AND(F98&gt;F$9, F98&gt;(F$9+F$8),$D98&gt;'RV ERU Connections'!$F$38),U97,IF(F98&gt;F$8,((((VLOOKUP($B98,'Rate Projection'!$A$11:$G$101,3)))*(F98-F$8)/100)+(VLOOKUP($B98,'Rate Projection'!$A$11:$G$101,5)*'Monthly Revenue-Usage'!F$8/100)),(VLOOKUP($B98,'Rate Projection'!$A$11:$G$101,5)*('Monthly Revenue-Usage'!F98/100))))</f>
        <v>#REF!</v>
      </c>
      <c r="V98" s="52" t="e">
        <f>IF(AND(G98&gt;G$9, G98&gt;(G$9+G$8),$D98&gt;'RV ERU Connections'!$F$38),V97,IF(G98&gt;G$8,((((VLOOKUP($B98,'Rate Projection'!$A$11:$G$101,3)))*(G98-G$8)/100)+(VLOOKUP($B98,'Rate Projection'!$A$11:$G$101,5)*'Monthly Revenue-Usage'!G$8/100)),(VLOOKUP($B98,'Rate Projection'!$A$11:$G$101,5)*('Monthly Revenue-Usage'!G98/100))))</f>
        <v>#REF!</v>
      </c>
      <c r="W98" s="52" t="e">
        <f>IF(AND(H98&gt;H$9, H98&gt;(H$9+H$8),$D98&gt;'RV ERU Connections'!$F$38),W97,IF(H98&gt;H$8,((((VLOOKUP($B98,'Rate Projection'!$A$11:$G$101,3)))*(H98-H$8)/100)+(VLOOKUP($B98,'Rate Projection'!$A$11:$G$101,5)*'Monthly Revenue-Usage'!H$8/100)),(VLOOKUP($B98,'Rate Projection'!$A$11:$G$101,5)*('Monthly Revenue-Usage'!H98/100))))</f>
        <v>#REF!</v>
      </c>
      <c r="X98" s="52" t="e">
        <f>IF(AND(I98&gt;I$9, I98&gt;(I$9+I$8),$D98&gt;'RV ERU Connections'!$F$38),X97,IF(I98&gt;I$8,((((VLOOKUP($B98,'Rate Projection'!$A$11:$G$101,3)))*(I98-I$8)/100)+(VLOOKUP($B98,'Rate Projection'!$A$11:$G$101,5)*'Monthly Revenue-Usage'!I$8/100)),(VLOOKUP($B98,'Rate Projection'!$A$11:$G$101,5)*('Monthly Revenue-Usage'!I98/100))))</f>
        <v>#REF!</v>
      </c>
      <c r="Z98" s="53" t="e">
        <f>(-ISPMT('Monthly Revenue-Usage'!$Z$10/12, 1,1*12, Z97)*12)+Z97</f>
        <v>#REF!</v>
      </c>
      <c r="AA98" s="53" t="e">
        <f t="shared" si="15"/>
        <v>#REF!</v>
      </c>
    </row>
    <row r="99" spans="2:27" x14ac:dyDescent="0.3">
      <c r="B99" s="59">
        <f t="shared" si="16"/>
        <v>2097</v>
      </c>
      <c r="C99" s="5" t="e">
        <f t="shared" si="17"/>
        <v>#REF!</v>
      </c>
      <c r="D99" s="5" t="e">
        <f t="shared" si="14"/>
        <v>#REF!</v>
      </c>
      <c r="E99" s="46" t="e">
        <f t="shared" si="9"/>
        <v>#REF!</v>
      </c>
      <c r="F99" s="46" t="e">
        <f t="shared" si="10"/>
        <v>#REF!</v>
      </c>
      <c r="G99" s="46" t="e">
        <f t="shared" si="11"/>
        <v>#REF!</v>
      </c>
      <c r="H99" s="46" t="e">
        <f t="shared" si="12"/>
        <v>#REF!</v>
      </c>
      <c r="I99" s="46" t="e">
        <f t="shared" si="13"/>
        <v>#REF!</v>
      </c>
      <c r="J99" s="53" t="e">
        <f>IF(AND(E99&gt;E$9, $D99&gt;'RV ERU Connections'!$F$37),J98,(VLOOKUP($B99,'Rate Projection'!$A$11:$G$101,2)*(E99/100)))</f>
        <v>#REF!</v>
      </c>
      <c r="K99" s="53" t="e">
        <f>IF(AND(F99&gt;F$9, $D99&gt;'RV ERU Connections'!$F$37),K98,(VLOOKUP($B99,'Rate Projection'!$A$11:$G$101,3)*(F99/100)))</f>
        <v>#REF!</v>
      </c>
      <c r="L99" s="53" t="e">
        <f>IF(AND(G99&gt;G$9, $D99&gt;'RV ERU Connections'!$F$37),L98,(VLOOKUP($B99,'Rate Projection'!$A$11:$G$101,3)*(G99/100)))</f>
        <v>#REF!</v>
      </c>
      <c r="M99" s="53" t="e">
        <f>IF(AND(H99&gt;H$9, $D99&gt;'RV ERU Connections'!$F$37),M98,(VLOOKUP($B99,'Rate Projection'!$A$11:$G$101,3)*(H99/100)))</f>
        <v>#REF!</v>
      </c>
      <c r="N99" s="53" t="e">
        <f>IF(AND(I99&gt;I$9, $D99&gt;'RV ERU Connections'!$F$37),N98,(VLOOKUP($B99,'Rate Projection'!$A$11:$G$101,3)*(I99/100)))</f>
        <v>#REF!</v>
      </c>
      <c r="O99" s="54" t="e">
        <f>IF(AND(E99&gt;E$9, E99&gt;(E$9+E$8),$D99&gt;'RV ERU Connections'!$F$38),O98,IF(E99&gt;E$9,((('Rate Projection'!$C$6+(VLOOKUP($B99,'Rate Projection'!$A$11:$G$101,4)))*(E99-E$9)/100)+(VLOOKUP($B99,'Rate Projection'!$A$11:$G$101,2)*'Monthly Revenue-Usage'!E$9/100)),(VLOOKUP($B99,'Rate Projection'!$A$11:$G$101,2)*('Monthly Revenue-Usage'!E99/100))))</f>
        <v>#REF!</v>
      </c>
      <c r="P99" s="54" t="e">
        <f>IF(AND(F99&gt;F$9, F99&gt;(F$9+F$8),$D99&gt;'RV ERU Connections'!$F$38),P98,IF(F99&gt;F$9,((('Rate Projection'!$C$6+(VLOOKUP($B99,'Rate Projection'!$A$11:$G$101,5)))*(F99-F$9)/100)+(VLOOKUP($B99,'Rate Projection'!$A$11:$G$101,3)*'Monthly Revenue-Usage'!F$9/100)),(VLOOKUP($B99,'Rate Projection'!$A$11:$G$101,3)*('Monthly Revenue-Usage'!F99/100))))</f>
        <v>#REF!</v>
      </c>
      <c r="Q99" s="54" t="e">
        <f>IF(AND(G99&gt;G$9, G99&gt;(G$9+G$8),$D99&gt;'RV ERU Connections'!$F$38),Q98,IF(G99&gt;G$9,((('Rate Projection'!$C$6+(VLOOKUP($B99,'Rate Projection'!$A$11:$G$101,5)))*(G99-G$9)/100)+(VLOOKUP($B99,'Rate Projection'!$A$11:$G$101,3)*'Monthly Revenue-Usage'!G$9/100)),(VLOOKUP($B99,'Rate Projection'!$A$11:$G$101,3)*('Monthly Revenue-Usage'!G99/100))))</f>
        <v>#REF!</v>
      </c>
      <c r="R99" s="54" t="e">
        <f>IF(AND(H99&gt;H$9, H99&gt;(H$9+H$8),$D99&gt;'RV ERU Connections'!$F$38),R98,IF(H99&gt;H$9,((('Rate Projection'!$C$6+(VLOOKUP($B99,'Rate Projection'!$A$11:$G$101,5)))*(H99-H$9)/100)+(VLOOKUP($B99,'Rate Projection'!$A$11:$G$101,3)*'Monthly Revenue-Usage'!H$9/100)),(VLOOKUP($B99,'Rate Projection'!$A$11:$G$101,3)*('Monthly Revenue-Usage'!H99/100))))</f>
        <v>#REF!</v>
      </c>
      <c r="S99" s="54" t="e">
        <f>IF(AND(I99&gt;I$9, I99&gt;(I$9+I$8),$D99&gt;'RV ERU Connections'!$F$38),S98,IF(I99&gt;I$9,((('Rate Projection'!$C$6+(VLOOKUP($B99,'Rate Projection'!$A$11:$G$101,5)))*(I99-I$9)/100)+(VLOOKUP($B99,'Rate Projection'!$A$11:$G$101,3)*'Monthly Revenue-Usage'!I$9/100)),(VLOOKUP($B99,'Rate Projection'!$A$11:$G$101,3)*('Monthly Revenue-Usage'!I99/100))))</f>
        <v>#REF!</v>
      </c>
      <c r="T99" s="52" t="e">
        <f>IF(AND(E99&gt;E$9, E99&gt;(E$9+E$8),$D99&gt;'RV ERU Connections'!$F$38),T98,IF(E99&gt;E$8,((((VLOOKUP($B99,'Rate Projection'!$A$11:$G$101,2)))*(E99-E$8)/100)+(VLOOKUP($B99,'Rate Projection'!$A$11:$G$101,4)*'Monthly Revenue-Usage'!E$8/100)),(VLOOKUP($B99,'Rate Projection'!$A$11:$G$101,4)*('Monthly Revenue-Usage'!E99/100))))</f>
        <v>#REF!</v>
      </c>
      <c r="U99" s="52" t="e">
        <f>IF(AND(F99&gt;F$9, F99&gt;(F$9+F$8),$D99&gt;'RV ERU Connections'!$F$38),U98,IF(F99&gt;F$8,((((VLOOKUP($B99,'Rate Projection'!$A$11:$G$101,3)))*(F99-F$8)/100)+(VLOOKUP($B99,'Rate Projection'!$A$11:$G$101,5)*'Monthly Revenue-Usage'!F$8/100)),(VLOOKUP($B99,'Rate Projection'!$A$11:$G$101,5)*('Monthly Revenue-Usage'!F99/100))))</f>
        <v>#REF!</v>
      </c>
      <c r="V99" s="52" t="e">
        <f>IF(AND(G99&gt;G$9, G99&gt;(G$9+G$8),$D99&gt;'RV ERU Connections'!$F$38),V98,IF(G99&gt;G$8,((((VLOOKUP($B99,'Rate Projection'!$A$11:$G$101,3)))*(G99-G$8)/100)+(VLOOKUP($B99,'Rate Projection'!$A$11:$G$101,5)*'Monthly Revenue-Usage'!G$8/100)),(VLOOKUP($B99,'Rate Projection'!$A$11:$G$101,5)*('Monthly Revenue-Usage'!G99/100))))</f>
        <v>#REF!</v>
      </c>
      <c r="W99" s="52" t="e">
        <f>IF(AND(H99&gt;H$9, H99&gt;(H$9+H$8),$D99&gt;'RV ERU Connections'!$F$38),W98,IF(H99&gt;H$8,((((VLOOKUP($B99,'Rate Projection'!$A$11:$G$101,3)))*(H99-H$8)/100)+(VLOOKUP($B99,'Rate Projection'!$A$11:$G$101,5)*'Monthly Revenue-Usage'!H$8/100)),(VLOOKUP($B99,'Rate Projection'!$A$11:$G$101,5)*('Monthly Revenue-Usage'!H99/100))))</f>
        <v>#REF!</v>
      </c>
      <c r="X99" s="52" t="e">
        <f>IF(AND(I99&gt;I$9, I99&gt;(I$9+I$8),$D99&gt;'RV ERU Connections'!$F$38),X98,IF(I99&gt;I$8,((((VLOOKUP($B99,'Rate Projection'!$A$11:$G$101,3)))*(I99-I$8)/100)+(VLOOKUP($B99,'Rate Projection'!$A$11:$G$101,5)*'Monthly Revenue-Usage'!I$8/100)),(VLOOKUP($B99,'Rate Projection'!$A$11:$G$101,5)*('Monthly Revenue-Usage'!I99/100))))</f>
        <v>#REF!</v>
      </c>
      <c r="Z99" s="53" t="e">
        <f>(-ISPMT('Monthly Revenue-Usage'!$Z$10/12, 1,1*12, Z98)*12)+Z98</f>
        <v>#REF!</v>
      </c>
      <c r="AA99" s="53" t="e">
        <f t="shared" si="15"/>
        <v>#REF!</v>
      </c>
    </row>
    <row r="100" spans="2:27" x14ac:dyDescent="0.3">
      <c r="B100" s="59">
        <f t="shared" si="16"/>
        <v>2098</v>
      </c>
      <c r="C100" s="5" t="e">
        <f t="shared" si="17"/>
        <v>#REF!</v>
      </c>
      <c r="D100" s="5" t="e">
        <f t="shared" si="14"/>
        <v>#REF!</v>
      </c>
      <c r="E100" s="46" t="e">
        <f t="shared" si="9"/>
        <v>#REF!</v>
      </c>
      <c r="F100" s="46" t="e">
        <f t="shared" si="10"/>
        <v>#REF!</v>
      </c>
      <c r="G100" s="46" t="e">
        <f t="shared" si="11"/>
        <v>#REF!</v>
      </c>
      <c r="H100" s="46" t="e">
        <f t="shared" si="12"/>
        <v>#REF!</v>
      </c>
      <c r="I100" s="46" t="e">
        <f t="shared" si="13"/>
        <v>#REF!</v>
      </c>
      <c r="J100" s="53" t="e">
        <f>IF(AND(E100&gt;E$9, $D100&gt;'RV ERU Connections'!$F$37),J99,(VLOOKUP($B100,'Rate Projection'!$A$11:$G$101,2)*(E100/100)))</f>
        <v>#REF!</v>
      </c>
      <c r="K100" s="53" t="e">
        <f>IF(AND(F100&gt;F$9, $D100&gt;'RV ERU Connections'!$F$37),K99,(VLOOKUP($B100,'Rate Projection'!$A$11:$G$101,3)*(F100/100)))</f>
        <v>#REF!</v>
      </c>
      <c r="L100" s="53" t="e">
        <f>IF(AND(G100&gt;G$9, $D100&gt;'RV ERU Connections'!$F$37),L99,(VLOOKUP($B100,'Rate Projection'!$A$11:$G$101,3)*(G100/100)))</f>
        <v>#REF!</v>
      </c>
      <c r="M100" s="53" t="e">
        <f>IF(AND(H100&gt;H$9, $D100&gt;'RV ERU Connections'!$F$37),M99,(VLOOKUP($B100,'Rate Projection'!$A$11:$G$101,3)*(H100/100)))</f>
        <v>#REF!</v>
      </c>
      <c r="N100" s="53" t="e">
        <f>IF(AND(I100&gt;I$9, $D100&gt;'RV ERU Connections'!$F$37),N99,(VLOOKUP($B100,'Rate Projection'!$A$11:$G$101,3)*(I100/100)))</f>
        <v>#REF!</v>
      </c>
      <c r="O100" s="54" t="e">
        <f>IF(AND(E100&gt;E$9, E100&gt;(E$9+E$8),$D100&gt;'RV ERU Connections'!$F$38),O99,IF(E100&gt;E$9,((('Rate Projection'!$C$6+(VLOOKUP($B100,'Rate Projection'!$A$11:$G$101,4)))*(E100-E$9)/100)+(VLOOKUP($B100,'Rate Projection'!$A$11:$G$101,2)*'Monthly Revenue-Usage'!E$9/100)),(VLOOKUP($B100,'Rate Projection'!$A$11:$G$101,2)*('Monthly Revenue-Usage'!E100/100))))</f>
        <v>#REF!</v>
      </c>
      <c r="P100" s="54" t="e">
        <f>IF(AND(F100&gt;F$9, F100&gt;(F$9+F$8),$D100&gt;'RV ERU Connections'!$F$38),P99,IF(F100&gt;F$9,((('Rate Projection'!$C$6+(VLOOKUP($B100,'Rate Projection'!$A$11:$G$101,5)))*(F100-F$9)/100)+(VLOOKUP($B100,'Rate Projection'!$A$11:$G$101,3)*'Monthly Revenue-Usage'!F$9/100)),(VLOOKUP($B100,'Rate Projection'!$A$11:$G$101,3)*('Monthly Revenue-Usage'!F100/100))))</f>
        <v>#REF!</v>
      </c>
      <c r="Q100" s="54" t="e">
        <f>IF(AND(G100&gt;G$9, G100&gt;(G$9+G$8),$D100&gt;'RV ERU Connections'!$F$38),Q99,IF(G100&gt;G$9,((('Rate Projection'!$C$6+(VLOOKUP($B100,'Rate Projection'!$A$11:$G$101,5)))*(G100-G$9)/100)+(VLOOKUP($B100,'Rate Projection'!$A$11:$G$101,3)*'Monthly Revenue-Usage'!G$9/100)),(VLOOKUP($B100,'Rate Projection'!$A$11:$G$101,3)*('Monthly Revenue-Usage'!G100/100))))</f>
        <v>#REF!</v>
      </c>
      <c r="R100" s="54" t="e">
        <f>IF(AND(H100&gt;H$9, H100&gt;(H$9+H$8),$D100&gt;'RV ERU Connections'!$F$38),R99,IF(H100&gt;H$9,((('Rate Projection'!$C$6+(VLOOKUP($B100,'Rate Projection'!$A$11:$G$101,5)))*(H100-H$9)/100)+(VLOOKUP($B100,'Rate Projection'!$A$11:$G$101,3)*'Monthly Revenue-Usage'!H$9/100)),(VLOOKUP($B100,'Rate Projection'!$A$11:$G$101,3)*('Monthly Revenue-Usage'!H100/100))))</f>
        <v>#REF!</v>
      </c>
      <c r="S100" s="54" t="e">
        <f>IF(AND(I100&gt;I$9, I100&gt;(I$9+I$8),$D100&gt;'RV ERU Connections'!$F$38),S99,IF(I100&gt;I$9,((('Rate Projection'!$C$6+(VLOOKUP($B100,'Rate Projection'!$A$11:$G$101,5)))*(I100-I$9)/100)+(VLOOKUP($B100,'Rate Projection'!$A$11:$G$101,3)*'Monthly Revenue-Usage'!I$9/100)),(VLOOKUP($B100,'Rate Projection'!$A$11:$G$101,3)*('Monthly Revenue-Usage'!I100/100))))</f>
        <v>#REF!</v>
      </c>
      <c r="T100" s="52" t="e">
        <f>IF(AND(E100&gt;E$9, E100&gt;(E$9+E$8),$D100&gt;'RV ERU Connections'!$F$38),T99,IF(E100&gt;E$8,((((VLOOKUP($B100,'Rate Projection'!$A$11:$G$101,2)))*(E100-E$8)/100)+(VLOOKUP($B100,'Rate Projection'!$A$11:$G$101,4)*'Monthly Revenue-Usage'!E$8/100)),(VLOOKUP($B100,'Rate Projection'!$A$11:$G$101,4)*('Monthly Revenue-Usage'!E100/100))))</f>
        <v>#REF!</v>
      </c>
      <c r="U100" s="52" t="e">
        <f>IF(AND(F100&gt;F$9, F100&gt;(F$9+F$8),$D100&gt;'RV ERU Connections'!$F$38),U99,IF(F100&gt;F$8,((((VLOOKUP($B100,'Rate Projection'!$A$11:$G$101,3)))*(F100-F$8)/100)+(VLOOKUP($B100,'Rate Projection'!$A$11:$G$101,5)*'Monthly Revenue-Usage'!F$8/100)),(VLOOKUP($B100,'Rate Projection'!$A$11:$G$101,5)*('Monthly Revenue-Usage'!F100/100))))</f>
        <v>#REF!</v>
      </c>
      <c r="V100" s="52" t="e">
        <f>IF(AND(G100&gt;G$9, G100&gt;(G$9+G$8),$D100&gt;'RV ERU Connections'!$F$38),V99,IF(G100&gt;G$8,((((VLOOKUP($B100,'Rate Projection'!$A$11:$G$101,3)))*(G100-G$8)/100)+(VLOOKUP($B100,'Rate Projection'!$A$11:$G$101,5)*'Monthly Revenue-Usage'!G$8/100)),(VLOOKUP($B100,'Rate Projection'!$A$11:$G$101,5)*('Monthly Revenue-Usage'!G100/100))))</f>
        <v>#REF!</v>
      </c>
      <c r="W100" s="52" t="e">
        <f>IF(AND(H100&gt;H$9, H100&gt;(H$9+H$8),$D100&gt;'RV ERU Connections'!$F$38),W99,IF(H100&gt;H$8,((((VLOOKUP($B100,'Rate Projection'!$A$11:$G$101,3)))*(H100-H$8)/100)+(VLOOKUP($B100,'Rate Projection'!$A$11:$G$101,5)*'Monthly Revenue-Usage'!H$8/100)),(VLOOKUP($B100,'Rate Projection'!$A$11:$G$101,5)*('Monthly Revenue-Usage'!H100/100))))</f>
        <v>#REF!</v>
      </c>
      <c r="X100" s="52" t="e">
        <f>IF(AND(I100&gt;I$9, I100&gt;(I$9+I$8),$D100&gt;'RV ERU Connections'!$F$38),X99,IF(I100&gt;I$8,((((VLOOKUP($B100,'Rate Projection'!$A$11:$G$101,3)))*(I100-I$8)/100)+(VLOOKUP($B100,'Rate Projection'!$A$11:$G$101,5)*'Monthly Revenue-Usage'!I$8/100)),(VLOOKUP($B100,'Rate Projection'!$A$11:$G$101,5)*('Monthly Revenue-Usage'!I100/100))))</f>
        <v>#REF!</v>
      </c>
      <c r="Z100" s="53" t="e">
        <f>(-ISPMT('Monthly Revenue-Usage'!$Z$10/12, 1,1*12, Z99)*12)+Z99</f>
        <v>#REF!</v>
      </c>
      <c r="AA100" s="53" t="e">
        <f t="shared" si="15"/>
        <v>#REF!</v>
      </c>
    </row>
    <row r="101" spans="2:27" x14ac:dyDescent="0.3">
      <c r="B101" s="59">
        <f t="shared" si="16"/>
        <v>2099</v>
      </c>
      <c r="C101" s="5" t="e">
        <f t="shared" si="17"/>
        <v>#REF!</v>
      </c>
      <c r="D101" s="5" t="e">
        <f t="shared" si="14"/>
        <v>#REF!</v>
      </c>
      <c r="E101" s="46" t="e">
        <f t="shared" si="9"/>
        <v>#REF!</v>
      </c>
      <c r="F101" s="46" t="e">
        <f t="shared" si="10"/>
        <v>#REF!</v>
      </c>
      <c r="G101" s="46" t="e">
        <f t="shared" si="11"/>
        <v>#REF!</v>
      </c>
      <c r="H101" s="46" t="e">
        <f t="shared" si="12"/>
        <v>#REF!</v>
      </c>
      <c r="I101" s="46" t="e">
        <f t="shared" si="13"/>
        <v>#REF!</v>
      </c>
      <c r="J101" s="53" t="e">
        <f>IF(AND(E101&gt;E$9, $D101&gt;'RV ERU Connections'!$F$37),J100,(VLOOKUP($B101,'Rate Projection'!$A$11:$G$101,2)*(E101/100)))</f>
        <v>#REF!</v>
      </c>
      <c r="K101" s="53" t="e">
        <f>IF(AND(F101&gt;F$9, $D101&gt;'RV ERU Connections'!$F$37),K100,(VLOOKUP($B101,'Rate Projection'!$A$11:$G$101,3)*(F101/100)))</f>
        <v>#REF!</v>
      </c>
      <c r="L101" s="53" t="e">
        <f>IF(AND(G101&gt;G$9, $D101&gt;'RV ERU Connections'!$F$37),L100,(VLOOKUP($B101,'Rate Projection'!$A$11:$G$101,3)*(G101/100)))</f>
        <v>#REF!</v>
      </c>
      <c r="M101" s="53" t="e">
        <f>IF(AND(H101&gt;H$9, $D101&gt;'RV ERU Connections'!$F$37),M100,(VLOOKUP($B101,'Rate Projection'!$A$11:$G$101,3)*(H101/100)))</f>
        <v>#REF!</v>
      </c>
      <c r="N101" s="53" t="e">
        <f>IF(AND(I101&gt;I$9, $D101&gt;'RV ERU Connections'!$F$37),N100,(VLOOKUP($B101,'Rate Projection'!$A$11:$G$101,3)*(I101/100)))</f>
        <v>#REF!</v>
      </c>
      <c r="O101" s="54" t="e">
        <f>IF(AND(E101&gt;E$9, E101&gt;(E$9+E$8),$D101&gt;'RV ERU Connections'!$F$38),O100,IF(E101&gt;E$9,((('Rate Projection'!$C$6+(VLOOKUP($B101,'Rate Projection'!$A$11:$G$101,4)))*(E101-E$9)/100)+(VLOOKUP($B101,'Rate Projection'!$A$11:$G$101,2)*'Monthly Revenue-Usage'!E$9/100)),(VLOOKUP($B101,'Rate Projection'!$A$11:$G$101,2)*('Monthly Revenue-Usage'!E101/100))))</f>
        <v>#REF!</v>
      </c>
      <c r="P101" s="54" t="e">
        <f>IF(AND(F101&gt;F$9, F101&gt;(F$9+F$8),$D101&gt;'RV ERU Connections'!$F$38),P100,IF(F101&gt;F$9,((('Rate Projection'!$C$6+(VLOOKUP($B101,'Rate Projection'!$A$11:$G$101,5)))*(F101-F$9)/100)+(VLOOKUP($B101,'Rate Projection'!$A$11:$G$101,3)*'Monthly Revenue-Usage'!F$9/100)),(VLOOKUP($B101,'Rate Projection'!$A$11:$G$101,3)*('Monthly Revenue-Usage'!F101/100))))</f>
        <v>#REF!</v>
      </c>
      <c r="Q101" s="54" t="e">
        <f>IF(AND(G101&gt;G$9, G101&gt;(G$9+G$8),$D101&gt;'RV ERU Connections'!$F$38),Q100,IF(G101&gt;G$9,((('Rate Projection'!$C$6+(VLOOKUP($B101,'Rate Projection'!$A$11:$G$101,5)))*(G101-G$9)/100)+(VLOOKUP($B101,'Rate Projection'!$A$11:$G$101,3)*'Monthly Revenue-Usage'!G$9/100)),(VLOOKUP($B101,'Rate Projection'!$A$11:$G$101,3)*('Monthly Revenue-Usage'!G101/100))))</f>
        <v>#REF!</v>
      </c>
      <c r="R101" s="54" t="e">
        <f>IF(AND(H101&gt;H$9, H101&gt;(H$9+H$8),$D101&gt;'RV ERU Connections'!$F$38),R100,IF(H101&gt;H$9,((('Rate Projection'!$C$6+(VLOOKUP($B101,'Rate Projection'!$A$11:$G$101,5)))*(H101-H$9)/100)+(VLOOKUP($B101,'Rate Projection'!$A$11:$G$101,3)*'Monthly Revenue-Usage'!H$9/100)),(VLOOKUP($B101,'Rate Projection'!$A$11:$G$101,3)*('Monthly Revenue-Usage'!H101/100))))</f>
        <v>#REF!</v>
      </c>
      <c r="S101" s="54" t="e">
        <f>IF(AND(I101&gt;I$9, I101&gt;(I$9+I$8),$D101&gt;'RV ERU Connections'!$F$38),S100,IF(I101&gt;I$9,((('Rate Projection'!$C$6+(VLOOKUP($B101,'Rate Projection'!$A$11:$G$101,5)))*(I101-I$9)/100)+(VLOOKUP($B101,'Rate Projection'!$A$11:$G$101,3)*'Monthly Revenue-Usage'!I$9/100)),(VLOOKUP($B101,'Rate Projection'!$A$11:$G$101,3)*('Monthly Revenue-Usage'!I101/100))))</f>
        <v>#REF!</v>
      </c>
      <c r="T101" s="52" t="e">
        <f>IF(AND(E101&gt;E$9, E101&gt;(E$9+E$8),$D101&gt;'RV ERU Connections'!$F$38),T100,IF(E101&gt;E$8,((((VLOOKUP($B101,'Rate Projection'!$A$11:$G$101,2)))*(E101-E$8)/100)+(VLOOKUP($B101,'Rate Projection'!$A$11:$G$101,4)*'Monthly Revenue-Usage'!E$8/100)),(VLOOKUP($B101,'Rate Projection'!$A$11:$G$101,4)*('Monthly Revenue-Usage'!E101/100))))</f>
        <v>#REF!</v>
      </c>
      <c r="U101" s="52" t="e">
        <f>IF(AND(F101&gt;F$9, F101&gt;(F$9+F$8),$D101&gt;'RV ERU Connections'!$F$38),U100,IF(F101&gt;F$8,((((VLOOKUP($B101,'Rate Projection'!$A$11:$G$101,3)))*(F101-F$8)/100)+(VLOOKUP($B101,'Rate Projection'!$A$11:$G$101,5)*'Monthly Revenue-Usage'!F$8/100)),(VLOOKUP($B101,'Rate Projection'!$A$11:$G$101,5)*('Monthly Revenue-Usage'!F101/100))))</f>
        <v>#REF!</v>
      </c>
      <c r="V101" s="52" t="e">
        <f>IF(AND(G101&gt;G$9, G101&gt;(G$9+G$8),$D101&gt;'RV ERU Connections'!$F$38),V100,IF(G101&gt;G$8,((((VLOOKUP($B101,'Rate Projection'!$A$11:$G$101,3)))*(G101-G$8)/100)+(VLOOKUP($B101,'Rate Projection'!$A$11:$G$101,5)*'Monthly Revenue-Usage'!G$8/100)),(VLOOKUP($B101,'Rate Projection'!$A$11:$G$101,5)*('Monthly Revenue-Usage'!G101/100))))</f>
        <v>#REF!</v>
      </c>
      <c r="W101" s="52" t="e">
        <f>IF(AND(H101&gt;H$9, H101&gt;(H$9+H$8),$D101&gt;'RV ERU Connections'!$F$38),W100,IF(H101&gt;H$8,((((VLOOKUP($B101,'Rate Projection'!$A$11:$G$101,3)))*(H101-H$8)/100)+(VLOOKUP($B101,'Rate Projection'!$A$11:$G$101,5)*'Monthly Revenue-Usage'!H$8/100)),(VLOOKUP($B101,'Rate Projection'!$A$11:$G$101,5)*('Monthly Revenue-Usage'!H101/100))))</f>
        <v>#REF!</v>
      </c>
      <c r="X101" s="52" t="e">
        <f>IF(AND(I101&gt;I$9, I101&gt;(I$9+I$8),$D101&gt;'RV ERU Connections'!$F$38),X100,IF(I101&gt;I$8,((((VLOOKUP($B101,'Rate Projection'!$A$11:$G$101,3)))*(I101-I$8)/100)+(VLOOKUP($B101,'Rate Projection'!$A$11:$G$101,5)*'Monthly Revenue-Usage'!I$8/100)),(VLOOKUP($B101,'Rate Projection'!$A$11:$G$101,5)*('Monthly Revenue-Usage'!I101/100))))</f>
        <v>#REF!</v>
      </c>
      <c r="Z101" s="53" t="e">
        <f>(-ISPMT('Monthly Revenue-Usage'!$Z$10/12, 1,1*12, Z100)*12)+Z100</f>
        <v>#REF!</v>
      </c>
      <c r="AA101" s="53" t="e">
        <f t="shared" si="15"/>
        <v>#REF!</v>
      </c>
    </row>
    <row r="102" spans="2:27" x14ac:dyDescent="0.3">
      <c r="B102" s="59">
        <f t="shared" si="16"/>
        <v>2100</v>
      </c>
      <c r="C102" s="5" t="e">
        <f t="shared" si="17"/>
        <v>#REF!</v>
      </c>
      <c r="D102" s="5" t="e">
        <f t="shared" si="14"/>
        <v>#REF!</v>
      </c>
      <c r="E102" s="46" t="e">
        <f t="shared" si="9"/>
        <v>#REF!</v>
      </c>
      <c r="F102" s="46" t="e">
        <f t="shared" si="10"/>
        <v>#REF!</v>
      </c>
      <c r="G102" s="46" t="e">
        <f t="shared" si="11"/>
        <v>#REF!</v>
      </c>
      <c r="H102" s="46" t="e">
        <f t="shared" si="12"/>
        <v>#REF!</v>
      </c>
      <c r="I102" s="46" t="e">
        <f t="shared" si="13"/>
        <v>#REF!</v>
      </c>
      <c r="J102" s="53" t="e">
        <f>IF(AND(E102&gt;E$9, $D102&gt;'RV ERU Connections'!$F$37),J101,(VLOOKUP($B102,'Rate Projection'!$A$11:$G$101,2)*(E102/100)))</f>
        <v>#REF!</v>
      </c>
      <c r="K102" s="53" t="e">
        <f>IF(AND(F102&gt;F$9, $D102&gt;'RV ERU Connections'!$F$37),K101,(VLOOKUP($B102,'Rate Projection'!$A$11:$G$101,3)*(F102/100)))</f>
        <v>#REF!</v>
      </c>
      <c r="L102" s="53" t="e">
        <f>IF(AND(G102&gt;G$9, $D102&gt;'RV ERU Connections'!$F$37),L101,(VLOOKUP($B102,'Rate Projection'!$A$11:$G$101,3)*(G102/100)))</f>
        <v>#REF!</v>
      </c>
      <c r="M102" s="53" t="e">
        <f>IF(AND(H102&gt;H$9, $D102&gt;'RV ERU Connections'!$F$37),M101,(VLOOKUP($B102,'Rate Projection'!$A$11:$G$101,3)*(H102/100)))</f>
        <v>#REF!</v>
      </c>
      <c r="N102" s="53" t="e">
        <f>IF(AND(I102&gt;I$9, $D102&gt;'RV ERU Connections'!$F$37),N101,(VLOOKUP($B102,'Rate Projection'!$A$11:$G$101,3)*(I102/100)))</f>
        <v>#REF!</v>
      </c>
      <c r="O102" s="54" t="e">
        <f>IF(AND(E102&gt;E$9, E102&gt;(E$9+E$8),$D102&gt;'RV ERU Connections'!$F$38),O101,IF(E102&gt;E$9,((('Rate Projection'!$C$6+(VLOOKUP($B102,'Rate Projection'!$A$11:$G$101,4)))*(E102-E$9)/100)+(VLOOKUP($B102,'Rate Projection'!$A$11:$G$101,2)*'Monthly Revenue-Usage'!E$9/100)),(VLOOKUP($B102,'Rate Projection'!$A$11:$G$101,2)*('Monthly Revenue-Usage'!E102/100))))</f>
        <v>#REF!</v>
      </c>
      <c r="P102" s="54" t="e">
        <f>IF(AND(F102&gt;F$9, F102&gt;(F$9+F$8),$D102&gt;'RV ERU Connections'!$F$38),P101,IF(F102&gt;F$9,((('Rate Projection'!$C$6+(VLOOKUP($B102,'Rate Projection'!$A$11:$G$101,5)))*(F102-F$9)/100)+(VLOOKUP($B102,'Rate Projection'!$A$11:$G$101,3)*'Monthly Revenue-Usage'!F$9/100)),(VLOOKUP($B102,'Rate Projection'!$A$11:$G$101,3)*('Monthly Revenue-Usage'!F102/100))))</f>
        <v>#REF!</v>
      </c>
      <c r="Q102" s="54" t="e">
        <f>IF(AND(G102&gt;G$9, G102&gt;(G$9+G$8),$D102&gt;'RV ERU Connections'!$F$38),Q101,IF(G102&gt;G$9,((('Rate Projection'!$C$6+(VLOOKUP($B102,'Rate Projection'!$A$11:$G$101,5)))*(G102-G$9)/100)+(VLOOKUP($B102,'Rate Projection'!$A$11:$G$101,3)*'Monthly Revenue-Usage'!G$9/100)),(VLOOKUP($B102,'Rate Projection'!$A$11:$G$101,3)*('Monthly Revenue-Usage'!G102/100))))</f>
        <v>#REF!</v>
      </c>
      <c r="R102" s="54" t="e">
        <f>IF(AND(H102&gt;H$9, H102&gt;(H$9+H$8),$D102&gt;'RV ERU Connections'!$F$38),R101,IF(H102&gt;H$9,((('Rate Projection'!$C$6+(VLOOKUP($B102,'Rate Projection'!$A$11:$G$101,5)))*(H102-H$9)/100)+(VLOOKUP($B102,'Rate Projection'!$A$11:$G$101,3)*'Monthly Revenue-Usage'!H$9/100)),(VLOOKUP($B102,'Rate Projection'!$A$11:$G$101,3)*('Monthly Revenue-Usage'!H102/100))))</f>
        <v>#REF!</v>
      </c>
      <c r="S102" s="54" t="e">
        <f>IF(AND(I102&gt;I$9, I102&gt;(I$9+I$8),$D102&gt;'RV ERU Connections'!$F$38),S101,IF(I102&gt;I$9,((('Rate Projection'!$C$6+(VLOOKUP($B102,'Rate Projection'!$A$11:$G$101,5)))*(I102-I$9)/100)+(VLOOKUP($B102,'Rate Projection'!$A$11:$G$101,3)*'Monthly Revenue-Usage'!I$9/100)),(VLOOKUP($B102,'Rate Projection'!$A$11:$G$101,3)*('Monthly Revenue-Usage'!I102/100))))</f>
        <v>#REF!</v>
      </c>
      <c r="T102" s="52" t="e">
        <f>IF(AND(E102&gt;E$9, E102&gt;(E$9+E$8),$D102&gt;'RV ERU Connections'!$F$38),T101,IF(E102&gt;E$8,((((VLOOKUP($B102,'Rate Projection'!$A$11:$G$101,2)))*(E102-E$8)/100)+(VLOOKUP($B102,'Rate Projection'!$A$11:$G$101,4)*'Monthly Revenue-Usage'!E$8/100)),(VLOOKUP($B102,'Rate Projection'!$A$11:$G$101,4)*('Monthly Revenue-Usage'!E102/100))))</f>
        <v>#REF!</v>
      </c>
      <c r="U102" s="52" t="e">
        <f>IF(AND(F102&gt;F$9, F102&gt;(F$9+F$8),$D102&gt;'RV ERU Connections'!$F$38),U101,IF(F102&gt;F$8,((((VLOOKUP($B102,'Rate Projection'!$A$11:$G$101,3)))*(F102-F$8)/100)+(VLOOKUP($B102,'Rate Projection'!$A$11:$G$101,5)*'Monthly Revenue-Usage'!F$8/100)),(VLOOKUP($B102,'Rate Projection'!$A$11:$G$101,5)*('Monthly Revenue-Usage'!F102/100))))</f>
        <v>#REF!</v>
      </c>
      <c r="V102" s="52" t="e">
        <f>IF(AND(G102&gt;G$9, G102&gt;(G$9+G$8),$D102&gt;'RV ERU Connections'!$F$38),V101,IF(G102&gt;G$8,((((VLOOKUP($B102,'Rate Projection'!$A$11:$G$101,3)))*(G102-G$8)/100)+(VLOOKUP($B102,'Rate Projection'!$A$11:$G$101,5)*'Monthly Revenue-Usage'!G$8/100)),(VLOOKUP($B102,'Rate Projection'!$A$11:$G$101,5)*('Monthly Revenue-Usage'!G102/100))))</f>
        <v>#REF!</v>
      </c>
      <c r="W102" s="52" t="e">
        <f>IF(AND(H102&gt;H$9, H102&gt;(H$9+H$8),$D102&gt;'RV ERU Connections'!$F$38),W101,IF(H102&gt;H$8,((((VLOOKUP($B102,'Rate Projection'!$A$11:$G$101,3)))*(H102-H$8)/100)+(VLOOKUP($B102,'Rate Projection'!$A$11:$G$101,5)*'Monthly Revenue-Usage'!H$8/100)),(VLOOKUP($B102,'Rate Projection'!$A$11:$G$101,5)*('Monthly Revenue-Usage'!H102/100))))</f>
        <v>#REF!</v>
      </c>
      <c r="X102" s="52" t="e">
        <f>IF(AND(I102&gt;I$9, I102&gt;(I$9+I$8),$D102&gt;'RV ERU Connections'!$F$38),X101,IF(I102&gt;I$8,((((VLOOKUP($B102,'Rate Projection'!$A$11:$G$101,3)))*(I102-I$8)/100)+(VLOOKUP($B102,'Rate Projection'!$A$11:$G$101,5)*'Monthly Revenue-Usage'!I$8/100)),(VLOOKUP($B102,'Rate Projection'!$A$11:$G$101,5)*('Monthly Revenue-Usage'!I102/100))))</f>
        <v>#REF!</v>
      </c>
      <c r="Z102" s="53" t="e">
        <f>(-ISPMT('Monthly Revenue-Usage'!$Z$10/12, 1,1*12, Z101)*12)+Z101</f>
        <v>#REF!</v>
      </c>
      <c r="AA102" s="53" t="e">
        <f t="shared" si="15"/>
        <v>#REF!</v>
      </c>
    </row>
  </sheetData>
  <mergeCells count="8">
    <mergeCell ref="A10:A11"/>
    <mergeCell ref="J6:N9"/>
    <mergeCell ref="Z9:AA9"/>
    <mergeCell ref="T6:X9"/>
    <mergeCell ref="E4:F4"/>
    <mergeCell ref="A8:D8"/>
    <mergeCell ref="A9:D9"/>
    <mergeCell ref="O6:S9"/>
  </mergeCells>
  <conditionalFormatting sqref="E12:I102">
    <cfRule type="cellIs" dxfId="4" priority="1" operator="greaterThan">
      <formula>$E$8+$E$9</formula>
    </cfRule>
    <cfRule type="cellIs" dxfId="3" priority="6" operator="between">
      <formula>$E$9</formula>
      <formula>$E$8</formula>
    </cfRule>
  </conditionalFormatting>
  <conditionalFormatting sqref="D12:D102">
    <cfRule type="cellIs" dxfId="2" priority="4" operator="greaterThan">
      <formula>18010</formula>
    </cfRule>
    <cfRule type="cellIs" dxfId="1" priority="5" operator="between">
      <formula>15510</formula>
      <formula>18010</formula>
    </cfRule>
  </conditionalFormatting>
  <conditionalFormatting sqref="E12:E62 F12:I40 E41:I102">
    <cfRule type="cellIs" dxfId="0" priority="2" operator="greaterThan">
      <formula>$E$8</formula>
    </cfRule>
  </conditionalFormatting>
  <pageMargins left="0.7" right="0.7" top="0.75" bottom="0.75" header="0.3" footer="0.3"/>
  <pageSetup orientation="portrait" r:id="rId1"/>
  <headerFooter>
    <oddFooter>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="90" zoomScaleNormal="90" workbookViewId="0">
      <selection activeCell="B25" sqref="B25"/>
    </sheetView>
  </sheetViews>
  <sheetFormatPr defaultColWidth="3.5546875" defaultRowHeight="14.4" x14ac:dyDescent="0.3"/>
  <cols>
    <col min="1" max="1" width="3.5546875" customWidth="1"/>
    <col min="2" max="2" width="19.88671875" bestFit="1" customWidth="1"/>
    <col min="3" max="3" width="15.6640625" bestFit="1" customWidth="1"/>
    <col min="4" max="4" width="15.44140625" bestFit="1" customWidth="1"/>
    <col min="5" max="5" width="10.44140625" bestFit="1" customWidth="1"/>
    <col min="6" max="6" width="11.109375" bestFit="1" customWidth="1"/>
    <col min="8" max="8" width="30.88671875" bestFit="1" customWidth="1"/>
  </cols>
  <sheetData>
    <row r="1" spans="1:8" x14ac:dyDescent="0.3">
      <c r="A1" t="e">
        <f>+#REF!</f>
        <v>#REF!</v>
      </c>
    </row>
    <row r="2" spans="1:8" x14ac:dyDescent="0.3">
      <c r="A2" t="e">
        <f>+#REF!</f>
        <v>#REF!</v>
      </c>
    </row>
    <row r="3" spans="1:8" x14ac:dyDescent="0.3">
      <c r="A3" t="e">
        <f>+#REF!</f>
        <v>#REF!</v>
      </c>
    </row>
    <row r="5" spans="1:8" ht="43.2" x14ac:dyDescent="0.3">
      <c r="B5" s="20" t="s">
        <v>75</v>
      </c>
      <c r="C5" s="20" t="s">
        <v>92</v>
      </c>
      <c r="D5" s="20" t="s">
        <v>93</v>
      </c>
      <c r="E5" s="20" t="s">
        <v>13</v>
      </c>
      <c r="F5" s="20" t="s">
        <v>76</v>
      </c>
    </row>
    <row r="6" spans="1:8" x14ac:dyDescent="0.3">
      <c r="B6" t="s">
        <v>74</v>
      </c>
      <c r="C6" s="19">
        <v>2</v>
      </c>
      <c r="D6" s="19">
        <v>5</v>
      </c>
      <c r="E6" s="19">
        <f>D6-C6</f>
        <v>3</v>
      </c>
      <c r="F6" s="19">
        <v>6</v>
      </c>
    </row>
    <row r="7" spans="1:8" x14ac:dyDescent="0.3">
      <c r="B7" t="s">
        <v>61</v>
      </c>
      <c r="C7" s="19">
        <v>1437</v>
      </c>
      <c r="D7" s="19">
        <v>1669</v>
      </c>
      <c r="E7" s="19">
        <f t="shared" ref="E7:E33" si="0">D7-C7</f>
        <v>232</v>
      </c>
      <c r="F7" s="19">
        <v>3593</v>
      </c>
    </row>
    <row r="8" spans="1:8" x14ac:dyDescent="0.3">
      <c r="B8" t="s">
        <v>62</v>
      </c>
      <c r="C8" s="19">
        <v>10</v>
      </c>
      <c r="D8" s="19">
        <v>12</v>
      </c>
      <c r="E8" s="19">
        <f t="shared" si="0"/>
        <v>2</v>
      </c>
      <c r="F8" s="19">
        <v>23</v>
      </c>
    </row>
    <row r="9" spans="1:8" x14ac:dyDescent="0.3">
      <c r="B9" t="s">
        <v>63</v>
      </c>
      <c r="C9" s="19">
        <v>33</v>
      </c>
      <c r="D9" s="19">
        <v>38</v>
      </c>
      <c r="E9" s="19">
        <f t="shared" si="0"/>
        <v>5</v>
      </c>
      <c r="F9" s="19">
        <v>80</v>
      </c>
    </row>
    <row r="10" spans="1:8" x14ac:dyDescent="0.3">
      <c r="B10" t="s">
        <v>64</v>
      </c>
      <c r="C10" s="19">
        <v>71</v>
      </c>
      <c r="D10" s="19">
        <v>72</v>
      </c>
      <c r="E10" s="19">
        <f t="shared" si="0"/>
        <v>1</v>
      </c>
      <c r="F10" s="19">
        <v>178</v>
      </c>
    </row>
    <row r="11" spans="1:8" x14ac:dyDescent="0.3">
      <c r="B11" t="s">
        <v>65</v>
      </c>
      <c r="C11" s="19">
        <v>8</v>
      </c>
      <c r="D11" s="19" t="s">
        <v>90</v>
      </c>
      <c r="E11" s="19">
        <v>0</v>
      </c>
      <c r="F11" s="19">
        <v>23</v>
      </c>
      <c r="H11" t="s">
        <v>100</v>
      </c>
    </row>
    <row r="12" spans="1:8" x14ac:dyDescent="0.3">
      <c r="B12" t="s">
        <v>66</v>
      </c>
      <c r="C12" s="19">
        <v>16</v>
      </c>
      <c r="D12" s="19" t="s">
        <v>91</v>
      </c>
      <c r="E12" s="19">
        <v>0</v>
      </c>
      <c r="F12" s="19">
        <v>33</v>
      </c>
    </row>
    <row r="13" spans="1:8" x14ac:dyDescent="0.3">
      <c r="B13" t="s">
        <v>67</v>
      </c>
      <c r="C13" s="19">
        <v>22</v>
      </c>
      <c r="D13" s="19">
        <v>22</v>
      </c>
      <c r="E13" s="19">
        <f t="shared" si="0"/>
        <v>0</v>
      </c>
      <c r="F13" s="19">
        <v>55</v>
      </c>
    </row>
    <row r="14" spans="1:8" x14ac:dyDescent="0.3">
      <c r="B14" t="s">
        <v>68</v>
      </c>
      <c r="C14" s="19">
        <v>7</v>
      </c>
      <c r="D14" s="19" t="s">
        <v>90</v>
      </c>
      <c r="E14" s="19">
        <v>0</v>
      </c>
      <c r="F14" s="19">
        <v>21</v>
      </c>
      <c r="H14" t="s">
        <v>99</v>
      </c>
    </row>
    <row r="15" spans="1:8" x14ac:dyDescent="0.3">
      <c r="B15" t="s">
        <v>69</v>
      </c>
      <c r="C15" s="19">
        <v>16</v>
      </c>
      <c r="D15" s="19">
        <v>16</v>
      </c>
      <c r="E15" s="19">
        <f t="shared" si="0"/>
        <v>0</v>
      </c>
      <c r="F15" s="19">
        <v>40</v>
      </c>
    </row>
    <row r="16" spans="1:8" x14ac:dyDescent="0.3">
      <c r="B16" t="s">
        <v>71</v>
      </c>
      <c r="C16" s="19">
        <v>39</v>
      </c>
      <c r="D16" s="19">
        <v>32</v>
      </c>
      <c r="E16" s="23">
        <f t="shared" si="0"/>
        <v>-7</v>
      </c>
      <c r="F16" s="19">
        <v>95</v>
      </c>
    </row>
    <row r="17" spans="2:8" x14ac:dyDescent="0.3">
      <c r="B17" t="s">
        <v>70</v>
      </c>
      <c r="C17" s="19">
        <v>68</v>
      </c>
      <c r="D17" s="19" t="s">
        <v>91</v>
      </c>
      <c r="E17" s="19">
        <v>0</v>
      </c>
      <c r="F17" s="19">
        <v>170</v>
      </c>
    </row>
    <row r="18" spans="2:8" x14ac:dyDescent="0.3">
      <c r="B18" t="s">
        <v>72</v>
      </c>
      <c r="C18" s="19">
        <v>473</v>
      </c>
      <c r="D18" s="19" t="s">
        <v>94</v>
      </c>
      <c r="E18" s="19">
        <v>0</v>
      </c>
      <c r="F18" s="19">
        <f>975+1714</f>
        <v>2689</v>
      </c>
      <c r="H18" t="s">
        <v>101</v>
      </c>
    </row>
    <row r="19" spans="2:8" x14ac:dyDescent="0.3">
      <c r="B19" t="s">
        <v>73</v>
      </c>
      <c r="C19" s="19">
        <v>72</v>
      </c>
      <c r="D19" s="19">
        <v>82</v>
      </c>
      <c r="E19" s="19">
        <f t="shared" si="0"/>
        <v>10</v>
      </c>
      <c r="F19" s="19">
        <v>180</v>
      </c>
    </row>
    <row r="20" spans="2:8" x14ac:dyDescent="0.3">
      <c r="B20" t="s">
        <v>77</v>
      </c>
      <c r="C20" s="19">
        <v>29</v>
      </c>
      <c r="D20" s="19" t="s">
        <v>91</v>
      </c>
      <c r="E20" s="19">
        <v>0</v>
      </c>
      <c r="F20" s="19">
        <v>78</v>
      </c>
    </row>
    <row r="21" spans="2:8" x14ac:dyDescent="0.3">
      <c r="B21" t="s">
        <v>78</v>
      </c>
      <c r="C21" s="19">
        <v>3</v>
      </c>
      <c r="D21" s="19" t="s">
        <v>90</v>
      </c>
      <c r="E21" s="19">
        <v>0</v>
      </c>
      <c r="F21" s="19">
        <v>8</v>
      </c>
    </row>
    <row r="22" spans="2:8" x14ac:dyDescent="0.3">
      <c r="B22" t="s">
        <v>80</v>
      </c>
      <c r="C22" s="19">
        <v>31</v>
      </c>
      <c r="D22" s="19">
        <v>36</v>
      </c>
      <c r="E22" s="19">
        <f t="shared" si="0"/>
        <v>5</v>
      </c>
      <c r="F22" s="19">
        <v>77</v>
      </c>
    </row>
    <row r="23" spans="2:8" x14ac:dyDescent="0.3">
      <c r="B23" t="s">
        <v>81</v>
      </c>
      <c r="C23" s="19">
        <v>13</v>
      </c>
      <c r="D23" s="19" t="s">
        <v>90</v>
      </c>
      <c r="E23" s="19">
        <v>0</v>
      </c>
      <c r="F23" s="19">
        <v>30</v>
      </c>
      <c r="H23" t="s">
        <v>102</v>
      </c>
    </row>
    <row r="24" spans="2:8" x14ac:dyDescent="0.3">
      <c r="B24" t="s">
        <v>82</v>
      </c>
      <c r="C24" s="19">
        <v>138</v>
      </c>
      <c r="D24" s="19">
        <v>145</v>
      </c>
      <c r="E24" s="19">
        <f t="shared" si="0"/>
        <v>7</v>
      </c>
      <c r="F24" s="19">
        <v>345</v>
      </c>
    </row>
    <row r="25" spans="2:8" x14ac:dyDescent="0.3">
      <c r="B25" t="s">
        <v>83</v>
      </c>
      <c r="C25" s="19">
        <v>22</v>
      </c>
      <c r="D25" s="19">
        <v>22</v>
      </c>
      <c r="E25" s="19">
        <f t="shared" si="0"/>
        <v>0</v>
      </c>
      <c r="F25" s="19">
        <v>55</v>
      </c>
    </row>
    <row r="26" spans="2:8" x14ac:dyDescent="0.3">
      <c r="B26" t="s">
        <v>95</v>
      </c>
      <c r="C26" s="19">
        <v>55</v>
      </c>
      <c r="D26" s="19">
        <v>48</v>
      </c>
      <c r="E26" s="23">
        <f t="shared" si="0"/>
        <v>-7</v>
      </c>
      <c r="F26" s="19">
        <v>138</v>
      </c>
    </row>
    <row r="27" spans="2:8" x14ac:dyDescent="0.3">
      <c r="B27" t="s">
        <v>85</v>
      </c>
      <c r="C27" s="19">
        <v>8</v>
      </c>
      <c r="D27" s="19" t="s">
        <v>90</v>
      </c>
      <c r="E27" s="19">
        <v>0</v>
      </c>
      <c r="F27" s="19">
        <v>20</v>
      </c>
    </row>
    <row r="28" spans="2:8" x14ac:dyDescent="0.3">
      <c r="B28" t="s">
        <v>86</v>
      </c>
      <c r="C28" s="19">
        <v>29</v>
      </c>
      <c r="D28" s="19" t="s">
        <v>91</v>
      </c>
      <c r="E28" s="19">
        <v>0</v>
      </c>
      <c r="F28" s="19">
        <v>73</v>
      </c>
    </row>
    <row r="29" spans="2:8" x14ac:dyDescent="0.3">
      <c r="B29" t="s">
        <v>87</v>
      </c>
      <c r="C29" s="19">
        <v>4</v>
      </c>
      <c r="D29" s="19">
        <v>9</v>
      </c>
      <c r="E29" s="19">
        <f t="shared" si="0"/>
        <v>5</v>
      </c>
      <c r="F29" s="19">
        <v>16</v>
      </c>
    </row>
    <row r="30" spans="2:8" x14ac:dyDescent="0.3">
      <c r="B30" t="s">
        <v>88</v>
      </c>
      <c r="C30" s="19">
        <f>12874-C37-2471</f>
        <v>6203</v>
      </c>
      <c r="D30" s="19">
        <f>15510-D37-2471</f>
        <v>8839</v>
      </c>
      <c r="E30" s="19">
        <f>D30-C30</f>
        <v>2636</v>
      </c>
      <c r="F30" s="19">
        <f>31560+3300</f>
        <v>34860</v>
      </c>
    </row>
    <row r="31" spans="2:8" x14ac:dyDescent="0.3">
      <c r="B31" t="s">
        <v>84</v>
      </c>
      <c r="C31" s="19">
        <v>20</v>
      </c>
      <c r="D31" s="19">
        <v>20</v>
      </c>
      <c r="E31" s="19">
        <f t="shared" si="0"/>
        <v>0</v>
      </c>
      <c r="F31" s="19">
        <v>50</v>
      </c>
    </row>
    <row r="32" spans="2:8" x14ac:dyDescent="0.3">
      <c r="B32" t="s">
        <v>79</v>
      </c>
      <c r="C32" s="19">
        <v>65</v>
      </c>
      <c r="D32" s="19">
        <v>68</v>
      </c>
      <c r="E32" s="19">
        <f t="shared" si="0"/>
        <v>3</v>
      </c>
      <c r="F32" s="19">
        <v>165</v>
      </c>
    </row>
    <row r="33" spans="2:8" x14ac:dyDescent="0.3">
      <c r="B33" s="4" t="s">
        <v>89</v>
      </c>
      <c r="C33" s="21">
        <v>109</v>
      </c>
      <c r="D33" s="21">
        <v>175</v>
      </c>
      <c r="E33" s="21">
        <f t="shared" si="0"/>
        <v>66</v>
      </c>
      <c r="F33" s="21">
        <v>273</v>
      </c>
    </row>
    <row r="34" spans="2:8" x14ac:dyDescent="0.3">
      <c r="B34" s="22" t="s">
        <v>8</v>
      </c>
      <c r="C34" s="3">
        <f>SUM(C6:C33)</f>
        <v>9003</v>
      </c>
      <c r="D34" s="3">
        <f>SUM(D6:D33)</f>
        <v>11310</v>
      </c>
      <c r="E34" s="34">
        <f>SUM(E6:E33)</f>
        <v>2961</v>
      </c>
      <c r="F34" s="3">
        <f>SUM(F6:F33)</f>
        <v>43374</v>
      </c>
    </row>
    <row r="35" spans="2:8" x14ac:dyDescent="0.3">
      <c r="B35" s="22"/>
      <c r="C35" s="3"/>
      <c r="D35" s="3"/>
      <c r="E35" s="3"/>
      <c r="F35" s="3"/>
    </row>
    <row r="36" spans="2:8" x14ac:dyDescent="0.3">
      <c r="B36" s="26" t="s">
        <v>97</v>
      </c>
      <c r="D36" s="24"/>
      <c r="F36" s="3"/>
    </row>
    <row r="37" spans="2:8" x14ac:dyDescent="0.3">
      <c r="B37" t="s">
        <v>6</v>
      </c>
      <c r="C37">
        <v>4200</v>
      </c>
      <c r="D37" s="24">
        <f>C37</f>
        <v>4200</v>
      </c>
      <c r="E37" s="24">
        <f>D37-C37</f>
        <v>0</v>
      </c>
      <c r="F37" s="57">
        <f>D37+D34</f>
        <v>15510</v>
      </c>
      <c r="H37" t="s">
        <v>111</v>
      </c>
    </row>
    <row r="38" spans="2:8" x14ac:dyDescent="0.3">
      <c r="B38" t="s">
        <v>7</v>
      </c>
      <c r="C38">
        <v>0</v>
      </c>
      <c r="D38" s="24">
        <v>2500</v>
      </c>
      <c r="E38" s="24">
        <f>D38-C38</f>
        <v>2500</v>
      </c>
      <c r="F38" s="58">
        <f>D38+F37</f>
        <v>18010</v>
      </c>
      <c r="H38" t="s">
        <v>111</v>
      </c>
    </row>
    <row r="40" spans="2:8" ht="16.2" thickBot="1" x14ac:dyDescent="0.35">
      <c r="B40" s="27" t="s">
        <v>96</v>
      </c>
      <c r="C40" s="25">
        <f>C37+C34+C38</f>
        <v>13203</v>
      </c>
      <c r="D40" s="25">
        <f>D37+D34+D38</f>
        <v>18010</v>
      </c>
      <c r="E40" s="33">
        <f>E37+E34+E38</f>
        <v>5461</v>
      </c>
    </row>
    <row r="41" spans="2:8" ht="15" thickTop="1" x14ac:dyDescent="0.3"/>
    <row r="42" spans="2:8" x14ac:dyDescent="0.3">
      <c r="D42" s="3"/>
      <c r="E42" s="3"/>
    </row>
  </sheetData>
  <sortState ref="B3:E30">
    <sortCondition ref="B3"/>
  </sortState>
  <pageMargins left="0.7" right="0.7" top="0.75" bottom="0.75" header="0.3" footer="0.3"/>
  <pageSetup paperSize="0" scale="84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I1" workbookViewId="0">
      <selection activeCell="J70" sqref="J70"/>
    </sheetView>
  </sheetViews>
  <sheetFormatPr defaultColWidth="9.109375" defaultRowHeight="11.4" x14ac:dyDescent="0.2"/>
  <cols>
    <col min="1" max="1" width="11.44140625" style="7" bestFit="1" customWidth="1"/>
    <col min="2" max="2" width="8.88671875" style="7" bestFit="1" customWidth="1"/>
    <col min="3" max="25" width="9.5546875" style="7" customWidth="1"/>
    <col min="26" max="16384" width="9.109375" style="7"/>
  </cols>
  <sheetData>
    <row r="1" spans="1:24" s="16" customFormat="1" ht="12" x14ac:dyDescent="0.25">
      <c r="A1" s="187" t="s">
        <v>57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</row>
    <row r="2" spans="1:24" s="16" customFormat="1" ht="12" x14ac:dyDescent="0.25">
      <c r="A2" s="187" t="s">
        <v>56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4" spans="1:24" x14ac:dyDescent="0.2">
      <c r="B4" s="15">
        <v>2000</v>
      </c>
      <c r="C4" s="15">
        <v>2005</v>
      </c>
      <c r="D4" s="15">
        <v>2010</v>
      </c>
      <c r="E4" s="15">
        <v>2011</v>
      </c>
      <c r="F4" s="15">
        <v>2012</v>
      </c>
      <c r="G4" s="15">
        <v>2013</v>
      </c>
      <c r="H4" s="15">
        <v>2014</v>
      </c>
      <c r="I4" s="15">
        <v>2015</v>
      </c>
      <c r="J4" s="15">
        <v>2016</v>
      </c>
      <c r="K4" s="15">
        <v>2017</v>
      </c>
      <c r="L4" s="15">
        <v>2018</v>
      </c>
      <c r="M4" s="15">
        <v>2019</v>
      </c>
      <c r="N4" s="15">
        <v>2020</v>
      </c>
      <c r="O4" s="15">
        <v>2021</v>
      </c>
      <c r="P4" s="15">
        <v>2022</v>
      </c>
      <c r="Q4" s="15">
        <v>2023</v>
      </c>
      <c r="R4" s="15">
        <v>2024</v>
      </c>
      <c r="S4" s="15">
        <v>2025</v>
      </c>
      <c r="T4" s="15">
        <v>2026</v>
      </c>
      <c r="U4" s="15">
        <v>2027</v>
      </c>
      <c r="V4" s="15">
        <v>2028</v>
      </c>
      <c r="W4" s="15">
        <v>2029</v>
      </c>
      <c r="X4" s="15">
        <v>2030</v>
      </c>
    </row>
    <row r="5" spans="1:24" x14ac:dyDescent="0.2">
      <c r="A5" s="7" t="s">
        <v>55</v>
      </c>
      <c r="B5" s="9">
        <v>5894121</v>
      </c>
      <c r="C5" s="9">
        <v>6256400</v>
      </c>
      <c r="D5" s="9">
        <v>6325953</v>
      </c>
      <c r="E5" s="9">
        <v>6382271</v>
      </c>
      <c r="F5" s="9">
        <v>6438632</v>
      </c>
      <c r="G5" s="9">
        <v>6494940</v>
      </c>
      <c r="H5" s="9">
        <v>6551218</v>
      </c>
      <c r="I5" s="9">
        <v>6607447</v>
      </c>
      <c r="J5" s="9">
        <v>6656070</v>
      </c>
      <c r="K5" s="9">
        <v>6704750</v>
      </c>
      <c r="L5" s="9">
        <v>6753406</v>
      </c>
      <c r="M5" s="9">
        <v>6802045</v>
      </c>
      <c r="N5" s="9">
        <v>6850659</v>
      </c>
      <c r="O5" s="9">
        <v>6891868</v>
      </c>
      <c r="P5" s="9">
        <v>6933032</v>
      </c>
      <c r="Q5" s="9">
        <v>6974174</v>
      </c>
      <c r="R5" s="9">
        <v>7015298</v>
      </c>
      <c r="S5" s="9">
        <v>7056399</v>
      </c>
      <c r="T5" s="9">
        <v>7088435</v>
      </c>
      <c r="U5" s="9">
        <v>7120416</v>
      </c>
      <c r="V5" s="9">
        <v>7152407</v>
      </c>
      <c r="W5" s="10">
        <v>7184377</v>
      </c>
      <c r="X5" s="9">
        <v>7216325</v>
      </c>
    </row>
    <row r="6" spans="1:24" x14ac:dyDescent="0.2">
      <c r="A6" s="7" t="s">
        <v>54</v>
      </c>
      <c r="B6" s="9">
        <v>16428</v>
      </c>
      <c r="C6" s="9">
        <v>17000</v>
      </c>
      <c r="D6" s="9">
        <v>17274</v>
      </c>
      <c r="E6" s="9">
        <v>17458</v>
      </c>
      <c r="F6" s="9">
        <v>17643</v>
      </c>
      <c r="G6" s="9">
        <v>17828</v>
      </c>
      <c r="H6" s="9">
        <v>18013</v>
      </c>
      <c r="I6" s="9">
        <v>18198</v>
      </c>
      <c r="J6" s="9">
        <v>18378</v>
      </c>
      <c r="K6" s="9">
        <v>18559</v>
      </c>
      <c r="L6" s="9">
        <v>18739</v>
      </c>
      <c r="M6" s="9">
        <v>18919</v>
      </c>
      <c r="N6" s="9">
        <v>19100</v>
      </c>
      <c r="O6" s="9">
        <v>19266</v>
      </c>
      <c r="P6" s="9">
        <v>19433</v>
      </c>
      <c r="Q6" s="9">
        <v>19600</v>
      </c>
      <c r="R6" s="9">
        <v>19767</v>
      </c>
      <c r="S6" s="9">
        <v>19933</v>
      </c>
      <c r="T6" s="9">
        <v>20073</v>
      </c>
      <c r="U6" s="9">
        <v>20213</v>
      </c>
      <c r="V6" s="9">
        <v>20353</v>
      </c>
      <c r="W6" s="10">
        <v>20493</v>
      </c>
      <c r="X6" s="9">
        <v>20633</v>
      </c>
    </row>
    <row r="7" spans="1:24" x14ac:dyDescent="0.2">
      <c r="A7" s="7" t="s">
        <v>53</v>
      </c>
      <c r="B7" s="9">
        <v>20551</v>
      </c>
      <c r="C7" s="9">
        <v>20900</v>
      </c>
      <c r="D7" s="9">
        <v>20953</v>
      </c>
      <c r="E7" s="9">
        <v>21085</v>
      </c>
      <c r="F7" s="9">
        <v>21217</v>
      </c>
      <c r="G7" s="9">
        <v>21349</v>
      </c>
      <c r="H7" s="9">
        <v>21482</v>
      </c>
      <c r="I7" s="9">
        <v>21614</v>
      </c>
      <c r="J7" s="9">
        <v>21766</v>
      </c>
      <c r="K7" s="9">
        <v>21919</v>
      </c>
      <c r="L7" s="9">
        <v>22071</v>
      </c>
      <c r="M7" s="9">
        <v>22223</v>
      </c>
      <c r="N7" s="9">
        <v>22375</v>
      </c>
      <c r="O7" s="9">
        <v>22512</v>
      </c>
      <c r="P7" s="9">
        <v>22649</v>
      </c>
      <c r="Q7" s="9">
        <v>22787</v>
      </c>
      <c r="R7" s="9">
        <v>22924</v>
      </c>
      <c r="S7" s="9">
        <v>23061</v>
      </c>
      <c r="T7" s="9">
        <v>23169</v>
      </c>
      <c r="U7" s="9">
        <v>23277</v>
      </c>
      <c r="V7" s="9">
        <v>23385</v>
      </c>
      <c r="W7" s="10">
        <v>23493</v>
      </c>
      <c r="X7" s="9">
        <v>23601</v>
      </c>
    </row>
    <row r="8" spans="1:24" x14ac:dyDescent="0.2">
      <c r="A8" s="7" t="s">
        <v>52</v>
      </c>
      <c r="B8" s="9">
        <v>142475</v>
      </c>
      <c r="C8" s="9">
        <v>158100</v>
      </c>
      <c r="D8" s="9">
        <v>154488</v>
      </c>
      <c r="E8" s="9">
        <v>155159</v>
      </c>
      <c r="F8" s="9">
        <v>155830</v>
      </c>
      <c r="G8" s="9">
        <v>156501</v>
      </c>
      <c r="H8" s="9">
        <v>157172</v>
      </c>
      <c r="I8" s="9">
        <v>157842</v>
      </c>
      <c r="J8" s="9">
        <v>158413</v>
      </c>
      <c r="K8" s="9">
        <v>158983</v>
      </c>
      <c r="L8" s="9">
        <v>159553</v>
      </c>
      <c r="M8" s="9">
        <v>160123</v>
      </c>
      <c r="N8" s="9">
        <v>160693</v>
      </c>
      <c r="O8" s="9">
        <v>161121</v>
      </c>
      <c r="P8" s="9">
        <v>161548</v>
      </c>
      <c r="Q8" s="9">
        <v>161976</v>
      </c>
      <c r="R8" s="9">
        <v>162403</v>
      </c>
      <c r="S8" s="9">
        <v>162831</v>
      </c>
      <c r="T8" s="9">
        <v>163022</v>
      </c>
      <c r="U8" s="9">
        <v>163212</v>
      </c>
      <c r="V8" s="9">
        <v>163403</v>
      </c>
      <c r="W8" s="10">
        <v>163594</v>
      </c>
      <c r="X8" s="9">
        <v>163785</v>
      </c>
    </row>
    <row r="9" spans="1:24" x14ac:dyDescent="0.2">
      <c r="A9" s="7" t="s">
        <v>51</v>
      </c>
      <c r="B9" s="9">
        <v>66616</v>
      </c>
      <c r="C9" s="9">
        <v>69200</v>
      </c>
      <c r="D9" s="9">
        <v>70174</v>
      </c>
      <c r="E9" s="9">
        <v>70781</v>
      </c>
      <c r="F9" s="9">
        <v>71388</v>
      </c>
      <c r="G9" s="9">
        <v>71995</v>
      </c>
      <c r="H9" s="9">
        <v>72601</v>
      </c>
      <c r="I9" s="9">
        <v>73208</v>
      </c>
      <c r="J9" s="9">
        <v>73752</v>
      </c>
      <c r="K9" s="9">
        <v>74295</v>
      </c>
      <c r="L9" s="9">
        <v>74839</v>
      </c>
      <c r="M9" s="9">
        <v>75382</v>
      </c>
      <c r="N9" s="9">
        <v>75925</v>
      </c>
      <c r="O9" s="9">
        <v>76395</v>
      </c>
      <c r="P9" s="9">
        <v>76864</v>
      </c>
      <c r="Q9" s="9">
        <v>77333</v>
      </c>
      <c r="R9" s="9">
        <v>77803</v>
      </c>
      <c r="S9" s="9">
        <v>78272</v>
      </c>
      <c r="T9" s="9">
        <v>78619</v>
      </c>
      <c r="U9" s="9">
        <v>78967</v>
      </c>
      <c r="V9" s="9">
        <v>79314</v>
      </c>
      <c r="W9" s="10">
        <v>79662</v>
      </c>
      <c r="X9" s="9">
        <v>80009</v>
      </c>
    </row>
    <row r="10" spans="1:24" x14ac:dyDescent="0.2">
      <c r="A10" s="7" t="s">
        <v>50</v>
      </c>
      <c r="B10" s="9">
        <v>64179</v>
      </c>
      <c r="C10" s="9">
        <v>66800</v>
      </c>
      <c r="D10" s="9">
        <v>63943</v>
      </c>
      <c r="E10" s="9">
        <v>64206</v>
      </c>
      <c r="F10" s="9">
        <v>64470</v>
      </c>
      <c r="G10" s="9">
        <v>64733</v>
      </c>
      <c r="H10" s="9">
        <v>64997</v>
      </c>
      <c r="I10" s="9">
        <v>65260</v>
      </c>
      <c r="J10" s="9">
        <v>65622</v>
      </c>
      <c r="K10" s="9">
        <v>65984</v>
      </c>
      <c r="L10" s="9">
        <v>66345</v>
      </c>
      <c r="M10" s="9">
        <v>66707</v>
      </c>
      <c r="N10" s="9">
        <v>67068</v>
      </c>
      <c r="O10" s="9">
        <v>67372</v>
      </c>
      <c r="P10" s="9">
        <v>67675</v>
      </c>
      <c r="Q10" s="9">
        <v>67978</v>
      </c>
      <c r="R10" s="9">
        <v>68282</v>
      </c>
      <c r="S10" s="9">
        <v>68585</v>
      </c>
      <c r="T10" s="9">
        <v>68789</v>
      </c>
      <c r="U10" s="9">
        <v>68993</v>
      </c>
      <c r="V10" s="9">
        <v>69197</v>
      </c>
      <c r="W10" s="10">
        <v>69401</v>
      </c>
      <c r="X10" s="9">
        <v>69605</v>
      </c>
    </row>
    <row r="11" spans="1:24" x14ac:dyDescent="0.2">
      <c r="A11" s="7" t="s">
        <v>49</v>
      </c>
      <c r="B11" s="9">
        <v>345238</v>
      </c>
      <c r="C11" s="9">
        <v>391500</v>
      </c>
      <c r="D11" s="9">
        <v>404534</v>
      </c>
      <c r="E11" s="9">
        <v>410224</v>
      </c>
      <c r="F11" s="9">
        <v>415913</v>
      </c>
      <c r="G11" s="9">
        <v>421602</v>
      </c>
      <c r="H11" s="9">
        <v>427291</v>
      </c>
      <c r="I11" s="9">
        <v>432980</v>
      </c>
      <c r="J11" s="9">
        <v>437597</v>
      </c>
      <c r="K11" s="9">
        <v>442214</v>
      </c>
      <c r="L11" s="9">
        <v>446832</v>
      </c>
      <c r="M11" s="9">
        <v>451449</v>
      </c>
      <c r="N11" s="9">
        <v>456066</v>
      </c>
      <c r="O11" s="9">
        <v>460191</v>
      </c>
      <c r="P11" s="9">
        <v>464317</v>
      </c>
      <c r="Q11" s="9">
        <v>468442</v>
      </c>
      <c r="R11" s="9">
        <v>472567</v>
      </c>
      <c r="S11" s="9">
        <v>476692</v>
      </c>
      <c r="T11" s="9">
        <v>480030</v>
      </c>
      <c r="U11" s="9">
        <v>483368</v>
      </c>
      <c r="V11" s="9">
        <v>486707</v>
      </c>
      <c r="W11" s="10">
        <v>490045</v>
      </c>
      <c r="X11" s="9">
        <v>493383</v>
      </c>
    </row>
    <row r="12" spans="1:24" x14ac:dyDescent="0.2">
      <c r="A12" s="7" t="s">
        <v>48</v>
      </c>
      <c r="B12" s="9">
        <v>4064</v>
      </c>
      <c r="C12" s="9">
        <v>4100</v>
      </c>
      <c r="D12" s="9">
        <v>3748</v>
      </c>
      <c r="E12" s="9">
        <v>3732</v>
      </c>
      <c r="F12" s="9">
        <v>3716</v>
      </c>
      <c r="G12" s="9">
        <v>3699</v>
      </c>
      <c r="H12" s="9">
        <v>3683</v>
      </c>
      <c r="I12" s="9">
        <v>3667</v>
      </c>
      <c r="J12" s="9">
        <v>3652</v>
      </c>
      <c r="K12" s="9">
        <v>3637</v>
      </c>
      <c r="L12" s="9">
        <v>3622</v>
      </c>
      <c r="M12" s="9">
        <v>3607</v>
      </c>
      <c r="N12" s="9">
        <v>3593</v>
      </c>
      <c r="O12" s="9">
        <v>3578</v>
      </c>
      <c r="P12" s="9">
        <v>3563</v>
      </c>
      <c r="Q12" s="9">
        <v>3548</v>
      </c>
      <c r="R12" s="9">
        <v>3532</v>
      </c>
      <c r="S12" s="9">
        <v>3517</v>
      </c>
      <c r="T12" s="9">
        <v>3501</v>
      </c>
      <c r="U12" s="9">
        <v>3485</v>
      </c>
      <c r="V12" s="9">
        <v>3468</v>
      </c>
      <c r="W12" s="10">
        <v>3452</v>
      </c>
      <c r="X12" s="9">
        <v>3435</v>
      </c>
    </row>
    <row r="13" spans="1:24" x14ac:dyDescent="0.2">
      <c r="A13" s="7" t="s">
        <v>47</v>
      </c>
      <c r="B13" s="9">
        <v>92948</v>
      </c>
      <c r="C13" s="9">
        <v>95900</v>
      </c>
      <c r="D13" s="9">
        <v>98257</v>
      </c>
      <c r="E13" s="9">
        <v>99324</v>
      </c>
      <c r="F13" s="9">
        <v>100391</v>
      </c>
      <c r="G13" s="9">
        <v>101458</v>
      </c>
      <c r="H13" s="9">
        <v>102525</v>
      </c>
      <c r="I13" s="9">
        <v>103592</v>
      </c>
      <c r="J13" s="9">
        <v>104662</v>
      </c>
      <c r="K13" s="9">
        <v>105731</v>
      </c>
      <c r="L13" s="9">
        <v>106801</v>
      </c>
      <c r="M13" s="9">
        <v>107871</v>
      </c>
      <c r="N13" s="9">
        <v>108941</v>
      </c>
      <c r="O13" s="9">
        <v>109863</v>
      </c>
      <c r="P13" s="9">
        <v>110784</v>
      </c>
      <c r="Q13" s="9">
        <v>111706</v>
      </c>
      <c r="R13" s="9">
        <v>112627</v>
      </c>
      <c r="S13" s="9">
        <v>113549</v>
      </c>
      <c r="T13" s="9">
        <v>114253</v>
      </c>
      <c r="U13" s="9">
        <v>114957</v>
      </c>
      <c r="V13" s="9">
        <v>115662</v>
      </c>
      <c r="W13" s="10">
        <v>116366</v>
      </c>
      <c r="X13" s="9">
        <v>117070</v>
      </c>
    </row>
    <row r="14" spans="1:24" x14ac:dyDescent="0.2">
      <c r="A14" s="7" t="s">
        <v>46</v>
      </c>
      <c r="B14" s="9">
        <v>32603</v>
      </c>
      <c r="C14" s="9">
        <v>34700</v>
      </c>
      <c r="D14" s="9">
        <v>35692</v>
      </c>
      <c r="E14" s="9">
        <v>36034</v>
      </c>
      <c r="F14" s="9">
        <v>36376</v>
      </c>
      <c r="G14" s="9">
        <v>36718</v>
      </c>
      <c r="H14" s="9">
        <v>37060</v>
      </c>
      <c r="I14" s="9">
        <v>37402</v>
      </c>
      <c r="J14" s="9">
        <v>37640</v>
      </c>
      <c r="K14" s="9">
        <v>37879</v>
      </c>
      <c r="L14" s="9">
        <v>38117</v>
      </c>
      <c r="M14" s="9">
        <v>38356</v>
      </c>
      <c r="N14" s="9">
        <v>38594</v>
      </c>
      <c r="O14" s="9">
        <v>38788</v>
      </c>
      <c r="P14" s="9">
        <v>38983</v>
      </c>
      <c r="Q14" s="9">
        <v>39177</v>
      </c>
      <c r="R14" s="9">
        <v>39371</v>
      </c>
      <c r="S14" s="9">
        <v>39565</v>
      </c>
      <c r="T14" s="9">
        <v>39692</v>
      </c>
      <c r="U14" s="9">
        <v>39818</v>
      </c>
      <c r="V14" s="9">
        <v>39944</v>
      </c>
      <c r="W14" s="10">
        <v>40071</v>
      </c>
      <c r="X14" s="9">
        <v>40197</v>
      </c>
    </row>
    <row r="15" spans="1:24" x14ac:dyDescent="0.2">
      <c r="A15" s="7" t="s">
        <v>45</v>
      </c>
      <c r="B15" s="9">
        <v>7260</v>
      </c>
      <c r="C15" s="9">
        <v>7400</v>
      </c>
      <c r="D15" s="9">
        <v>7029</v>
      </c>
      <c r="E15" s="9">
        <v>7029</v>
      </c>
      <c r="F15" s="9">
        <v>7029</v>
      </c>
      <c r="G15" s="9">
        <v>7029</v>
      </c>
      <c r="H15" s="9">
        <v>7030</v>
      </c>
      <c r="I15" s="9">
        <v>7030</v>
      </c>
      <c r="J15" s="9">
        <v>7032</v>
      </c>
      <c r="K15" s="9">
        <v>7035</v>
      </c>
      <c r="L15" s="9">
        <v>7038</v>
      </c>
      <c r="M15" s="9">
        <v>7041</v>
      </c>
      <c r="N15" s="9">
        <v>7044</v>
      </c>
      <c r="O15" s="9">
        <v>7046</v>
      </c>
      <c r="P15" s="9">
        <v>7049</v>
      </c>
      <c r="Q15" s="9">
        <v>7051</v>
      </c>
      <c r="R15" s="9">
        <v>7054</v>
      </c>
      <c r="S15" s="9">
        <v>7056</v>
      </c>
      <c r="T15" s="9">
        <v>7041</v>
      </c>
      <c r="U15" s="9">
        <v>7025</v>
      </c>
      <c r="V15" s="9">
        <v>7010</v>
      </c>
      <c r="W15" s="10">
        <v>6994</v>
      </c>
      <c r="X15" s="9">
        <v>6979</v>
      </c>
    </row>
    <row r="16" spans="1:24" x14ac:dyDescent="0.2">
      <c r="A16" s="7" t="s">
        <v>44</v>
      </c>
      <c r="B16" s="9">
        <v>49347</v>
      </c>
      <c r="C16" s="9">
        <v>60500</v>
      </c>
      <c r="D16" s="9">
        <v>64786</v>
      </c>
      <c r="E16" s="9">
        <v>66331</v>
      </c>
      <c r="F16" s="9">
        <v>67877</v>
      </c>
      <c r="G16" s="9">
        <v>69423</v>
      </c>
      <c r="H16" s="9">
        <v>70968</v>
      </c>
      <c r="I16" s="9">
        <v>72514</v>
      </c>
      <c r="J16" s="9">
        <v>73967</v>
      </c>
      <c r="K16" s="9">
        <v>75419</v>
      </c>
      <c r="L16" s="9">
        <v>76871</v>
      </c>
      <c r="M16" s="9">
        <v>78324</v>
      </c>
      <c r="N16" s="9">
        <v>79776</v>
      </c>
      <c r="O16" s="9">
        <v>81085</v>
      </c>
      <c r="P16" s="9">
        <v>82394</v>
      </c>
      <c r="Q16" s="9">
        <v>83703</v>
      </c>
      <c r="R16" s="9">
        <v>85012</v>
      </c>
      <c r="S16" s="9">
        <v>86321</v>
      </c>
      <c r="T16" s="9">
        <v>87404</v>
      </c>
      <c r="U16" s="9">
        <v>88486</v>
      </c>
      <c r="V16" s="9">
        <v>89569</v>
      </c>
      <c r="W16" s="10">
        <v>90651</v>
      </c>
      <c r="X16" s="9">
        <v>91733</v>
      </c>
    </row>
    <row r="17" spans="1:24" x14ac:dyDescent="0.2">
      <c r="A17" s="7" t="s">
        <v>43</v>
      </c>
      <c r="B17" s="9">
        <v>2397</v>
      </c>
      <c r="C17" s="9">
        <v>2400</v>
      </c>
      <c r="D17" s="9">
        <v>2149</v>
      </c>
      <c r="E17" s="9">
        <v>2147</v>
      </c>
      <c r="F17" s="9">
        <v>2145</v>
      </c>
      <c r="G17" s="9">
        <v>2138</v>
      </c>
      <c r="H17" s="9">
        <v>2132</v>
      </c>
      <c r="I17" s="9">
        <v>2125</v>
      </c>
      <c r="J17" s="9">
        <v>2123</v>
      </c>
      <c r="K17" s="9">
        <v>2117</v>
      </c>
      <c r="L17" s="9">
        <v>2111</v>
      </c>
      <c r="M17" s="9">
        <v>2105</v>
      </c>
      <c r="N17" s="9">
        <v>2099</v>
      </c>
      <c r="O17" s="9">
        <v>2095</v>
      </c>
      <c r="P17" s="9">
        <v>2090</v>
      </c>
      <c r="Q17" s="9">
        <v>2082</v>
      </c>
      <c r="R17" s="9">
        <v>2075</v>
      </c>
      <c r="S17" s="9">
        <v>2063</v>
      </c>
      <c r="T17" s="9">
        <v>2054</v>
      </c>
      <c r="U17" s="9">
        <v>2044</v>
      </c>
      <c r="V17" s="9">
        <v>2035</v>
      </c>
      <c r="W17" s="10">
        <v>2024</v>
      </c>
      <c r="X17" s="9">
        <v>2012</v>
      </c>
    </row>
    <row r="18" spans="1:24" x14ac:dyDescent="0.2">
      <c r="A18" s="7" t="s">
        <v>42</v>
      </c>
      <c r="B18" s="9">
        <v>74698</v>
      </c>
      <c r="C18" s="9">
        <v>79100</v>
      </c>
      <c r="D18" s="9">
        <v>80655</v>
      </c>
      <c r="E18" s="9">
        <v>80866</v>
      </c>
      <c r="F18" s="9">
        <v>81076</v>
      </c>
      <c r="G18" s="9">
        <v>81287</v>
      </c>
      <c r="H18" s="9">
        <v>81498</v>
      </c>
      <c r="I18" s="9">
        <v>81708</v>
      </c>
      <c r="J18" s="9">
        <v>81623</v>
      </c>
      <c r="K18" s="9">
        <v>81537</v>
      </c>
      <c r="L18" s="9">
        <v>81451</v>
      </c>
      <c r="M18" s="9">
        <v>81366</v>
      </c>
      <c r="N18" s="9">
        <v>81280</v>
      </c>
      <c r="O18" s="9">
        <v>81121</v>
      </c>
      <c r="P18" s="9">
        <v>80962</v>
      </c>
      <c r="Q18" s="9">
        <v>80803</v>
      </c>
      <c r="R18" s="9">
        <v>80644</v>
      </c>
      <c r="S18" s="9">
        <v>80486</v>
      </c>
      <c r="T18" s="9">
        <v>80209</v>
      </c>
      <c r="U18" s="9">
        <v>79933</v>
      </c>
      <c r="V18" s="9">
        <v>79656</v>
      </c>
      <c r="W18" s="10">
        <v>79380</v>
      </c>
      <c r="X18" s="9">
        <v>79104</v>
      </c>
    </row>
    <row r="19" spans="1:24" x14ac:dyDescent="0.2">
      <c r="A19" s="7" t="s">
        <v>41</v>
      </c>
      <c r="B19" s="9">
        <v>67194</v>
      </c>
      <c r="C19" s="9">
        <v>69800</v>
      </c>
      <c r="D19" s="9">
        <v>66369</v>
      </c>
      <c r="E19" s="9">
        <v>66525</v>
      </c>
      <c r="F19" s="9">
        <v>66680</v>
      </c>
      <c r="G19" s="9">
        <v>66835</v>
      </c>
      <c r="H19" s="9">
        <v>66990</v>
      </c>
      <c r="I19" s="9">
        <v>67145</v>
      </c>
      <c r="J19" s="9">
        <v>67287</v>
      </c>
      <c r="K19" s="9">
        <v>67430</v>
      </c>
      <c r="L19" s="9">
        <v>67572</v>
      </c>
      <c r="M19" s="9">
        <v>67714</v>
      </c>
      <c r="N19" s="9">
        <v>67856</v>
      </c>
      <c r="O19" s="9">
        <v>67941</v>
      </c>
      <c r="P19" s="9">
        <v>68026</v>
      </c>
      <c r="Q19" s="9">
        <v>68111</v>
      </c>
      <c r="R19" s="9">
        <v>68196</v>
      </c>
      <c r="S19" s="9">
        <v>68281</v>
      </c>
      <c r="T19" s="9">
        <v>68270</v>
      </c>
      <c r="U19" s="9">
        <v>68259</v>
      </c>
      <c r="V19" s="9">
        <v>68248</v>
      </c>
      <c r="W19" s="10">
        <v>68237</v>
      </c>
      <c r="X19" s="9">
        <v>68226</v>
      </c>
    </row>
    <row r="20" spans="1:24" x14ac:dyDescent="0.2">
      <c r="A20" s="7" t="s">
        <v>40</v>
      </c>
      <c r="B20" s="9">
        <v>71558</v>
      </c>
      <c r="C20" s="9">
        <v>76000</v>
      </c>
      <c r="D20" s="9">
        <v>73036</v>
      </c>
      <c r="E20" s="9">
        <v>73756</v>
      </c>
      <c r="F20" s="9">
        <v>74476</v>
      </c>
      <c r="G20" s="9">
        <v>75196</v>
      </c>
      <c r="H20" s="9">
        <v>75916</v>
      </c>
      <c r="I20" s="9">
        <v>76636</v>
      </c>
      <c r="J20" s="9">
        <v>77336</v>
      </c>
      <c r="K20" s="9">
        <v>78035</v>
      </c>
      <c r="L20" s="9">
        <v>78735</v>
      </c>
      <c r="M20" s="9">
        <v>79434</v>
      </c>
      <c r="N20" s="9">
        <v>80134</v>
      </c>
      <c r="O20" s="9">
        <v>80719</v>
      </c>
      <c r="P20" s="9">
        <v>81304</v>
      </c>
      <c r="Q20" s="9">
        <v>81889</v>
      </c>
      <c r="R20" s="9">
        <v>82474</v>
      </c>
      <c r="S20" s="9">
        <v>83060</v>
      </c>
      <c r="T20" s="9">
        <v>83481</v>
      </c>
      <c r="U20" s="9">
        <v>83902</v>
      </c>
      <c r="V20" s="9">
        <v>84323</v>
      </c>
      <c r="W20" s="10">
        <v>84743</v>
      </c>
      <c r="X20" s="9">
        <v>85164</v>
      </c>
    </row>
    <row r="21" spans="1:24" x14ac:dyDescent="0.2">
      <c r="A21" s="7" t="s">
        <v>39</v>
      </c>
      <c r="B21" s="9">
        <v>26299</v>
      </c>
      <c r="C21" s="9">
        <v>27600</v>
      </c>
      <c r="D21" s="9">
        <v>28007</v>
      </c>
      <c r="E21" s="9">
        <v>28387</v>
      </c>
      <c r="F21" s="9">
        <v>28767</v>
      </c>
      <c r="G21" s="9">
        <v>29147</v>
      </c>
      <c r="H21" s="9">
        <v>29527</v>
      </c>
      <c r="I21" s="9">
        <v>29907</v>
      </c>
      <c r="J21" s="9">
        <v>30302</v>
      </c>
      <c r="K21" s="9">
        <v>30697</v>
      </c>
      <c r="L21" s="9">
        <v>31092</v>
      </c>
      <c r="M21" s="9">
        <v>31487</v>
      </c>
      <c r="N21" s="9">
        <v>31882</v>
      </c>
      <c r="O21" s="9">
        <v>32225</v>
      </c>
      <c r="P21" s="9">
        <v>32567</v>
      </c>
      <c r="Q21" s="9">
        <v>32910</v>
      </c>
      <c r="R21" s="9">
        <v>33252</v>
      </c>
      <c r="S21" s="9">
        <v>33595</v>
      </c>
      <c r="T21" s="9">
        <v>33864</v>
      </c>
      <c r="U21" s="9">
        <v>34133</v>
      </c>
      <c r="V21" s="9">
        <v>34402</v>
      </c>
      <c r="W21" s="10">
        <v>34671</v>
      </c>
      <c r="X21" s="9">
        <v>34940</v>
      </c>
    </row>
    <row r="22" spans="1:24" x14ac:dyDescent="0.2">
      <c r="A22" s="7" t="s">
        <v>38</v>
      </c>
      <c r="B22" s="9">
        <v>1737034</v>
      </c>
      <c r="C22" s="9">
        <v>1808300</v>
      </c>
      <c r="D22" s="9">
        <v>1835484</v>
      </c>
      <c r="E22" s="9">
        <v>1847617</v>
      </c>
      <c r="F22" s="9">
        <v>1859750</v>
      </c>
      <c r="G22" s="9">
        <v>1871884</v>
      </c>
      <c r="H22" s="9">
        <v>1884017</v>
      </c>
      <c r="I22" s="9">
        <v>1896150</v>
      </c>
      <c r="J22" s="9">
        <v>1905973</v>
      </c>
      <c r="K22" s="9">
        <v>1915795</v>
      </c>
      <c r="L22" s="9">
        <v>1925617</v>
      </c>
      <c r="M22" s="9">
        <v>1935439</v>
      </c>
      <c r="N22" s="9">
        <v>1945262</v>
      </c>
      <c r="O22" s="9">
        <v>1953338</v>
      </c>
      <c r="P22" s="9">
        <v>1961414</v>
      </c>
      <c r="Q22" s="9">
        <v>1969490</v>
      </c>
      <c r="R22" s="9">
        <v>1977566</v>
      </c>
      <c r="S22" s="9">
        <v>1985642</v>
      </c>
      <c r="T22" s="9">
        <v>1991776</v>
      </c>
      <c r="U22" s="9">
        <v>1997910</v>
      </c>
      <c r="V22" s="9">
        <v>2004044</v>
      </c>
      <c r="W22" s="10">
        <v>2010178</v>
      </c>
      <c r="X22" s="9">
        <v>2016312</v>
      </c>
    </row>
    <row r="23" spans="1:24" x14ac:dyDescent="0.2">
      <c r="A23" s="7" t="s">
        <v>37</v>
      </c>
      <c r="B23" s="9">
        <v>231969</v>
      </c>
      <c r="C23" s="9">
        <v>240400</v>
      </c>
      <c r="D23" s="9">
        <v>224145</v>
      </c>
      <c r="E23" s="9">
        <v>224913</v>
      </c>
      <c r="F23" s="9">
        <v>225681</v>
      </c>
      <c r="G23" s="9">
        <v>226449</v>
      </c>
      <c r="H23" s="9">
        <v>227217</v>
      </c>
      <c r="I23" s="9">
        <v>227985</v>
      </c>
      <c r="J23" s="9">
        <v>229973</v>
      </c>
      <c r="K23" s="9">
        <v>231960</v>
      </c>
      <c r="L23" s="9">
        <v>233948</v>
      </c>
      <c r="M23" s="9">
        <v>235936</v>
      </c>
      <c r="N23" s="9">
        <v>237923</v>
      </c>
      <c r="O23" s="9">
        <v>238789</v>
      </c>
      <c r="P23" s="9">
        <v>239654</v>
      </c>
      <c r="Q23" s="9">
        <v>240519</v>
      </c>
      <c r="R23" s="9">
        <v>241384</v>
      </c>
      <c r="S23" s="9">
        <v>242250</v>
      </c>
      <c r="T23" s="9">
        <v>242879</v>
      </c>
      <c r="U23" s="9">
        <v>243508</v>
      </c>
      <c r="V23" s="9">
        <v>244138</v>
      </c>
      <c r="W23" s="10">
        <v>244767</v>
      </c>
      <c r="X23" s="9">
        <v>245397</v>
      </c>
    </row>
    <row r="24" spans="1:24" x14ac:dyDescent="0.2">
      <c r="A24" s="7" t="s">
        <v>36</v>
      </c>
      <c r="B24" s="9">
        <v>33362</v>
      </c>
      <c r="C24" s="9">
        <v>36600</v>
      </c>
      <c r="D24" s="9">
        <v>36402</v>
      </c>
      <c r="E24" s="9">
        <v>36652</v>
      </c>
      <c r="F24" s="9">
        <v>36902</v>
      </c>
      <c r="G24" s="9">
        <v>37153</v>
      </c>
      <c r="H24" s="9">
        <v>37403</v>
      </c>
      <c r="I24" s="9">
        <v>37653</v>
      </c>
      <c r="J24" s="9">
        <v>37819</v>
      </c>
      <c r="K24" s="9">
        <v>37985</v>
      </c>
      <c r="L24" s="9">
        <v>38151</v>
      </c>
      <c r="M24" s="9">
        <v>38317</v>
      </c>
      <c r="N24" s="9">
        <v>38483</v>
      </c>
      <c r="O24" s="9">
        <v>38607</v>
      </c>
      <c r="P24" s="9">
        <v>38731</v>
      </c>
      <c r="Q24" s="9">
        <v>38855</v>
      </c>
      <c r="R24" s="9">
        <v>38978</v>
      </c>
      <c r="S24" s="9">
        <v>39102</v>
      </c>
      <c r="T24" s="9">
        <v>39162</v>
      </c>
      <c r="U24" s="9">
        <v>39221</v>
      </c>
      <c r="V24" s="9">
        <v>39280</v>
      </c>
      <c r="W24" s="10">
        <v>39339</v>
      </c>
      <c r="X24" s="9">
        <v>39398</v>
      </c>
    </row>
    <row r="25" spans="1:24" x14ac:dyDescent="0.2">
      <c r="A25" s="7" t="s">
        <v>35</v>
      </c>
      <c r="B25" s="9">
        <v>19161</v>
      </c>
      <c r="C25" s="9">
        <v>19500</v>
      </c>
      <c r="D25" s="9">
        <v>19801</v>
      </c>
      <c r="E25" s="9">
        <v>19955</v>
      </c>
      <c r="F25" s="9">
        <v>20109</v>
      </c>
      <c r="G25" s="9">
        <v>20263</v>
      </c>
      <c r="H25" s="9">
        <v>20417</v>
      </c>
      <c r="I25" s="9">
        <v>20571</v>
      </c>
      <c r="J25" s="9">
        <v>20715</v>
      </c>
      <c r="K25" s="9">
        <v>20858</v>
      </c>
      <c r="L25" s="9">
        <v>21002</v>
      </c>
      <c r="M25" s="9">
        <v>21145</v>
      </c>
      <c r="N25" s="9">
        <v>21289</v>
      </c>
      <c r="O25" s="9">
        <v>21410</v>
      </c>
      <c r="P25" s="9">
        <v>21530</v>
      </c>
      <c r="Q25" s="9">
        <v>21651</v>
      </c>
      <c r="R25" s="9">
        <v>21771</v>
      </c>
      <c r="S25" s="9">
        <v>21892</v>
      </c>
      <c r="T25" s="9">
        <v>21976</v>
      </c>
      <c r="U25" s="9">
        <v>22061</v>
      </c>
      <c r="V25" s="9">
        <v>22146</v>
      </c>
      <c r="W25" s="10">
        <v>22230</v>
      </c>
      <c r="X25" s="9">
        <v>22315</v>
      </c>
    </row>
    <row r="26" spans="1:24" x14ac:dyDescent="0.2">
      <c r="A26" s="7" t="s">
        <v>34</v>
      </c>
      <c r="B26" s="9">
        <v>68600</v>
      </c>
      <c r="C26" s="9">
        <v>71600</v>
      </c>
      <c r="D26" s="9">
        <v>69596</v>
      </c>
      <c r="E26" s="9">
        <v>69781</v>
      </c>
      <c r="F26" s="9">
        <v>69966</v>
      </c>
      <c r="G26" s="9">
        <v>70151</v>
      </c>
      <c r="H26" s="9">
        <v>70336</v>
      </c>
      <c r="I26" s="9">
        <v>70521</v>
      </c>
      <c r="J26" s="9">
        <v>70863</v>
      </c>
      <c r="K26" s="9">
        <v>71205</v>
      </c>
      <c r="L26" s="9">
        <v>71546</v>
      </c>
      <c r="M26" s="9">
        <v>71888</v>
      </c>
      <c r="N26" s="9">
        <v>72230</v>
      </c>
      <c r="O26" s="9">
        <v>72483</v>
      </c>
      <c r="P26" s="9">
        <v>72736</v>
      </c>
      <c r="Q26" s="9">
        <v>72988</v>
      </c>
      <c r="R26" s="9">
        <v>73241</v>
      </c>
      <c r="S26" s="9">
        <v>73494</v>
      </c>
      <c r="T26" s="9">
        <v>73615</v>
      </c>
      <c r="U26" s="9">
        <v>73737</v>
      </c>
      <c r="V26" s="9">
        <v>73858</v>
      </c>
      <c r="W26" s="10">
        <v>73979</v>
      </c>
      <c r="X26" s="9">
        <v>74100</v>
      </c>
    </row>
    <row r="27" spans="1:24" x14ac:dyDescent="0.2">
      <c r="A27" s="7" t="s">
        <v>33</v>
      </c>
      <c r="B27" s="9">
        <v>10184</v>
      </c>
      <c r="C27" s="9">
        <v>10100</v>
      </c>
      <c r="D27" s="9">
        <v>9577</v>
      </c>
      <c r="E27" s="9">
        <v>9643</v>
      </c>
      <c r="F27" s="9">
        <v>9708</v>
      </c>
      <c r="G27" s="9">
        <v>9773</v>
      </c>
      <c r="H27" s="9">
        <v>9838</v>
      </c>
      <c r="I27" s="9">
        <v>9903</v>
      </c>
      <c r="J27" s="9">
        <v>10018</v>
      </c>
      <c r="K27" s="9">
        <v>10133</v>
      </c>
      <c r="L27" s="9">
        <v>10248</v>
      </c>
      <c r="M27" s="9">
        <v>10363</v>
      </c>
      <c r="N27" s="9">
        <v>10478</v>
      </c>
      <c r="O27" s="9">
        <v>10581</v>
      </c>
      <c r="P27" s="9">
        <v>10683</v>
      </c>
      <c r="Q27" s="9">
        <v>10785</v>
      </c>
      <c r="R27" s="9">
        <v>10887</v>
      </c>
      <c r="S27" s="9">
        <v>10990</v>
      </c>
      <c r="T27" s="9">
        <v>11073</v>
      </c>
      <c r="U27" s="9">
        <v>11155</v>
      </c>
      <c r="V27" s="9">
        <v>11238</v>
      </c>
      <c r="W27" s="10">
        <v>11321</v>
      </c>
      <c r="X27" s="9">
        <v>11404</v>
      </c>
    </row>
    <row r="28" spans="1:24" x14ac:dyDescent="0.2">
      <c r="A28" s="7" t="s">
        <v>32</v>
      </c>
      <c r="B28" s="9">
        <v>49405</v>
      </c>
      <c r="C28" s="9">
        <v>51900</v>
      </c>
      <c r="D28" s="9">
        <v>53072</v>
      </c>
      <c r="E28" s="9">
        <v>53681</v>
      </c>
      <c r="F28" s="9">
        <v>54289</v>
      </c>
      <c r="G28" s="9">
        <v>54897</v>
      </c>
      <c r="H28" s="9">
        <v>55505</v>
      </c>
      <c r="I28" s="9">
        <v>56113</v>
      </c>
      <c r="J28" s="9">
        <v>56717</v>
      </c>
      <c r="K28" s="9">
        <v>57321</v>
      </c>
      <c r="L28" s="9">
        <v>57925</v>
      </c>
      <c r="M28" s="9">
        <v>58529</v>
      </c>
      <c r="N28" s="9">
        <v>59133</v>
      </c>
      <c r="O28" s="9">
        <v>59647</v>
      </c>
      <c r="P28" s="9">
        <v>60161</v>
      </c>
      <c r="Q28" s="9">
        <v>60675</v>
      </c>
      <c r="R28" s="9">
        <v>61189</v>
      </c>
      <c r="S28" s="9">
        <v>61702</v>
      </c>
      <c r="T28" s="9">
        <v>62089</v>
      </c>
      <c r="U28" s="9">
        <v>62475</v>
      </c>
      <c r="V28" s="9">
        <v>62861</v>
      </c>
      <c r="W28" s="10">
        <v>63248</v>
      </c>
      <c r="X28" s="9">
        <v>63634</v>
      </c>
    </row>
    <row r="29" spans="1:24" x14ac:dyDescent="0.2">
      <c r="A29" s="7" t="s">
        <v>31</v>
      </c>
      <c r="B29" s="9">
        <v>39564</v>
      </c>
      <c r="C29" s="9">
        <v>39600</v>
      </c>
      <c r="D29" s="9">
        <v>39064</v>
      </c>
      <c r="E29" s="9">
        <v>39237</v>
      </c>
      <c r="F29" s="9">
        <v>39452</v>
      </c>
      <c r="G29" s="9">
        <v>39620</v>
      </c>
      <c r="H29" s="9">
        <v>39757</v>
      </c>
      <c r="I29" s="9">
        <v>39846</v>
      </c>
      <c r="J29" s="9">
        <v>39856</v>
      </c>
      <c r="K29" s="9">
        <v>39928</v>
      </c>
      <c r="L29" s="9">
        <v>39976</v>
      </c>
      <c r="M29" s="9">
        <v>40006</v>
      </c>
      <c r="N29" s="9">
        <v>40012</v>
      </c>
      <c r="O29" s="9">
        <v>40067</v>
      </c>
      <c r="P29" s="9">
        <v>40078</v>
      </c>
      <c r="Q29" s="9">
        <v>40070</v>
      </c>
      <c r="R29" s="9">
        <v>40043</v>
      </c>
      <c r="S29" s="9">
        <v>39998</v>
      </c>
      <c r="T29" s="9">
        <v>39985</v>
      </c>
      <c r="U29" s="9">
        <v>39919</v>
      </c>
      <c r="V29" s="9">
        <v>39862</v>
      </c>
      <c r="W29" s="10">
        <v>39785</v>
      </c>
      <c r="X29" s="9">
        <v>39688</v>
      </c>
    </row>
    <row r="30" spans="1:24" x14ac:dyDescent="0.2">
      <c r="A30" s="7" t="s">
        <v>30</v>
      </c>
      <c r="B30" s="9">
        <v>20984</v>
      </c>
      <c r="C30" s="9">
        <v>21300</v>
      </c>
      <c r="D30" s="9">
        <v>19867</v>
      </c>
      <c r="E30" s="9">
        <v>19874</v>
      </c>
      <c r="F30" s="9">
        <v>19882</v>
      </c>
      <c r="G30" s="9">
        <v>19889</v>
      </c>
      <c r="H30" s="9">
        <v>19896</v>
      </c>
      <c r="I30" s="9">
        <v>19904</v>
      </c>
      <c r="J30" s="9">
        <v>19920</v>
      </c>
      <c r="K30" s="9">
        <v>19937</v>
      </c>
      <c r="L30" s="9">
        <v>19953</v>
      </c>
      <c r="M30" s="9">
        <v>19970</v>
      </c>
      <c r="N30" s="9">
        <v>19986</v>
      </c>
      <c r="O30" s="9">
        <v>19990</v>
      </c>
      <c r="P30" s="9">
        <v>19994</v>
      </c>
      <c r="Q30" s="9">
        <v>19998</v>
      </c>
      <c r="R30" s="9">
        <v>20002</v>
      </c>
      <c r="S30" s="9">
        <v>20006</v>
      </c>
      <c r="T30" s="9">
        <v>19986</v>
      </c>
      <c r="U30" s="9">
        <v>19966</v>
      </c>
      <c r="V30" s="9">
        <v>19946</v>
      </c>
      <c r="W30" s="10">
        <v>19926</v>
      </c>
      <c r="X30" s="9">
        <v>19906</v>
      </c>
    </row>
    <row r="31" spans="1:24" x14ac:dyDescent="0.2">
      <c r="A31" s="7" t="s">
        <v>29</v>
      </c>
      <c r="B31" s="9">
        <v>11732</v>
      </c>
      <c r="C31" s="9">
        <v>12200</v>
      </c>
      <c r="D31" s="9">
        <v>12479</v>
      </c>
      <c r="E31" s="9">
        <v>12593</v>
      </c>
      <c r="F31" s="9">
        <v>12708</v>
      </c>
      <c r="G31" s="9">
        <v>12822</v>
      </c>
      <c r="H31" s="9">
        <v>12936</v>
      </c>
      <c r="I31" s="9">
        <v>13051</v>
      </c>
      <c r="J31" s="9">
        <v>13152</v>
      </c>
      <c r="K31" s="9">
        <v>13253</v>
      </c>
      <c r="L31" s="9">
        <v>13354</v>
      </c>
      <c r="M31" s="9">
        <v>13456</v>
      </c>
      <c r="N31" s="9">
        <v>13557</v>
      </c>
      <c r="O31" s="9">
        <v>13642</v>
      </c>
      <c r="P31" s="9">
        <v>13727</v>
      </c>
      <c r="Q31" s="9">
        <v>13812</v>
      </c>
      <c r="R31" s="9">
        <v>13897</v>
      </c>
      <c r="S31" s="9">
        <v>13983</v>
      </c>
      <c r="T31" s="9">
        <v>14043</v>
      </c>
      <c r="U31" s="9">
        <v>14104</v>
      </c>
      <c r="V31" s="9">
        <v>14165</v>
      </c>
      <c r="W31" s="10">
        <v>14226</v>
      </c>
      <c r="X31" s="9">
        <v>14287</v>
      </c>
    </row>
    <row r="32" spans="1:24" s="11" customFormat="1" x14ac:dyDescent="0.2">
      <c r="A32" s="11" t="s">
        <v>28</v>
      </c>
      <c r="B32" s="14">
        <v>700820</v>
      </c>
      <c r="C32" s="14">
        <v>755900</v>
      </c>
      <c r="D32" s="12">
        <v>786487</v>
      </c>
      <c r="E32" s="12">
        <v>794640</v>
      </c>
      <c r="F32" s="12">
        <v>802794</v>
      </c>
      <c r="G32" s="12">
        <v>810947</v>
      </c>
      <c r="H32" s="12">
        <v>819101</v>
      </c>
      <c r="I32" s="12">
        <v>827254</v>
      </c>
      <c r="J32" s="12">
        <v>832430</v>
      </c>
      <c r="K32" s="12">
        <v>837605</v>
      </c>
      <c r="L32" s="12">
        <v>842780</v>
      </c>
      <c r="M32" s="12">
        <v>847956</v>
      </c>
      <c r="N32" s="12">
        <v>853131</v>
      </c>
      <c r="O32" s="12">
        <v>858444</v>
      </c>
      <c r="P32" s="12">
        <v>863758</v>
      </c>
      <c r="Q32" s="12">
        <v>869071</v>
      </c>
      <c r="R32" s="12">
        <v>874385</v>
      </c>
      <c r="S32" s="12">
        <v>879698</v>
      </c>
      <c r="T32" s="12">
        <v>884522</v>
      </c>
      <c r="U32" s="12">
        <v>889346</v>
      </c>
      <c r="V32" s="12">
        <v>894170</v>
      </c>
      <c r="W32" s="13">
        <v>898995</v>
      </c>
      <c r="X32" s="12">
        <v>903819</v>
      </c>
    </row>
    <row r="33" spans="1:24" x14ac:dyDescent="0.2">
      <c r="A33" s="7" t="s">
        <v>27</v>
      </c>
      <c r="B33" s="9">
        <v>14077</v>
      </c>
      <c r="C33" s="9">
        <v>15500</v>
      </c>
      <c r="D33" s="9">
        <v>15811</v>
      </c>
      <c r="E33" s="9">
        <v>16043</v>
      </c>
      <c r="F33" s="9">
        <v>16275</v>
      </c>
      <c r="G33" s="9">
        <v>16508</v>
      </c>
      <c r="H33" s="9">
        <v>16740</v>
      </c>
      <c r="I33" s="9">
        <v>16972</v>
      </c>
      <c r="J33" s="9">
        <v>17165</v>
      </c>
      <c r="K33" s="9">
        <v>17358</v>
      </c>
      <c r="L33" s="9">
        <v>17551</v>
      </c>
      <c r="M33" s="9">
        <v>17744</v>
      </c>
      <c r="N33" s="9">
        <v>17937</v>
      </c>
      <c r="O33" s="9">
        <v>18104</v>
      </c>
      <c r="P33" s="9">
        <v>18270</v>
      </c>
      <c r="Q33" s="9">
        <v>18437</v>
      </c>
      <c r="R33" s="9">
        <v>18604</v>
      </c>
      <c r="S33" s="9">
        <v>18770</v>
      </c>
      <c r="T33" s="9">
        <v>18899</v>
      </c>
      <c r="U33" s="9">
        <v>19028</v>
      </c>
      <c r="V33" s="9">
        <v>19157</v>
      </c>
      <c r="W33" s="10">
        <v>19285</v>
      </c>
      <c r="X33" s="9">
        <v>19414</v>
      </c>
    </row>
    <row r="34" spans="1:24" x14ac:dyDescent="0.2">
      <c r="A34" s="7" t="s">
        <v>26</v>
      </c>
      <c r="B34" s="9">
        <v>102979</v>
      </c>
      <c r="C34" s="9">
        <v>110900</v>
      </c>
      <c r="D34" s="9">
        <v>113977</v>
      </c>
      <c r="E34" s="9">
        <v>115452</v>
      </c>
      <c r="F34" s="9">
        <v>116927</v>
      </c>
      <c r="G34" s="9">
        <v>118402</v>
      </c>
      <c r="H34" s="9">
        <v>119877</v>
      </c>
      <c r="I34" s="9">
        <v>121352</v>
      </c>
      <c r="J34" s="9">
        <v>123235</v>
      </c>
      <c r="K34" s="9">
        <v>125118</v>
      </c>
      <c r="L34" s="9">
        <v>127000</v>
      </c>
      <c r="M34" s="9">
        <v>128883</v>
      </c>
      <c r="N34" s="9">
        <v>130766</v>
      </c>
      <c r="O34" s="9">
        <v>132437</v>
      </c>
      <c r="P34" s="9">
        <v>134109</v>
      </c>
      <c r="Q34" s="9">
        <v>135780</v>
      </c>
      <c r="R34" s="9">
        <v>137451</v>
      </c>
      <c r="S34" s="9">
        <v>139123</v>
      </c>
      <c r="T34" s="9">
        <v>140496</v>
      </c>
      <c r="U34" s="9">
        <v>141869</v>
      </c>
      <c r="V34" s="9">
        <v>143242</v>
      </c>
      <c r="W34" s="10">
        <v>144615</v>
      </c>
      <c r="X34" s="9">
        <v>145988</v>
      </c>
    </row>
    <row r="35" spans="1:24" x14ac:dyDescent="0.2">
      <c r="A35" s="7" t="s">
        <v>25</v>
      </c>
      <c r="B35" s="9">
        <v>9872</v>
      </c>
      <c r="C35" s="9">
        <v>10300</v>
      </c>
      <c r="D35" s="9">
        <v>10106</v>
      </c>
      <c r="E35" s="9">
        <v>10174</v>
      </c>
      <c r="F35" s="9">
        <v>10242</v>
      </c>
      <c r="G35" s="9">
        <v>10310</v>
      </c>
      <c r="H35" s="9">
        <v>10377</v>
      </c>
      <c r="I35" s="9">
        <v>10445</v>
      </c>
      <c r="J35" s="9">
        <v>10502</v>
      </c>
      <c r="K35" s="9">
        <v>10559</v>
      </c>
      <c r="L35" s="9">
        <v>10615</v>
      </c>
      <c r="M35" s="9">
        <v>10672</v>
      </c>
      <c r="N35" s="9">
        <v>10729</v>
      </c>
      <c r="O35" s="9">
        <v>10775</v>
      </c>
      <c r="P35" s="9">
        <v>10822</v>
      </c>
      <c r="Q35" s="9">
        <v>10869</v>
      </c>
      <c r="R35" s="9">
        <v>10915</v>
      </c>
      <c r="S35" s="9">
        <v>10962</v>
      </c>
      <c r="T35" s="9">
        <v>10992</v>
      </c>
      <c r="U35" s="9">
        <v>11021</v>
      </c>
      <c r="V35" s="9">
        <v>11051</v>
      </c>
      <c r="W35" s="10">
        <v>11081</v>
      </c>
      <c r="X35" s="9">
        <v>11111</v>
      </c>
    </row>
    <row r="36" spans="1:24" x14ac:dyDescent="0.2">
      <c r="A36" s="7" t="s">
        <v>24</v>
      </c>
      <c r="B36" s="9">
        <v>606024</v>
      </c>
      <c r="C36" s="9">
        <v>655800</v>
      </c>
      <c r="D36" s="9">
        <v>673331</v>
      </c>
      <c r="E36" s="9">
        <v>680820</v>
      </c>
      <c r="F36" s="9">
        <v>688310</v>
      </c>
      <c r="G36" s="9">
        <v>695799</v>
      </c>
      <c r="H36" s="9">
        <v>703288</v>
      </c>
      <c r="I36" s="9">
        <v>710777</v>
      </c>
      <c r="J36" s="9">
        <v>717261</v>
      </c>
      <c r="K36" s="9">
        <v>723745</v>
      </c>
      <c r="L36" s="9">
        <v>730228</v>
      </c>
      <c r="M36" s="9">
        <v>736712</v>
      </c>
      <c r="N36" s="9">
        <v>743196</v>
      </c>
      <c r="O36" s="9">
        <v>748462</v>
      </c>
      <c r="P36" s="9">
        <v>753727</v>
      </c>
      <c r="Q36" s="9">
        <v>758993</v>
      </c>
      <c r="R36" s="9">
        <v>764259</v>
      </c>
      <c r="S36" s="9">
        <v>769525</v>
      </c>
      <c r="T36" s="9">
        <v>773806</v>
      </c>
      <c r="U36" s="9">
        <v>778087</v>
      </c>
      <c r="V36" s="9">
        <v>782368</v>
      </c>
      <c r="W36" s="10">
        <v>786649</v>
      </c>
      <c r="X36" s="9">
        <v>790930</v>
      </c>
    </row>
    <row r="37" spans="1:24" x14ac:dyDescent="0.2">
      <c r="A37" s="7" t="s">
        <v>23</v>
      </c>
      <c r="B37" s="9">
        <v>417939</v>
      </c>
      <c r="C37" s="9">
        <v>436300</v>
      </c>
      <c r="D37" s="9">
        <v>432887</v>
      </c>
      <c r="E37" s="9">
        <v>436054</v>
      </c>
      <c r="F37" s="9">
        <v>439222</v>
      </c>
      <c r="G37" s="9">
        <v>442389</v>
      </c>
      <c r="H37" s="9">
        <v>445557</v>
      </c>
      <c r="I37" s="9">
        <v>448724</v>
      </c>
      <c r="J37" s="9">
        <v>452163</v>
      </c>
      <c r="K37" s="9">
        <v>455601</v>
      </c>
      <c r="L37" s="9">
        <v>459040</v>
      </c>
      <c r="M37" s="9">
        <v>462478</v>
      </c>
      <c r="N37" s="9">
        <v>465917</v>
      </c>
      <c r="O37" s="9">
        <v>468822</v>
      </c>
      <c r="P37" s="9">
        <v>471727</v>
      </c>
      <c r="Q37" s="9">
        <v>474633</v>
      </c>
      <c r="R37" s="9">
        <v>477538</v>
      </c>
      <c r="S37" s="9">
        <v>480443</v>
      </c>
      <c r="T37" s="9">
        <v>482527</v>
      </c>
      <c r="U37" s="9">
        <v>484610</v>
      </c>
      <c r="V37" s="9">
        <v>486694</v>
      </c>
      <c r="W37" s="10">
        <v>488777</v>
      </c>
      <c r="X37" s="9">
        <v>490861</v>
      </c>
    </row>
    <row r="38" spans="1:24" x14ac:dyDescent="0.2">
      <c r="A38" s="7" t="s">
        <v>22</v>
      </c>
      <c r="B38" s="9">
        <v>40066</v>
      </c>
      <c r="C38" s="9">
        <v>41200</v>
      </c>
      <c r="D38" s="9">
        <v>42770</v>
      </c>
      <c r="E38" s="9">
        <v>43490</v>
      </c>
      <c r="F38" s="9">
        <v>44209</v>
      </c>
      <c r="G38" s="9">
        <v>44928</v>
      </c>
      <c r="H38" s="9">
        <v>45647</v>
      </c>
      <c r="I38" s="9">
        <v>46366</v>
      </c>
      <c r="J38" s="9">
        <v>47132</v>
      </c>
      <c r="K38" s="9">
        <v>47898</v>
      </c>
      <c r="L38" s="9">
        <v>48665</v>
      </c>
      <c r="M38" s="9">
        <v>49431</v>
      </c>
      <c r="N38" s="9">
        <v>50197</v>
      </c>
      <c r="O38" s="9">
        <v>50874</v>
      </c>
      <c r="P38" s="9">
        <v>51551</v>
      </c>
      <c r="Q38" s="9">
        <v>52228</v>
      </c>
      <c r="R38" s="9">
        <v>52905</v>
      </c>
      <c r="S38" s="9">
        <v>53582</v>
      </c>
      <c r="T38" s="9">
        <v>54136</v>
      </c>
      <c r="U38" s="9">
        <v>54690</v>
      </c>
      <c r="V38" s="9">
        <v>55244</v>
      </c>
      <c r="W38" s="10">
        <v>55798</v>
      </c>
      <c r="X38" s="9">
        <v>56352</v>
      </c>
    </row>
    <row r="39" spans="1:24" x14ac:dyDescent="0.2">
      <c r="A39" s="7" t="s">
        <v>21</v>
      </c>
      <c r="B39" s="9">
        <v>207355</v>
      </c>
      <c r="C39" s="9">
        <v>224100</v>
      </c>
      <c r="D39" s="9">
        <v>234983</v>
      </c>
      <c r="E39" s="9">
        <v>239428</v>
      </c>
      <c r="F39" s="9">
        <v>243872</v>
      </c>
      <c r="G39" s="9">
        <v>248316</v>
      </c>
      <c r="H39" s="9">
        <v>252760</v>
      </c>
      <c r="I39" s="9">
        <v>257204</v>
      </c>
      <c r="J39" s="9">
        <v>260628</v>
      </c>
      <c r="K39" s="9">
        <v>264052</v>
      </c>
      <c r="L39" s="9">
        <v>267475</v>
      </c>
      <c r="M39" s="9">
        <v>270899</v>
      </c>
      <c r="N39" s="9">
        <v>274323</v>
      </c>
      <c r="O39" s="9">
        <v>277422</v>
      </c>
      <c r="P39" s="9">
        <v>280522</v>
      </c>
      <c r="Q39" s="9">
        <v>283621</v>
      </c>
      <c r="R39" s="9">
        <v>286721</v>
      </c>
      <c r="S39" s="9">
        <v>289821</v>
      </c>
      <c r="T39" s="9">
        <v>292413</v>
      </c>
      <c r="U39" s="9">
        <v>295005</v>
      </c>
      <c r="V39" s="9">
        <v>297597</v>
      </c>
      <c r="W39" s="10">
        <v>300189</v>
      </c>
      <c r="X39" s="9">
        <v>302781</v>
      </c>
    </row>
    <row r="40" spans="1:24" x14ac:dyDescent="0.2">
      <c r="A40" s="7" t="s">
        <v>20</v>
      </c>
      <c r="B40" s="9">
        <v>3824</v>
      </c>
      <c r="C40" s="9">
        <v>3900</v>
      </c>
      <c r="D40" s="9">
        <v>3813</v>
      </c>
      <c r="E40" s="9">
        <v>3835</v>
      </c>
      <c r="F40" s="9">
        <v>3858</v>
      </c>
      <c r="G40" s="9">
        <v>3881</v>
      </c>
      <c r="H40" s="9">
        <v>3904</v>
      </c>
      <c r="I40" s="9">
        <v>3926</v>
      </c>
      <c r="J40" s="9">
        <v>3966</v>
      </c>
      <c r="K40" s="9">
        <v>4005</v>
      </c>
      <c r="L40" s="9">
        <v>4045</v>
      </c>
      <c r="M40" s="9">
        <v>4084</v>
      </c>
      <c r="N40" s="9">
        <v>4124</v>
      </c>
      <c r="O40" s="9">
        <v>4158</v>
      </c>
      <c r="P40" s="9">
        <v>4193</v>
      </c>
      <c r="Q40" s="9">
        <v>4228</v>
      </c>
      <c r="R40" s="9">
        <v>4262</v>
      </c>
      <c r="S40" s="9">
        <v>4297</v>
      </c>
      <c r="T40" s="9">
        <v>4324</v>
      </c>
      <c r="U40" s="9">
        <v>4351</v>
      </c>
      <c r="V40" s="9">
        <v>4378</v>
      </c>
      <c r="W40" s="10">
        <v>4405</v>
      </c>
      <c r="X40" s="9">
        <v>4432</v>
      </c>
    </row>
    <row r="41" spans="1:24" x14ac:dyDescent="0.2">
      <c r="A41" s="7" t="s">
        <v>19</v>
      </c>
      <c r="B41" s="9">
        <v>55180</v>
      </c>
      <c r="C41" s="9">
        <v>57500</v>
      </c>
      <c r="D41" s="9">
        <v>55973</v>
      </c>
      <c r="E41" s="9">
        <v>56144</v>
      </c>
      <c r="F41" s="9">
        <v>56314</v>
      </c>
      <c r="G41" s="9">
        <v>56484</v>
      </c>
      <c r="H41" s="9">
        <v>56655</v>
      </c>
      <c r="I41" s="9">
        <v>56825</v>
      </c>
      <c r="J41" s="9">
        <v>57004</v>
      </c>
      <c r="K41" s="9">
        <v>57184</v>
      </c>
      <c r="L41" s="9">
        <v>57363</v>
      </c>
      <c r="M41" s="9">
        <v>57542</v>
      </c>
      <c r="N41" s="9">
        <v>57722</v>
      </c>
      <c r="O41" s="9">
        <v>57855</v>
      </c>
      <c r="P41" s="9">
        <v>57989</v>
      </c>
      <c r="Q41" s="9">
        <v>58123</v>
      </c>
      <c r="R41" s="9">
        <v>58256</v>
      </c>
      <c r="S41" s="9">
        <v>58390</v>
      </c>
      <c r="T41" s="9">
        <v>58443</v>
      </c>
      <c r="U41" s="9">
        <v>58496</v>
      </c>
      <c r="V41" s="9">
        <v>58550</v>
      </c>
      <c r="W41" s="10">
        <v>58603</v>
      </c>
      <c r="X41" s="9">
        <v>58656</v>
      </c>
    </row>
    <row r="42" spans="1:24" x14ac:dyDescent="0.2">
      <c r="A42" s="7" t="s">
        <v>18</v>
      </c>
      <c r="B42" s="9">
        <v>166814</v>
      </c>
      <c r="C42" s="9">
        <v>180800</v>
      </c>
      <c r="D42" s="9">
        <v>181450</v>
      </c>
      <c r="E42" s="9">
        <v>183668</v>
      </c>
      <c r="F42" s="9">
        <v>185886</v>
      </c>
      <c r="G42" s="9">
        <v>188104</v>
      </c>
      <c r="H42" s="9">
        <v>190322</v>
      </c>
      <c r="I42" s="9">
        <v>192540</v>
      </c>
      <c r="J42" s="9">
        <v>194514</v>
      </c>
      <c r="K42" s="9">
        <v>196487</v>
      </c>
      <c r="L42" s="9">
        <v>198461</v>
      </c>
      <c r="M42" s="9">
        <v>200434</v>
      </c>
      <c r="N42" s="9">
        <v>202407</v>
      </c>
      <c r="O42" s="9">
        <v>204123</v>
      </c>
      <c r="P42" s="9">
        <v>205838</v>
      </c>
      <c r="Q42" s="9">
        <v>207554</v>
      </c>
      <c r="R42" s="9">
        <v>209270</v>
      </c>
      <c r="S42" s="9">
        <v>210985</v>
      </c>
      <c r="T42" s="9">
        <v>212314</v>
      </c>
      <c r="U42" s="9">
        <v>213642</v>
      </c>
      <c r="V42" s="9">
        <v>214971</v>
      </c>
      <c r="W42" s="10">
        <v>216300</v>
      </c>
      <c r="X42" s="9">
        <v>217628</v>
      </c>
    </row>
    <row r="43" spans="1:24" x14ac:dyDescent="0.2">
      <c r="A43" s="7" t="s">
        <v>17</v>
      </c>
      <c r="B43" s="9">
        <v>40740</v>
      </c>
      <c r="C43" s="9">
        <v>42400</v>
      </c>
      <c r="D43" s="9">
        <v>39483</v>
      </c>
      <c r="E43" s="9">
        <v>39445</v>
      </c>
      <c r="F43" s="9">
        <v>39407</v>
      </c>
      <c r="G43" s="9">
        <v>39369</v>
      </c>
      <c r="H43" s="9">
        <v>39332</v>
      </c>
      <c r="I43" s="9">
        <v>39294</v>
      </c>
      <c r="J43" s="9">
        <v>39275</v>
      </c>
      <c r="K43" s="9">
        <v>39256</v>
      </c>
      <c r="L43" s="9">
        <v>39237</v>
      </c>
      <c r="M43" s="9">
        <v>39219</v>
      </c>
      <c r="N43" s="9">
        <v>39200</v>
      </c>
      <c r="O43" s="9">
        <v>39150</v>
      </c>
      <c r="P43" s="9">
        <v>39100</v>
      </c>
      <c r="Q43" s="9">
        <v>39050</v>
      </c>
      <c r="R43" s="9">
        <v>39000</v>
      </c>
      <c r="S43" s="9">
        <v>38950</v>
      </c>
      <c r="T43" s="9">
        <v>38847</v>
      </c>
      <c r="U43" s="9">
        <v>38743</v>
      </c>
      <c r="V43" s="9">
        <v>38640</v>
      </c>
      <c r="W43" s="10">
        <v>38537</v>
      </c>
      <c r="X43" s="9">
        <v>38434</v>
      </c>
    </row>
    <row r="44" spans="1:24" x14ac:dyDescent="0.2">
      <c r="A44" s="7" t="s">
        <v>16</v>
      </c>
      <c r="B44" s="9">
        <v>222581</v>
      </c>
      <c r="C44" s="9">
        <v>229300</v>
      </c>
      <c r="D44" s="9">
        <v>224303</v>
      </c>
      <c r="E44" s="9">
        <v>226091</v>
      </c>
      <c r="F44" s="9">
        <v>227878</v>
      </c>
      <c r="G44" s="9">
        <v>229665</v>
      </c>
      <c r="H44" s="9">
        <v>231453</v>
      </c>
      <c r="I44" s="9">
        <v>233240</v>
      </c>
      <c r="J44" s="9">
        <v>234639</v>
      </c>
      <c r="K44" s="9">
        <v>236037</v>
      </c>
      <c r="L44" s="9">
        <v>237436</v>
      </c>
      <c r="M44" s="9">
        <v>238835</v>
      </c>
      <c r="N44" s="9">
        <v>240233</v>
      </c>
      <c r="O44" s="9">
        <v>241372</v>
      </c>
      <c r="P44" s="9">
        <v>242511</v>
      </c>
      <c r="Q44" s="9">
        <v>243651</v>
      </c>
      <c r="R44" s="9">
        <v>244790</v>
      </c>
      <c r="S44" s="9">
        <v>245929</v>
      </c>
      <c r="T44" s="9">
        <v>246664</v>
      </c>
      <c r="U44" s="9">
        <v>247398</v>
      </c>
      <c r="V44" s="9">
        <v>248132</v>
      </c>
      <c r="W44" s="10">
        <v>248867</v>
      </c>
      <c r="X44" s="9">
        <v>249601</v>
      </c>
    </row>
    <row r="45" spans="1:24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1:24" x14ac:dyDescent="0.2">
      <c r="A46" s="188" t="s">
        <v>15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</row>
    <row r="47" spans="1:24" x14ac:dyDescent="0.2">
      <c r="A47" s="188" t="s">
        <v>14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</row>
    <row r="48" spans="1:24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2:26" s="30" customFormat="1" x14ac:dyDescent="0.2">
      <c r="B49" s="31"/>
      <c r="C49" s="31">
        <f t="shared" ref="C49:X49" si="0">(C32-B32)/B32</f>
        <v>7.8593647441568451E-2</v>
      </c>
      <c r="D49" s="31">
        <f t="shared" si="0"/>
        <v>4.0464347135864533E-2</v>
      </c>
      <c r="E49" s="31">
        <f t="shared" si="0"/>
        <v>1.0366350619908531E-2</v>
      </c>
      <c r="F49" s="31">
        <f t="shared" si="0"/>
        <v>1.0261250377529446E-2</v>
      </c>
      <c r="G49" s="31">
        <f t="shared" si="0"/>
        <v>1.0155780935084218E-2</v>
      </c>
      <c r="H49" s="31">
        <f t="shared" si="0"/>
        <v>1.0054911110097207E-2</v>
      </c>
      <c r="I49" s="31">
        <f t="shared" si="0"/>
        <v>9.9535954662489726E-3</v>
      </c>
      <c r="J49" s="31">
        <f t="shared" si="0"/>
        <v>6.2568449351710596E-3</v>
      </c>
      <c r="K49" s="31">
        <f t="shared" si="0"/>
        <v>6.2167389450163979E-3</v>
      </c>
      <c r="L49" s="31">
        <f t="shared" si="0"/>
        <v>6.1783298810298409E-3</v>
      </c>
      <c r="M49" s="31">
        <f t="shared" si="0"/>
        <v>6.1415790597783527E-3</v>
      </c>
      <c r="N49" s="31">
        <f t="shared" si="0"/>
        <v>6.1029110000990622E-3</v>
      </c>
      <c r="O49" s="31">
        <f t="shared" si="0"/>
        <v>6.2276485088456519E-3</v>
      </c>
      <c r="P49" s="31">
        <f t="shared" si="0"/>
        <v>6.190269837054019E-3</v>
      </c>
      <c r="Q49" s="31">
        <f t="shared" si="0"/>
        <v>6.1510284130508776E-3</v>
      </c>
      <c r="R49" s="31">
        <f t="shared" si="0"/>
        <v>6.1145752188256196E-3</v>
      </c>
      <c r="S49" s="31">
        <f t="shared" si="0"/>
        <v>6.0762707502987814E-3</v>
      </c>
      <c r="T49" s="31">
        <f t="shared" si="0"/>
        <v>5.4837000879847404E-3</v>
      </c>
      <c r="U49" s="31">
        <f t="shared" si="0"/>
        <v>5.4537931221608962E-3</v>
      </c>
      <c r="V49" s="31">
        <f t="shared" si="0"/>
        <v>5.4242105996991051E-3</v>
      </c>
      <c r="W49" s="31">
        <f t="shared" si="0"/>
        <v>5.3960656251048457E-3</v>
      </c>
      <c r="X49" s="31">
        <f t="shared" si="0"/>
        <v>5.365992024427277E-3</v>
      </c>
      <c r="Z49" s="32">
        <f>AVERAGE(C49:X49)</f>
        <v>1.1755901867947633E-2</v>
      </c>
    </row>
  </sheetData>
  <mergeCells count="4">
    <mergeCell ref="A1:X1"/>
    <mergeCell ref="A2:X2"/>
    <mergeCell ref="A46:X46"/>
    <mergeCell ref="A47:X47"/>
  </mergeCells>
  <printOptions horizontalCentered="1" verticalCentered="1"/>
  <pageMargins left="1" right="1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opLeftCell="I11" workbookViewId="0">
      <selection activeCell="Z51" sqref="Z51"/>
    </sheetView>
  </sheetViews>
  <sheetFormatPr defaultColWidth="9.109375" defaultRowHeight="11.4" x14ac:dyDescent="0.2"/>
  <cols>
    <col min="1" max="1" width="11.44140625" style="7" bestFit="1" customWidth="1"/>
    <col min="2" max="2" width="8.88671875" style="7" bestFit="1" customWidth="1"/>
    <col min="3" max="24" width="9.5546875" style="7" customWidth="1"/>
    <col min="25" max="16384" width="9.109375" style="7"/>
  </cols>
  <sheetData>
    <row r="1" spans="1:24" s="16" customFormat="1" ht="12" x14ac:dyDescent="0.25">
      <c r="A1" s="187" t="s">
        <v>57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</row>
    <row r="2" spans="1:24" s="16" customFormat="1" ht="12" x14ac:dyDescent="0.25">
      <c r="A2" s="187" t="s">
        <v>58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4" spans="1:24" s="16" customFormat="1" ht="12" x14ac:dyDescent="0.25">
      <c r="B4" s="17">
        <v>2000</v>
      </c>
      <c r="C4" s="17">
        <v>2005</v>
      </c>
      <c r="D4" s="17">
        <v>2010</v>
      </c>
      <c r="E4" s="17">
        <v>2011</v>
      </c>
      <c r="F4" s="17">
        <v>2012</v>
      </c>
      <c r="G4" s="17">
        <v>2013</v>
      </c>
      <c r="H4" s="17">
        <v>2014</v>
      </c>
      <c r="I4" s="17">
        <v>2015</v>
      </c>
      <c r="J4" s="17">
        <v>2016</v>
      </c>
      <c r="K4" s="17">
        <v>2017</v>
      </c>
      <c r="L4" s="17">
        <v>2018</v>
      </c>
      <c r="M4" s="17">
        <v>2019</v>
      </c>
      <c r="N4" s="17">
        <v>2020</v>
      </c>
      <c r="O4" s="17">
        <v>2021</v>
      </c>
      <c r="P4" s="17">
        <v>2022</v>
      </c>
      <c r="Q4" s="17">
        <v>2023</v>
      </c>
      <c r="R4" s="17">
        <v>2024</v>
      </c>
      <c r="S4" s="17">
        <v>2025</v>
      </c>
      <c r="T4" s="17">
        <v>2026</v>
      </c>
      <c r="U4" s="17">
        <v>2027</v>
      </c>
      <c r="V4" s="17">
        <v>2028</v>
      </c>
      <c r="W4" s="17">
        <v>2029</v>
      </c>
      <c r="X4" s="17">
        <v>2030</v>
      </c>
    </row>
    <row r="5" spans="1:24" x14ac:dyDescent="0.2">
      <c r="A5" s="7" t="s">
        <v>55</v>
      </c>
      <c r="B5" s="9">
        <v>5894121</v>
      </c>
      <c r="C5" s="9">
        <v>6256400</v>
      </c>
      <c r="D5" s="9">
        <v>6792318</v>
      </c>
      <c r="E5" s="9">
        <v>6888485</v>
      </c>
      <c r="F5" s="9">
        <v>6982309</v>
      </c>
      <c r="G5" s="9">
        <v>7074341</v>
      </c>
      <c r="H5" s="9">
        <v>7165934</v>
      </c>
      <c r="I5" s="9">
        <v>7255672</v>
      </c>
      <c r="J5" s="9">
        <v>7345195</v>
      </c>
      <c r="K5" s="9">
        <v>7434400</v>
      </c>
      <c r="L5" s="9">
        <v>7523186</v>
      </c>
      <c r="M5" s="9">
        <v>7611426</v>
      </c>
      <c r="N5" s="9">
        <v>7698939</v>
      </c>
      <c r="O5" s="9">
        <v>7785449</v>
      </c>
      <c r="P5" s="9">
        <v>7870927</v>
      </c>
      <c r="Q5" s="9">
        <v>7955297</v>
      </c>
      <c r="R5" s="9">
        <v>8038504</v>
      </c>
      <c r="S5" s="9">
        <v>8120510</v>
      </c>
      <c r="T5" s="9">
        <v>8201177</v>
      </c>
      <c r="U5" s="9">
        <v>8278060</v>
      </c>
      <c r="V5" s="9">
        <v>8356278</v>
      </c>
      <c r="W5" s="10">
        <v>8433276</v>
      </c>
      <c r="X5" s="9">
        <v>8509161</v>
      </c>
    </row>
    <row r="6" spans="1:24" x14ac:dyDescent="0.2">
      <c r="A6" s="7" t="s">
        <v>54</v>
      </c>
      <c r="B6" s="9">
        <v>16428</v>
      </c>
      <c r="C6" s="9">
        <v>17000</v>
      </c>
      <c r="D6" s="9">
        <v>18376</v>
      </c>
      <c r="E6" s="9">
        <v>18626</v>
      </c>
      <c r="F6" s="9">
        <v>18866</v>
      </c>
      <c r="G6" s="9">
        <v>19103</v>
      </c>
      <c r="H6" s="9">
        <v>19337</v>
      </c>
      <c r="I6" s="9">
        <v>19568</v>
      </c>
      <c r="J6" s="9">
        <v>19814</v>
      </c>
      <c r="K6" s="9">
        <v>20052</v>
      </c>
      <c r="L6" s="9">
        <v>20290</v>
      </c>
      <c r="M6" s="9">
        <v>20526</v>
      </c>
      <c r="N6" s="9">
        <v>20761</v>
      </c>
      <c r="O6" s="9">
        <v>20998</v>
      </c>
      <c r="P6" s="9">
        <v>21230</v>
      </c>
      <c r="Q6" s="9">
        <v>21458</v>
      </c>
      <c r="R6" s="9">
        <v>21683</v>
      </c>
      <c r="S6" s="9">
        <v>21905</v>
      </c>
      <c r="T6" s="9">
        <v>22117</v>
      </c>
      <c r="U6" s="9">
        <v>22320</v>
      </c>
      <c r="V6" s="9">
        <v>22525</v>
      </c>
      <c r="W6" s="10">
        <v>22727</v>
      </c>
      <c r="X6" s="9">
        <v>22926</v>
      </c>
    </row>
    <row r="7" spans="1:24" x14ac:dyDescent="0.2">
      <c r="A7" s="7" t="s">
        <v>53</v>
      </c>
      <c r="B7" s="9">
        <v>20551</v>
      </c>
      <c r="C7" s="9">
        <v>20900</v>
      </c>
      <c r="D7" s="9">
        <v>22290</v>
      </c>
      <c r="E7" s="9">
        <v>22484</v>
      </c>
      <c r="F7" s="9">
        <v>22681</v>
      </c>
      <c r="G7" s="9">
        <v>22872</v>
      </c>
      <c r="H7" s="9">
        <v>23060</v>
      </c>
      <c r="I7" s="9">
        <v>23241</v>
      </c>
      <c r="J7" s="9">
        <v>23479</v>
      </c>
      <c r="K7" s="9">
        <v>23690</v>
      </c>
      <c r="L7" s="9">
        <v>23900</v>
      </c>
      <c r="M7" s="9">
        <v>24110</v>
      </c>
      <c r="N7" s="9">
        <v>24321</v>
      </c>
      <c r="O7" s="9">
        <v>24538</v>
      </c>
      <c r="P7" s="9">
        <v>24745</v>
      </c>
      <c r="Q7" s="9">
        <v>24949</v>
      </c>
      <c r="R7" s="9">
        <v>25147</v>
      </c>
      <c r="S7" s="9">
        <v>25341</v>
      </c>
      <c r="T7" s="9">
        <v>25529</v>
      </c>
      <c r="U7" s="9">
        <v>25704</v>
      </c>
      <c r="V7" s="9">
        <v>25881</v>
      </c>
      <c r="W7" s="10">
        <v>26054</v>
      </c>
      <c r="X7" s="9">
        <v>26222</v>
      </c>
    </row>
    <row r="8" spans="1:24" x14ac:dyDescent="0.2">
      <c r="A8" s="7" t="s">
        <v>52</v>
      </c>
      <c r="B8" s="9">
        <v>142475</v>
      </c>
      <c r="C8" s="9">
        <v>158100</v>
      </c>
      <c r="D8" s="9">
        <v>168839</v>
      </c>
      <c r="E8" s="9">
        <v>170520</v>
      </c>
      <c r="F8" s="9">
        <v>172174</v>
      </c>
      <c r="G8" s="9">
        <v>173771</v>
      </c>
      <c r="H8" s="9">
        <v>175341</v>
      </c>
      <c r="I8" s="9">
        <v>176854</v>
      </c>
      <c r="J8" s="9">
        <v>178513</v>
      </c>
      <c r="K8" s="9">
        <v>180081</v>
      </c>
      <c r="L8" s="9">
        <v>181638</v>
      </c>
      <c r="M8" s="9">
        <v>183180</v>
      </c>
      <c r="N8" s="9">
        <v>184704</v>
      </c>
      <c r="O8" s="9">
        <v>186293</v>
      </c>
      <c r="P8" s="9">
        <v>187803</v>
      </c>
      <c r="Q8" s="9">
        <v>189280</v>
      </c>
      <c r="R8" s="9">
        <v>190723</v>
      </c>
      <c r="S8" s="9">
        <v>192131</v>
      </c>
      <c r="T8" s="9">
        <v>193500</v>
      </c>
      <c r="U8" s="9">
        <v>194770</v>
      </c>
      <c r="V8" s="9">
        <v>196060</v>
      </c>
      <c r="W8" s="10">
        <v>197312</v>
      </c>
      <c r="X8" s="9">
        <v>198528</v>
      </c>
    </row>
    <row r="9" spans="1:24" x14ac:dyDescent="0.2">
      <c r="A9" s="7" t="s">
        <v>51</v>
      </c>
      <c r="B9" s="9">
        <v>66616</v>
      </c>
      <c r="C9" s="9">
        <v>69200</v>
      </c>
      <c r="D9" s="9">
        <v>75093</v>
      </c>
      <c r="E9" s="9">
        <v>76115</v>
      </c>
      <c r="F9" s="9">
        <v>77118</v>
      </c>
      <c r="G9" s="9">
        <v>78101</v>
      </c>
      <c r="H9" s="9">
        <v>79077</v>
      </c>
      <c r="I9" s="9">
        <v>80031</v>
      </c>
      <c r="J9" s="9">
        <v>81011</v>
      </c>
      <c r="K9" s="9">
        <v>81974</v>
      </c>
      <c r="L9" s="9">
        <v>82933</v>
      </c>
      <c r="M9" s="9">
        <v>83886</v>
      </c>
      <c r="N9" s="9">
        <v>84833</v>
      </c>
      <c r="O9" s="9">
        <v>85786</v>
      </c>
      <c r="P9" s="9">
        <v>86717</v>
      </c>
      <c r="Q9" s="9">
        <v>87635</v>
      </c>
      <c r="R9" s="9">
        <v>88539</v>
      </c>
      <c r="S9" s="9">
        <v>89428</v>
      </c>
      <c r="T9" s="9">
        <v>90282</v>
      </c>
      <c r="U9" s="9">
        <v>91093</v>
      </c>
      <c r="V9" s="9">
        <v>91918</v>
      </c>
      <c r="W9" s="10">
        <v>92727</v>
      </c>
      <c r="X9" s="9">
        <v>93523</v>
      </c>
    </row>
    <row r="10" spans="1:24" x14ac:dyDescent="0.2">
      <c r="A10" s="7" t="s">
        <v>50</v>
      </c>
      <c r="B10" s="9">
        <v>64179</v>
      </c>
      <c r="C10" s="9">
        <v>66800</v>
      </c>
      <c r="D10" s="9">
        <v>69008</v>
      </c>
      <c r="E10" s="9">
        <v>69737</v>
      </c>
      <c r="F10" s="9">
        <v>70266</v>
      </c>
      <c r="G10" s="9">
        <v>70800</v>
      </c>
      <c r="H10" s="9">
        <v>71353</v>
      </c>
      <c r="I10" s="9">
        <v>71910</v>
      </c>
      <c r="J10" s="9">
        <v>72709</v>
      </c>
      <c r="K10" s="9">
        <v>73398</v>
      </c>
      <c r="L10" s="9">
        <v>74090</v>
      </c>
      <c r="M10" s="9">
        <v>74786</v>
      </c>
      <c r="N10" s="9">
        <v>75485</v>
      </c>
      <c r="O10" s="9">
        <v>76203</v>
      </c>
      <c r="P10" s="9">
        <v>76894</v>
      </c>
      <c r="Q10" s="9">
        <v>77571</v>
      </c>
      <c r="R10" s="9">
        <v>78234</v>
      </c>
      <c r="S10" s="9">
        <v>78884</v>
      </c>
      <c r="T10" s="9">
        <v>79513</v>
      </c>
      <c r="U10" s="9">
        <v>80101</v>
      </c>
      <c r="V10" s="9">
        <v>80700</v>
      </c>
      <c r="W10" s="10">
        <v>81283</v>
      </c>
      <c r="X10" s="9">
        <v>81852</v>
      </c>
    </row>
    <row r="11" spans="1:24" x14ac:dyDescent="0.2">
      <c r="A11" s="7" t="s">
        <v>49</v>
      </c>
      <c r="B11" s="9">
        <v>345238</v>
      </c>
      <c r="C11" s="9">
        <v>391500</v>
      </c>
      <c r="D11" s="9">
        <v>436391</v>
      </c>
      <c r="E11" s="9">
        <v>444588</v>
      </c>
      <c r="F11" s="9">
        <v>452793</v>
      </c>
      <c r="G11" s="9">
        <v>460878</v>
      </c>
      <c r="H11" s="9">
        <v>468929</v>
      </c>
      <c r="I11" s="9">
        <v>476850</v>
      </c>
      <c r="J11" s="9">
        <v>483812</v>
      </c>
      <c r="K11" s="9">
        <v>491195</v>
      </c>
      <c r="L11" s="9">
        <v>498529</v>
      </c>
      <c r="M11" s="9">
        <v>505807</v>
      </c>
      <c r="N11" s="9">
        <v>513010</v>
      </c>
      <c r="O11" s="9">
        <v>520083</v>
      </c>
      <c r="P11" s="9">
        <v>527151</v>
      </c>
      <c r="Q11" s="9">
        <v>534151</v>
      </c>
      <c r="R11" s="9">
        <v>541075</v>
      </c>
      <c r="S11" s="9">
        <v>547922</v>
      </c>
      <c r="T11" s="9">
        <v>554453</v>
      </c>
      <c r="U11" s="9">
        <v>560747</v>
      </c>
      <c r="V11" s="9">
        <v>567149</v>
      </c>
      <c r="W11" s="10">
        <v>573488</v>
      </c>
      <c r="X11" s="9">
        <v>579768</v>
      </c>
    </row>
    <row r="12" spans="1:24" x14ac:dyDescent="0.2">
      <c r="A12" s="7" t="s">
        <v>48</v>
      </c>
      <c r="B12" s="9">
        <v>4064</v>
      </c>
      <c r="C12" s="9">
        <v>4100</v>
      </c>
      <c r="D12" s="9">
        <v>4103</v>
      </c>
      <c r="E12" s="9">
        <v>4109</v>
      </c>
      <c r="F12" s="9">
        <v>4106</v>
      </c>
      <c r="G12" s="9">
        <v>4102</v>
      </c>
      <c r="H12" s="9">
        <v>4100</v>
      </c>
      <c r="I12" s="9">
        <v>4096</v>
      </c>
      <c r="J12" s="9">
        <v>4099</v>
      </c>
      <c r="K12" s="9">
        <v>4099</v>
      </c>
      <c r="L12" s="9">
        <v>4098</v>
      </c>
      <c r="M12" s="9">
        <v>4097</v>
      </c>
      <c r="N12" s="9">
        <v>4096</v>
      </c>
      <c r="O12" s="9">
        <v>4099</v>
      </c>
      <c r="P12" s="9">
        <v>4099</v>
      </c>
      <c r="Q12" s="9">
        <v>4099</v>
      </c>
      <c r="R12" s="9">
        <v>4098</v>
      </c>
      <c r="S12" s="9">
        <v>4096</v>
      </c>
      <c r="T12" s="9">
        <v>4096</v>
      </c>
      <c r="U12" s="9">
        <v>4095</v>
      </c>
      <c r="V12" s="9">
        <v>4093</v>
      </c>
      <c r="W12" s="10">
        <v>4092</v>
      </c>
      <c r="X12" s="9">
        <v>4088</v>
      </c>
    </row>
    <row r="13" spans="1:24" x14ac:dyDescent="0.2">
      <c r="A13" s="7" t="s">
        <v>47</v>
      </c>
      <c r="B13" s="9">
        <v>92948</v>
      </c>
      <c r="C13" s="9">
        <v>95900</v>
      </c>
      <c r="D13" s="9">
        <v>107974</v>
      </c>
      <c r="E13" s="9">
        <v>109664</v>
      </c>
      <c r="F13" s="9">
        <v>111559</v>
      </c>
      <c r="G13" s="9">
        <v>113415</v>
      </c>
      <c r="H13" s="9">
        <v>115254</v>
      </c>
      <c r="I13" s="9">
        <v>117053</v>
      </c>
      <c r="J13" s="9">
        <v>119016</v>
      </c>
      <c r="K13" s="9">
        <v>120919</v>
      </c>
      <c r="L13" s="9">
        <v>122832</v>
      </c>
      <c r="M13" s="9">
        <v>124752</v>
      </c>
      <c r="N13" s="9">
        <v>126676</v>
      </c>
      <c r="O13" s="9">
        <v>128549</v>
      </c>
      <c r="P13" s="9">
        <v>130432</v>
      </c>
      <c r="Q13" s="9">
        <v>132301</v>
      </c>
      <c r="R13" s="9">
        <v>134154</v>
      </c>
      <c r="S13" s="9">
        <v>135987</v>
      </c>
      <c r="T13" s="9">
        <v>137730</v>
      </c>
      <c r="U13" s="9">
        <v>139417</v>
      </c>
      <c r="V13" s="9">
        <v>141135</v>
      </c>
      <c r="W13" s="10">
        <v>142838</v>
      </c>
      <c r="X13" s="9">
        <v>144531</v>
      </c>
    </row>
    <row r="14" spans="1:24" x14ac:dyDescent="0.2">
      <c r="A14" s="7" t="s">
        <v>46</v>
      </c>
      <c r="B14" s="9">
        <v>32603</v>
      </c>
      <c r="C14" s="9">
        <v>34700</v>
      </c>
      <c r="D14" s="9">
        <v>39222</v>
      </c>
      <c r="E14" s="9">
        <v>39771</v>
      </c>
      <c r="F14" s="9">
        <v>40429</v>
      </c>
      <c r="G14" s="9">
        <v>41062</v>
      </c>
      <c r="H14" s="9">
        <v>41677</v>
      </c>
      <c r="I14" s="9">
        <v>42262</v>
      </c>
      <c r="J14" s="9">
        <v>42768</v>
      </c>
      <c r="K14" s="9">
        <v>43306</v>
      </c>
      <c r="L14" s="9">
        <v>43837</v>
      </c>
      <c r="M14" s="9">
        <v>44362</v>
      </c>
      <c r="N14" s="9">
        <v>44877</v>
      </c>
      <c r="O14" s="9">
        <v>45395</v>
      </c>
      <c r="P14" s="9">
        <v>45903</v>
      </c>
      <c r="Q14" s="9">
        <v>46405</v>
      </c>
      <c r="R14" s="9">
        <v>46898</v>
      </c>
      <c r="S14" s="9">
        <v>47384</v>
      </c>
      <c r="T14" s="9">
        <v>47850</v>
      </c>
      <c r="U14" s="9">
        <v>48295</v>
      </c>
      <c r="V14" s="9">
        <v>48746</v>
      </c>
      <c r="W14" s="10">
        <v>49190</v>
      </c>
      <c r="X14" s="9">
        <v>49627</v>
      </c>
    </row>
    <row r="15" spans="1:24" x14ac:dyDescent="0.2">
      <c r="A15" s="7" t="s">
        <v>45</v>
      </c>
      <c r="B15" s="9">
        <v>7260</v>
      </c>
      <c r="C15" s="9">
        <v>7400</v>
      </c>
      <c r="D15" s="9">
        <v>8117</v>
      </c>
      <c r="E15" s="9">
        <v>8192</v>
      </c>
      <c r="F15" s="9">
        <v>8284</v>
      </c>
      <c r="G15" s="9">
        <v>8373</v>
      </c>
      <c r="H15" s="9">
        <v>8462</v>
      </c>
      <c r="I15" s="9">
        <v>8547</v>
      </c>
      <c r="J15" s="9">
        <v>8682</v>
      </c>
      <c r="K15" s="9">
        <v>8795</v>
      </c>
      <c r="L15" s="9">
        <v>8911</v>
      </c>
      <c r="M15" s="9">
        <v>9029</v>
      </c>
      <c r="N15" s="9">
        <v>9148</v>
      </c>
      <c r="O15" s="9">
        <v>9266</v>
      </c>
      <c r="P15" s="9">
        <v>9383</v>
      </c>
      <c r="Q15" s="9">
        <v>9499</v>
      </c>
      <c r="R15" s="9">
        <v>9614</v>
      </c>
      <c r="S15" s="9">
        <v>9727</v>
      </c>
      <c r="T15" s="9">
        <v>9834</v>
      </c>
      <c r="U15" s="9">
        <v>9938</v>
      </c>
      <c r="V15" s="9">
        <v>10044</v>
      </c>
      <c r="W15" s="10">
        <v>10147</v>
      </c>
      <c r="X15" s="9">
        <v>10250</v>
      </c>
    </row>
    <row r="16" spans="1:24" x14ac:dyDescent="0.2">
      <c r="A16" s="7" t="s">
        <v>44</v>
      </c>
      <c r="B16" s="9">
        <v>49347</v>
      </c>
      <c r="C16" s="9">
        <v>60500</v>
      </c>
      <c r="D16" s="9">
        <v>70038</v>
      </c>
      <c r="E16" s="9">
        <v>72106</v>
      </c>
      <c r="F16" s="9">
        <v>74129</v>
      </c>
      <c r="G16" s="9">
        <v>76172</v>
      </c>
      <c r="H16" s="9">
        <v>78250</v>
      </c>
      <c r="I16" s="9">
        <v>80348</v>
      </c>
      <c r="J16" s="9">
        <v>82311</v>
      </c>
      <c r="K16" s="9">
        <v>84379</v>
      </c>
      <c r="L16" s="9">
        <v>86460</v>
      </c>
      <c r="M16" s="9">
        <v>88553</v>
      </c>
      <c r="N16" s="9">
        <v>90654</v>
      </c>
      <c r="O16" s="9">
        <v>92585</v>
      </c>
      <c r="P16" s="9">
        <v>94614</v>
      </c>
      <c r="Q16" s="9">
        <v>96637</v>
      </c>
      <c r="R16" s="9">
        <v>98656</v>
      </c>
      <c r="S16" s="9">
        <v>100666</v>
      </c>
      <c r="T16" s="9">
        <v>102497</v>
      </c>
      <c r="U16" s="9">
        <v>104304</v>
      </c>
      <c r="V16" s="9">
        <v>106149</v>
      </c>
      <c r="W16" s="10">
        <v>108001</v>
      </c>
      <c r="X16" s="9">
        <v>109861</v>
      </c>
    </row>
    <row r="17" spans="1:24" x14ac:dyDescent="0.2">
      <c r="A17" s="7" t="s">
        <v>43</v>
      </c>
      <c r="B17" s="9">
        <v>2397</v>
      </c>
      <c r="C17" s="9">
        <v>2400</v>
      </c>
      <c r="D17" s="9">
        <v>2412</v>
      </c>
      <c r="E17" s="9">
        <v>2438</v>
      </c>
      <c r="F17" s="9">
        <v>2451</v>
      </c>
      <c r="G17" s="9">
        <v>2465</v>
      </c>
      <c r="H17" s="9">
        <v>2480</v>
      </c>
      <c r="I17" s="9">
        <v>2494</v>
      </c>
      <c r="J17" s="9">
        <v>2510</v>
      </c>
      <c r="K17" s="9">
        <v>2524</v>
      </c>
      <c r="L17" s="9">
        <v>2538</v>
      </c>
      <c r="M17" s="9">
        <v>2552</v>
      </c>
      <c r="N17" s="9">
        <v>2566</v>
      </c>
      <c r="O17" s="9">
        <v>2581</v>
      </c>
      <c r="P17" s="9">
        <v>2595</v>
      </c>
      <c r="Q17" s="9">
        <v>2608</v>
      </c>
      <c r="R17" s="9">
        <v>2621</v>
      </c>
      <c r="S17" s="9">
        <v>2632</v>
      </c>
      <c r="T17" s="9">
        <v>2643</v>
      </c>
      <c r="U17" s="9">
        <v>2653</v>
      </c>
      <c r="V17" s="9">
        <v>2664</v>
      </c>
      <c r="W17" s="10">
        <v>2674</v>
      </c>
      <c r="X17" s="9">
        <v>2683</v>
      </c>
    </row>
    <row r="18" spans="1:24" x14ac:dyDescent="0.2">
      <c r="A18" s="7" t="s">
        <v>42</v>
      </c>
      <c r="B18" s="9">
        <v>74698</v>
      </c>
      <c r="C18" s="9">
        <v>79100</v>
      </c>
      <c r="D18" s="9">
        <v>88389</v>
      </c>
      <c r="E18" s="9">
        <v>89053</v>
      </c>
      <c r="F18" s="9">
        <v>90095</v>
      </c>
      <c r="G18" s="9">
        <v>91050</v>
      </c>
      <c r="H18" s="9">
        <v>91931</v>
      </c>
      <c r="I18" s="9">
        <v>92719</v>
      </c>
      <c r="J18" s="9">
        <v>93264</v>
      </c>
      <c r="K18" s="9">
        <v>93889</v>
      </c>
      <c r="L18" s="9">
        <v>94493</v>
      </c>
      <c r="M18" s="9">
        <v>95071</v>
      </c>
      <c r="N18" s="9">
        <v>95623</v>
      </c>
      <c r="O18" s="9">
        <v>96222</v>
      </c>
      <c r="P18" s="9">
        <v>96771</v>
      </c>
      <c r="Q18" s="9">
        <v>97301</v>
      </c>
      <c r="R18" s="9">
        <v>97811</v>
      </c>
      <c r="S18" s="9">
        <v>98303</v>
      </c>
      <c r="T18" s="9">
        <v>98783</v>
      </c>
      <c r="U18" s="9">
        <v>99209</v>
      </c>
      <c r="V18" s="9">
        <v>99644</v>
      </c>
      <c r="W18" s="10">
        <v>100057</v>
      </c>
      <c r="X18" s="9">
        <v>100449</v>
      </c>
    </row>
    <row r="19" spans="1:24" x14ac:dyDescent="0.2">
      <c r="A19" s="7" t="s">
        <v>41</v>
      </c>
      <c r="B19" s="9">
        <v>67194</v>
      </c>
      <c r="C19" s="9">
        <v>69800</v>
      </c>
      <c r="D19" s="9">
        <v>71945</v>
      </c>
      <c r="E19" s="9">
        <v>72662</v>
      </c>
      <c r="F19" s="9">
        <v>73172</v>
      </c>
      <c r="G19" s="9">
        <v>73678</v>
      </c>
      <c r="H19" s="9">
        <v>74196</v>
      </c>
      <c r="I19" s="9">
        <v>74710</v>
      </c>
      <c r="J19" s="9">
        <v>75331</v>
      </c>
      <c r="K19" s="9">
        <v>75892</v>
      </c>
      <c r="L19" s="9">
        <v>76450</v>
      </c>
      <c r="M19" s="9">
        <v>77003</v>
      </c>
      <c r="N19" s="9">
        <v>77550</v>
      </c>
      <c r="O19" s="9">
        <v>78131</v>
      </c>
      <c r="P19" s="9">
        <v>78673</v>
      </c>
      <c r="Q19" s="9">
        <v>79201</v>
      </c>
      <c r="R19" s="9">
        <v>79715</v>
      </c>
      <c r="S19" s="9">
        <v>80213</v>
      </c>
      <c r="T19" s="9">
        <v>80699</v>
      </c>
      <c r="U19" s="9">
        <v>81144</v>
      </c>
      <c r="V19" s="9">
        <v>81595</v>
      </c>
      <c r="W19" s="10">
        <v>82030</v>
      </c>
      <c r="X19" s="9">
        <v>82448</v>
      </c>
    </row>
    <row r="20" spans="1:24" x14ac:dyDescent="0.2">
      <c r="A20" s="7" t="s">
        <v>40</v>
      </c>
      <c r="B20" s="9">
        <v>71558</v>
      </c>
      <c r="C20" s="9">
        <v>76000</v>
      </c>
      <c r="D20" s="9">
        <v>80703</v>
      </c>
      <c r="E20" s="9">
        <v>82249</v>
      </c>
      <c r="F20" s="9">
        <v>83483</v>
      </c>
      <c r="G20" s="9">
        <v>84735</v>
      </c>
      <c r="H20" s="9">
        <v>86023</v>
      </c>
      <c r="I20" s="9">
        <v>87334</v>
      </c>
      <c r="J20" s="9">
        <v>88748</v>
      </c>
      <c r="K20" s="9">
        <v>90124</v>
      </c>
      <c r="L20" s="9">
        <v>91505</v>
      </c>
      <c r="M20" s="9">
        <v>92890</v>
      </c>
      <c r="N20" s="9">
        <v>94275</v>
      </c>
      <c r="O20" s="9">
        <v>95629</v>
      </c>
      <c r="P20" s="9">
        <v>96986</v>
      </c>
      <c r="Q20" s="9">
        <v>98333</v>
      </c>
      <c r="R20" s="9">
        <v>99665</v>
      </c>
      <c r="S20" s="9">
        <v>100985</v>
      </c>
      <c r="T20" s="9">
        <v>102240</v>
      </c>
      <c r="U20" s="9">
        <v>103454</v>
      </c>
      <c r="V20" s="9">
        <v>104688</v>
      </c>
      <c r="W20" s="10">
        <v>105912</v>
      </c>
      <c r="X20" s="9">
        <v>107126</v>
      </c>
    </row>
    <row r="21" spans="1:24" x14ac:dyDescent="0.2">
      <c r="A21" s="7" t="s">
        <v>39</v>
      </c>
      <c r="B21" s="9">
        <v>26299</v>
      </c>
      <c r="C21" s="9">
        <v>27600</v>
      </c>
      <c r="D21" s="9">
        <v>30912</v>
      </c>
      <c r="E21" s="9">
        <v>31536</v>
      </c>
      <c r="F21" s="9">
        <v>32158</v>
      </c>
      <c r="G21" s="9">
        <v>32779</v>
      </c>
      <c r="H21" s="9">
        <v>33407</v>
      </c>
      <c r="I21" s="9">
        <v>34035</v>
      </c>
      <c r="J21" s="9">
        <v>34725</v>
      </c>
      <c r="K21" s="9">
        <v>35397</v>
      </c>
      <c r="L21" s="9">
        <v>36075</v>
      </c>
      <c r="M21" s="9">
        <v>36758</v>
      </c>
      <c r="N21" s="9">
        <v>37447</v>
      </c>
      <c r="O21" s="9">
        <v>38102</v>
      </c>
      <c r="P21" s="9">
        <v>38775</v>
      </c>
      <c r="Q21" s="9">
        <v>39443</v>
      </c>
      <c r="R21" s="9">
        <v>40108</v>
      </c>
      <c r="S21" s="9">
        <v>40769</v>
      </c>
      <c r="T21" s="9">
        <v>41392</v>
      </c>
      <c r="U21" s="9">
        <v>42001</v>
      </c>
      <c r="V21" s="9">
        <v>42620</v>
      </c>
      <c r="W21" s="10">
        <v>43240</v>
      </c>
      <c r="X21" s="9">
        <v>43858</v>
      </c>
    </row>
    <row r="22" spans="1:24" x14ac:dyDescent="0.2">
      <c r="A22" s="7" t="s">
        <v>38</v>
      </c>
      <c r="B22" s="9">
        <v>1737034</v>
      </c>
      <c r="C22" s="9">
        <v>1808300</v>
      </c>
      <c r="D22" s="9">
        <v>1934124</v>
      </c>
      <c r="E22" s="9">
        <v>1954133</v>
      </c>
      <c r="F22" s="9">
        <v>1973793</v>
      </c>
      <c r="G22" s="9">
        <v>1992704</v>
      </c>
      <c r="H22" s="9">
        <v>2011256</v>
      </c>
      <c r="I22" s="9">
        <v>2029053</v>
      </c>
      <c r="J22" s="9">
        <v>2046692</v>
      </c>
      <c r="K22" s="9">
        <v>2064038</v>
      </c>
      <c r="L22" s="9">
        <v>2081131</v>
      </c>
      <c r="M22" s="9">
        <v>2097939</v>
      </c>
      <c r="N22" s="9">
        <v>2114415</v>
      </c>
      <c r="O22" s="9">
        <v>2131138</v>
      </c>
      <c r="P22" s="9">
        <v>2147143</v>
      </c>
      <c r="Q22" s="9">
        <v>2162771</v>
      </c>
      <c r="R22" s="9">
        <v>2178016</v>
      </c>
      <c r="S22" s="9">
        <v>2192868</v>
      </c>
      <c r="T22" s="9">
        <v>2207930</v>
      </c>
      <c r="U22" s="9">
        <v>2221844</v>
      </c>
      <c r="V22" s="9">
        <v>2235995</v>
      </c>
      <c r="W22" s="10">
        <v>2249696</v>
      </c>
      <c r="X22" s="9">
        <v>2262977</v>
      </c>
    </row>
    <row r="23" spans="1:24" x14ac:dyDescent="0.2">
      <c r="A23" s="7" t="s">
        <v>37</v>
      </c>
      <c r="B23" s="9">
        <v>231969</v>
      </c>
      <c r="C23" s="9">
        <v>240400</v>
      </c>
      <c r="D23" s="9">
        <v>249050</v>
      </c>
      <c r="E23" s="9">
        <v>252168</v>
      </c>
      <c r="F23" s="9">
        <v>254472</v>
      </c>
      <c r="G23" s="9">
        <v>256867</v>
      </c>
      <c r="H23" s="9">
        <v>259408</v>
      </c>
      <c r="I23" s="9">
        <v>262052</v>
      </c>
      <c r="J23" s="9">
        <v>267004</v>
      </c>
      <c r="K23" s="9">
        <v>270990</v>
      </c>
      <c r="L23" s="9">
        <v>275026</v>
      </c>
      <c r="M23" s="9">
        <v>279112</v>
      </c>
      <c r="N23" s="9">
        <v>283242</v>
      </c>
      <c r="O23" s="9">
        <v>286146</v>
      </c>
      <c r="P23" s="9">
        <v>289507</v>
      </c>
      <c r="Q23" s="9">
        <v>292785</v>
      </c>
      <c r="R23" s="9">
        <v>295974</v>
      </c>
      <c r="S23" s="9">
        <v>299073</v>
      </c>
      <c r="T23" s="9">
        <v>302284</v>
      </c>
      <c r="U23" s="9">
        <v>305358</v>
      </c>
      <c r="V23" s="9">
        <v>308484</v>
      </c>
      <c r="W23" s="10">
        <v>311566</v>
      </c>
      <c r="X23" s="9">
        <v>314610</v>
      </c>
    </row>
    <row r="24" spans="1:24" x14ac:dyDescent="0.2">
      <c r="A24" s="7" t="s">
        <v>36</v>
      </c>
      <c r="B24" s="9">
        <v>33362</v>
      </c>
      <c r="C24" s="9">
        <v>36600</v>
      </c>
      <c r="D24" s="9">
        <v>39783</v>
      </c>
      <c r="E24" s="9">
        <v>40331</v>
      </c>
      <c r="F24" s="9">
        <v>40873</v>
      </c>
      <c r="G24" s="9">
        <v>41399</v>
      </c>
      <c r="H24" s="9">
        <v>41921</v>
      </c>
      <c r="I24" s="9">
        <v>42426</v>
      </c>
      <c r="J24" s="9">
        <v>42886</v>
      </c>
      <c r="K24" s="9">
        <v>43360</v>
      </c>
      <c r="L24" s="9">
        <v>43829</v>
      </c>
      <c r="M24" s="9">
        <v>44293</v>
      </c>
      <c r="N24" s="9">
        <v>44748</v>
      </c>
      <c r="O24" s="9">
        <v>45213</v>
      </c>
      <c r="P24" s="9">
        <v>45664</v>
      </c>
      <c r="Q24" s="9">
        <v>46106</v>
      </c>
      <c r="R24" s="9">
        <v>46542</v>
      </c>
      <c r="S24" s="9">
        <v>46970</v>
      </c>
      <c r="T24" s="9">
        <v>47384</v>
      </c>
      <c r="U24" s="9">
        <v>47775</v>
      </c>
      <c r="V24" s="9">
        <v>48172</v>
      </c>
      <c r="W24" s="10">
        <v>48561</v>
      </c>
      <c r="X24" s="9">
        <v>48942</v>
      </c>
    </row>
    <row r="25" spans="1:24" x14ac:dyDescent="0.2">
      <c r="A25" s="7" t="s">
        <v>35</v>
      </c>
      <c r="B25" s="9">
        <v>19161</v>
      </c>
      <c r="C25" s="9">
        <v>19500</v>
      </c>
      <c r="D25" s="9">
        <v>21640</v>
      </c>
      <c r="E25" s="9">
        <v>21898</v>
      </c>
      <c r="F25" s="9">
        <v>22200</v>
      </c>
      <c r="G25" s="9">
        <v>22491</v>
      </c>
      <c r="H25" s="9">
        <v>22776</v>
      </c>
      <c r="I25" s="9">
        <v>23049</v>
      </c>
      <c r="J25" s="9">
        <v>23342</v>
      </c>
      <c r="K25" s="9">
        <v>23625</v>
      </c>
      <c r="L25" s="9">
        <v>23908</v>
      </c>
      <c r="M25" s="9">
        <v>24189</v>
      </c>
      <c r="N25" s="9">
        <v>24470</v>
      </c>
      <c r="O25" s="9">
        <v>24751</v>
      </c>
      <c r="P25" s="9">
        <v>25027</v>
      </c>
      <c r="Q25" s="9">
        <v>25299</v>
      </c>
      <c r="R25" s="9">
        <v>25567</v>
      </c>
      <c r="S25" s="9">
        <v>25831</v>
      </c>
      <c r="T25" s="9">
        <v>26084</v>
      </c>
      <c r="U25" s="9">
        <v>26325</v>
      </c>
      <c r="V25" s="9">
        <v>26571</v>
      </c>
      <c r="W25" s="10">
        <v>26812</v>
      </c>
      <c r="X25" s="9">
        <v>27049</v>
      </c>
    </row>
    <row r="26" spans="1:24" x14ac:dyDescent="0.2">
      <c r="A26" s="7" t="s">
        <v>34</v>
      </c>
      <c r="B26" s="9">
        <v>68600</v>
      </c>
      <c r="C26" s="9">
        <v>71600</v>
      </c>
      <c r="D26" s="9">
        <v>77544</v>
      </c>
      <c r="E26" s="9">
        <v>78211</v>
      </c>
      <c r="F26" s="9">
        <v>78982</v>
      </c>
      <c r="G26" s="9">
        <v>79729</v>
      </c>
      <c r="H26" s="9">
        <v>80465</v>
      </c>
      <c r="I26" s="9">
        <v>81175</v>
      </c>
      <c r="J26" s="9">
        <v>82253</v>
      </c>
      <c r="K26" s="9">
        <v>83172</v>
      </c>
      <c r="L26" s="9">
        <v>84101</v>
      </c>
      <c r="M26" s="9">
        <v>85040</v>
      </c>
      <c r="N26" s="9">
        <v>85988</v>
      </c>
      <c r="O26" s="9">
        <v>86944</v>
      </c>
      <c r="P26" s="9">
        <v>87877</v>
      </c>
      <c r="Q26" s="9">
        <v>88797</v>
      </c>
      <c r="R26" s="9">
        <v>89703</v>
      </c>
      <c r="S26" s="9">
        <v>90593</v>
      </c>
      <c r="T26" s="9">
        <v>91449</v>
      </c>
      <c r="U26" s="9">
        <v>92262</v>
      </c>
      <c r="V26" s="9">
        <v>93088</v>
      </c>
      <c r="W26" s="10">
        <v>93899</v>
      </c>
      <c r="X26" s="9">
        <v>94696</v>
      </c>
    </row>
    <row r="27" spans="1:24" x14ac:dyDescent="0.2">
      <c r="A27" s="7" t="s">
        <v>33</v>
      </c>
      <c r="B27" s="9">
        <v>10184</v>
      </c>
      <c r="C27" s="9">
        <v>10100</v>
      </c>
      <c r="D27" s="9">
        <v>10393</v>
      </c>
      <c r="E27" s="9">
        <v>10544</v>
      </c>
      <c r="F27" s="9">
        <v>10648</v>
      </c>
      <c r="G27" s="9">
        <v>10756</v>
      </c>
      <c r="H27" s="9">
        <v>10872</v>
      </c>
      <c r="I27" s="9">
        <v>10994</v>
      </c>
      <c r="J27" s="9">
        <v>11199</v>
      </c>
      <c r="K27" s="9">
        <v>11370</v>
      </c>
      <c r="L27" s="9">
        <v>11546</v>
      </c>
      <c r="M27" s="9">
        <v>11725</v>
      </c>
      <c r="N27" s="9">
        <v>11907</v>
      </c>
      <c r="O27" s="9">
        <v>12085</v>
      </c>
      <c r="P27" s="9">
        <v>12264</v>
      </c>
      <c r="Q27" s="9">
        <v>12441</v>
      </c>
      <c r="R27" s="9">
        <v>12616</v>
      </c>
      <c r="S27" s="9">
        <v>12790</v>
      </c>
      <c r="T27" s="9">
        <v>12955</v>
      </c>
      <c r="U27" s="9">
        <v>13115</v>
      </c>
      <c r="V27" s="9">
        <v>13279</v>
      </c>
      <c r="W27" s="10">
        <v>13440</v>
      </c>
      <c r="X27" s="9">
        <v>13601</v>
      </c>
    </row>
    <row r="28" spans="1:24" x14ac:dyDescent="0.2">
      <c r="A28" s="7" t="s">
        <v>32</v>
      </c>
      <c r="B28" s="9">
        <v>49405</v>
      </c>
      <c r="C28" s="9">
        <v>51900</v>
      </c>
      <c r="D28" s="9">
        <v>58643</v>
      </c>
      <c r="E28" s="9">
        <v>59641</v>
      </c>
      <c r="F28" s="9">
        <v>60738</v>
      </c>
      <c r="G28" s="9">
        <v>61818</v>
      </c>
      <c r="H28" s="9">
        <v>62892</v>
      </c>
      <c r="I28" s="9">
        <v>63947</v>
      </c>
      <c r="J28" s="9">
        <v>65086</v>
      </c>
      <c r="K28" s="9">
        <v>66199</v>
      </c>
      <c r="L28" s="9">
        <v>67317</v>
      </c>
      <c r="M28" s="9">
        <v>68441</v>
      </c>
      <c r="N28" s="9">
        <v>69568</v>
      </c>
      <c r="O28" s="9">
        <v>70657</v>
      </c>
      <c r="P28" s="9">
        <v>71760</v>
      </c>
      <c r="Q28" s="9">
        <v>72854</v>
      </c>
      <c r="R28" s="9">
        <v>73941</v>
      </c>
      <c r="S28" s="9">
        <v>75018</v>
      </c>
      <c r="T28" s="9">
        <v>76039</v>
      </c>
      <c r="U28" s="9">
        <v>77030</v>
      </c>
      <c r="V28" s="9">
        <v>78040</v>
      </c>
      <c r="W28" s="10">
        <v>79044</v>
      </c>
      <c r="X28" s="9">
        <v>80043</v>
      </c>
    </row>
    <row r="29" spans="1:24" x14ac:dyDescent="0.2">
      <c r="A29" s="7" t="s">
        <v>31</v>
      </c>
      <c r="B29" s="9">
        <v>39564</v>
      </c>
      <c r="C29" s="9">
        <v>39600</v>
      </c>
      <c r="D29" s="9">
        <v>42739</v>
      </c>
      <c r="E29" s="9">
        <v>43184</v>
      </c>
      <c r="F29" s="9">
        <v>43650</v>
      </c>
      <c r="G29" s="9">
        <v>44093</v>
      </c>
      <c r="H29" s="9">
        <v>44520</v>
      </c>
      <c r="I29" s="9">
        <v>44923</v>
      </c>
      <c r="J29" s="9">
        <v>45232</v>
      </c>
      <c r="K29" s="9">
        <v>45572</v>
      </c>
      <c r="L29" s="9">
        <v>45900</v>
      </c>
      <c r="M29" s="9">
        <v>46219</v>
      </c>
      <c r="N29" s="9">
        <v>46526</v>
      </c>
      <c r="O29" s="9">
        <v>46853</v>
      </c>
      <c r="P29" s="9">
        <v>47158</v>
      </c>
      <c r="Q29" s="9">
        <v>47453</v>
      </c>
      <c r="R29" s="9">
        <v>47739</v>
      </c>
      <c r="S29" s="9">
        <v>48016</v>
      </c>
      <c r="T29" s="9">
        <v>48285</v>
      </c>
      <c r="U29" s="9">
        <v>48528</v>
      </c>
      <c r="V29" s="9">
        <v>48775</v>
      </c>
      <c r="W29" s="10">
        <v>49012</v>
      </c>
      <c r="X29" s="9">
        <v>49239</v>
      </c>
    </row>
    <row r="30" spans="1:24" x14ac:dyDescent="0.2">
      <c r="A30" s="7" t="s">
        <v>30</v>
      </c>
      <c r="B30" s="9">
        <v>20984</v>
      </c>
      <c r="C30" s="9">
        <v>21300</v>
      </c>
      <c r="D30" s="9">
        <v>21271</v>
      </c>
      <c r="E30" s="9">
        <v>21426</v>
      </c>
      <c r="F30" s="9">
        <v>21490</v>
      </c>
      <c r="G30" s="9">
        <v>21557</v>
      </c>
      <c r="H30" s="9">
        <v>21629</v>
      </c>
      <c r="I30" s="9">
        <v>21705</v>
      </c>
      <c r="J30" s="9">
        <v>21826</v>
      </c>
      <c r="K30" s="9">
        <v>21923</v>
      </c>
      <c r="L30" s="9">
        <v>22020</v>
      </c>
      <c r="M30" s="9">
        <v>22114</v>
      </c>
      <c r="N30" s="9">
        <v>22207</v>
      </c>
      <c r="O30" s="9">
        <v>22313</v>
      </c>
      <c r="P30" s="9">
        <v>22405</v>
      </c>
      <c r="Q30" s="9">
        <v>22494</v>
      </c>
      <c r="R30" s="9">
        <v>22577</v>
      </c>
      <c r="S30" s="9">
        <v>22657</v>
      </c>
      <c r="T30" s="9">
        <v>22735</v>
      </c>
      <c r="U30" s="9">
        <v>22800</v>
      </c>
      <c r="V30" s="9">
        <v>22867</v>
      </c>
      <c r="W30" s="10">
        <v>22928</v>
      </c>
      <c r="X30" s="9">
        <v>22985</v>
      </c>
    </row>
    <row r="31" spans="1:24" x14ac:dyDescent="0.2">
      <c r="A31" s="7" t="s">
        <v>29</v>
      </c>
      <c r="B31" s="9">
        <v>11732</v>
      </c>
      <c r="C31" s="9">
        <v>12200</v>
      </c>
      <c r="D31" s="9">
        <v>13683</v>
      </c>
      <c r="E31" s="9">
        <v>13868</v>
      </c>
      <c r="F31" s="9">
        <v>14085</v>
      </c>
      <c r="G31" s="9">
        <v>14294</v>
      </c>
      <c r="H31" s="9">
        <v>14500</v>
      </c>
      <c r="I31" s="9">
        <v>14697</v>
      </c>
      <c r="J31" s="9">
        <v>14898</v>
      </c>
      <c r="K31" s="9">
        <v>15097</v>
      </c>
      <c r="L31" s="9">
        <v>15296</v>
      </c>
      <c r="M31" s="9">
        <v>15494</v>
      </c>
      <c r="N31" s="9">
        <v>15691</v>
      </c>
      <c r="O31" s="9">
        <v>15887</v>
      </c>
      <c r="P31" s="9">
        <v>16080</v>
      </c>
      <c r="Q31" s="9">
        <v>16271</v>
      </c>
      <c r="R31" s="9">
        <v>16460</v>
      </c>
      <c r="S31" s="9">
        <v>16646</v>
      </c>
      <c r="T31" s="9">
        <v>16824</v>
      </c>
      <c r="U31" s="9">
        <v>16995</v>
      </c>
      <c r="V31" s="9">
        <v>17169</v>
      </c>
      <c r="W31" s="10">
        <v>17340</v>
      </c>
      <c r="X31" s="9">
        <v>17509</v>
      </c>
    </row>
    <row r="32" spans="1:24" s="11" customFormat="1" x14ac:dyDescent="0.2">
      <c r="A32" s="11" t="s">
        <v>28</v>
      </c>
      <c r="B32" s="14">
        <v>700820</v>
      </c>
      <c r="C32" s="14">
        <v>755900</v>
      </c>
      <c r="D32" s="12">
        <v>836688</v>
      </c>
      <c r="E32" s="12">
        <v>849082</v>
      </c>
      <c r="F32" s="12">
        <v>862209</v>
      </c>
      <c r="G32" s="12">
        <v>874889</v>
      </c>
      <c r="H32" s="12">
        <v>887277</v>
      </c>
      <c r="I32" s="12">
        <v>899190</v>
      </c>
      <c r="J32" s="12">
        <v>908249</v>
      </c>
      <c r="K32" s="12">
        <v>918396</v>
      </c>
      <c r="L32" s="12">
        <v>928403</v>
      </c>
      <c r="M32" s="12">
        <v>938254</v>
      </c>
      <c r="N32" s="12">
        <v>947923</v>
      </c>
      <c r="O32" s="12">
        <v>958909</v>
      </c>
      <c r="P32" s="12">
        <v>969156</v>
      </c>
      <c r="Q32" s="12">
        <v>979364</v>
      </c>
      <c r="R32" s="12">
        <v>989531</v>
      </c>
      <c r="S32" s="12">
        <v>999657</v>
      </c>
      <c r="T32" s="12">
        <v>1010268</v>
      </c>
      <c r="U32" s="12">
        <v>1020417</v>
      </c>
      <c r="V32" s="12">
        <v>1030737</v>
      </c>
      <c r="W32" s="13">
        <v>1040911</v>
      </c>
      <c r="X32" s="12">
        <v>1050953</v>
      </c>
    </row>
    <row r="33" spans="1:24" x14ac:dyDescent="0.2">
      <c r="A33" s="7" t="s">
        <v>27</v>
      </c>
      <c r="B33" s="9">
        <v>14077</v>
      </c>
      <c r="C33" s="9">
        <v>15500</v>
      </c>
      <c r="D33" s="9">
        <v>17327</v>
      </c>
      <c r="E33" s="9">
        <v>17702</v>
      </c>
      <c r="F33" s="9">
        <v>18065</v>
      </c>
      <c r="G33" s="9">
        <v>18426</v>
      </c>
      <c r="H33" s="9">
        <v>18789</v>
      </c>
      <c r="I33" s="9">
        <v>19150</v>
      </c>
      <c r="J33" s="9">
        <v>19481</v>
      </c>
      <c r="K33" s="9">
        <v>19825</v>
      </c>
      <c r="L33" s="9">
        <v>20171</v>
      </c>
      <c r="M33" s="9">
        <v>20514</v>
      </c>
      <c r="N33" s="9">
        <v>20857</v>
      </c>
      <c r="O33" s="9">
        <v>21188</v>
      </c>
      <c r="P33" s="9">
        <v>21523</v>
      </c>
      <c r="Q33" s="9">
        <v>21856</v>
      </c>
      <c r="R33" s="9">
        <v>22186</v>
      </c>
      <c r="S33" s="9">
        <v>22513</v>
      </c>
      <c r="T33" s="9">
        <v>22824</v>
      </c>
      <c r="U33" s="9">
        <v>23124</v>
      </c>
      <c r="V33" s="9">
        <v>23432</v>
      </c>
      <c r="W33" s="10">
        <v>23737</v>
      </c>
      <c r="X33" s="9">
        <v>24041</v>
      </c>
    </row>
    <row r="34" spans="1:24" x14ac:dyDescent="0.2">
      <c r="A34" s="7" t="s">
        <v>26</v>
      </c>
      <c r="B34" s="9">
        <v>102979</v>
      </c>
      <c r="C34" s="9">
        <v>110900</v>
      </c>
      <c r="D34" s="9">
        <v>123888</v>
      </c>
      <c r="E34" s="9">
        <v>126174</v>
      </c>
      <c r="F34" s="9">
        <v>128500</v>
      </c>
      <c r="G34" s="9">
        <v>130836</v>
      </c>
      <c r="H34" s="9">
        <v>133207</v>
      </c>
      <c r="I34" s="9">
        <v>135589</v>
      </c>
      <c r="J34" s="9">
        <v>138676</v>
      </c>
      <c r="K34" s="9">
        <v>141509</v>
      </c>
      <c r="L34" s="9">
        <v>144393</v>
      </c>
      <c r="M34" s="9">
        <v>147326</v>
      </c>
      <c r="N34" s="9">
        <v>150305</v>
      </c>
      <c r="O34" s="9">
        <v>153115</v>
      </c>
      <c r="P34" s="9">
        <v>156013</v>
      </c>
      <c r="Q34" s="9">
        <v>158902</v>
      </c>
      <c r="R34" s="9">
        <v>161780</v>
      </c>
      <c r="S34" s="9">
        <v>164643</v>
      </c>
      <c r="T34" s="9">
        <v>167331</v>
      </c>
      <c r="U34" s="9">
        <v>169968</v>
      </c>
      <c r="V34" s="9">
        <v>172655</v>
      </c>
      <c r="W34" s="10">
        <v>175345</v>
      </c>
      <c r="X34" s="9">
        <v>178036</v>
      </c>
    </row>
    <row r="35" spans="1:24" x14ac:dyDescent="0.2">
      <c r="A35" s="7" t="s">
        <v>25</v>
      </c>
      <c r="B35" s="9">
        <v>9872</v>
      </c>
      <c r="C35" s="9">
        <v>10300</v>
      </c>
      <c r="D35" s="9">
        <v>11075</v>
      </c>
      <c r="E35" s="9">
        <v>11211</v>
      </c>
      <c r="F35" s="9">
        <v>11343</v>
      </c>
      <c r="G35" s="9">
        <v>11470</v>
      </c>
      <c r="H35" s="9">
        <v>11596</v>
      </c>
      <c r="I35" s="9">
        <v>11720</v>
      </c>
      <c r="J35" s="9">
        <v>11846</v>
      </c>
      <c r="K35" s="9">
        <v>11969</v>
      </c>
      <c r="L35" s="9">
        <v>12091</v>
      </c>
      <c r="M35" s="9">
        <v>12212</v>
      </c>
      <c r="N35" s="9">
        <v>12332</v>
      </c>
      <c r="O35" s="9">
        <v>12455</v>
      </c>
      <c r="P35" s="9">
        <v>12573</v>
      </c>
      <c r="Q35" s="9">
        <v>12689</v>
      </c>
      <c r="R35" s="9">
        <v>12803</v>
      </c>
      <c r="S35" s="9">
        <v>12915</v>
      </c>
      <c r="T35" s="9">
        <v>13023</v>
      </c>
      <c r="U35" s="9">
        <v>13124</v>
      </c>
      <c r="V35" s="9">
        <v>13227</v>
      </c>
      <c r="W35" s="10">
        <v>13327</v>
      </c>
      <c r="X35" s="9">
        <v>13426</v>
      </c>
    </row>
    <row r="36" spans="1:24" x14ac:dyDescent="0.2">
      <c r="A36" s="7" t="s">
        <v>24</v>
      </c>
      <c r="B36" s="9">
        <v>606024</v>
      </c>
      <c r="C36" s="9">
        <v>655800</v>
      </c>
      <c r="D36" s="9">
        <v>725963</v>
      </c>
      <c r="E36" s="9">
        <v>738135</v>
      </c>
      <c r="F36" s="9">
        <v>750443</v>
      </c>
      <c r="G36" s="9">
        <v>762558</v>
      </c>
      <c r="H36" s="9">
        <v>774621</v>
      </c>
      <c r="I36" s="9">
        <v>786476</v>
      </c>
      <c r="J36" s="9">
        <v>798057</v>
      </c>
      <c r="K36" s="9">
        <v>809765</v>
      </c>
      <c r="L36" s="9">
        <v>821429</v>
      </c>
      <c r="M36" s="9">
        <v>833028</v>
      </c>
      <c r="N36" s="9">
        <v>844541</v>
      </c>
      <c r="O36" s="9">
        <v>855401</v>
      </c>
      <c r="P36" s="9">
        <v>866414</v>
      </c>
      <c r="Q36" s="9">
        <v>877310</v>
      </c>
      <c r="R36" s="9">
        <v>888078</v>
      </c>
      <c r="S36" s="9">
        <v>898715</v>
      </c>
      <c r="T36" s="9">
        <v>909258</v>
      </c>
      <c r="U36" s="9">
        <v>919409</v>
      </c>
      <c r="V36" s="9">
        <v>929735</v>
      </c>
      <c r="W36" s="10">
        <v>939949</v>
      </c>
      <c r="X36" s="9">
        <v>950066</v>
      </c>
    </row>
    <row r="37" spans="1:24" x14ac:dyDescent="0.2">
      <c r="A37" s="7" t="s">
        <v>23</v>
      </c>
      <c r="B37" s="9">
        <v>417939</v>
      </c>
      <c r="C37" s="9">
        <v>436300</v>
      </c>
      <c r="D37" s="9">
        <v>466724</v>
      </c>
      <c r="E37" s="9">
        <v>473217</v>
      </c>
      <c r="F37" s="9">
        <v>479038</v>
      </c>
      <c r="G37" s="9">
        <v>484828</v>
      </c>
      <c r="H37" s="9">
        <v>490685</v>
      </c>
      <c r="I37" s="9">
        <v>496513</v>
      </c>
      <c r="J37" s="9">
        <v>503465</v>
      </c>
      <c r="K37" s="9">
        <v>509928</v>
      </c>
      <c r="L37" s="9">
        <v>516419</v>
      </c>
      <c r="M37" s="9">
        <v>522929</v>
      </c>
      <c r="N37" s="9">
        <v>529451</v>
      </c>
      <c r="O37" s="9">
        <v>535945</v>
      </c>
      <c r="P37" s="9">
        <v>542360</v>
      </c>
      <c r="Q37" s="9">
        <v>548693</v>
      </c>
      <c r="R37" s="9">
        <v>554941</v>
      </c>
      <c r="S37" s="9">
        <v>561102</v>
      </c>
      <c r="T37" s="9">
        <v>567008</v>
      </c>
      <c r="U37" s="9">
        <v>572651</v>
      </c>
      <c r="V37" s="9">
        <v>578390</v>
      </c>
      <c r="W37" s="10">
        <v>584045</v>
      </c>
      <c r="X37" s="9">
        <v>589623</v>
      </c>
    </row>
    <row r="38" spans="1:24" x14ac:dyDescent="0.2">
      <c r="A38" s="7" t="s">
        <v>22</v>
      </c>
      <c r="B38" s="9">
        <v>40066</v>
      </c>
      <c r="C38" s="9">
        <v>41200</v>
      </c>
      <c r="D38" s="9">
        <v>46616</v>
      </c>
      <c r="E38" s="9">
        <v>47703</v>
      </c>
      <c r="F38" s="9">
        <v>48774</v>
      </c>
      <c r="G38" s="9">
        <v>49853</v>
      </c>
      <c r="H38" s="9">
        <v>50948</v>
      </c>
      <c r="I38" s="9">
        <v>52053</v>
      </c>
      <c r="J38" s="9">
        <v>53264</v>
      </c>
      <c r="K38" s="9">
        <v>54453</v>
      </c>
      <c r="L38" s="9">
        <v>55654</v>
      </c>
      <c r="M38" s="9">
        <v>56871</v>
      </c>
      <c r="N38" s="9">
        <v>58098</v>
      </c>
      <c r="O38" s="9">
        <v>59246</v>
      </c>
      <c r="P38" s="9">
        <v>60439</v>
      </c>
      <c r="Q38" s="9">
        <v>61629</v>
      </c>
      <c r="R38" s="9">
        <v>62815</v>
      </c>
      <c r="S38" s="9">
        <v>63997</v>
      </c>
      <c r="T38" s="9">
        <v>65103</v>
      </c>
      <c r="U38" s="9">
        <v>66190</v>
      </c>
      <c r="V38" s="9">
        <v>67300</v>
      </c>
      <c r="W38" s="10">
        <v>68412</v>
      </c>
      <c r="X38" s="9">
        <v>69527</v>
      </c>
    </row>
    <row r="39" spans="1:24" x14ac:dyDescent="0.2">
      <c r="A39" s="7" t="s">
        <v>21</v>
      </c>
      <c r="B39" s="9">
        <v>207355</v>
      </c>
      <c r="C39" s="9">
        <v>224100</v>
      </c>
      <c r="D39" s="9">
        <v>256113</v>
      </c>
      <c r="E39" s="9">
        <v>262106</v>
      </c>
      <c r="F39" s="9">
        <v>268195</v>
      </c>
      <c r="G39" s="9">
        <v>274225</v>
      </c>
      <c r="H39" s="9">
        <v>280239</v>
      </c>
      <c r="I39" s="9">
        <v>286180</v>
      </c>
      <c r="J39" s="9">
        <v>290899</v>
      </c>
      <c r="K39" s="9">
        <v>296179</v>
      </c>
      <c r="L39" s="9">
        <v>301415</v>
      </c>
      <c r="M39" s="9">
        <v>306604</v>
      </c>
      <c r="N39" s="9">
        <v>311730</v>
      </c>
      <c r="O39" s="9">
        <v>316675</v>
      </c>
      <c r="P39" s="9">
        <v>321688</v>
      </c>
      <c r="Q39" s="9">
        <v>326667</v>
      </c>
      <c r="R39" s="9">
        <v>331609</v>
      </c>
      <c r="S39" s="9">
        <v>336511</v>
      </c>
      <c r="T39" s="9">
        <v>341154</v>
      </c>
      <c r="U39" s="9">
        <v>345666</v>
      </c>
      <c r="V39" s="9">
        <v>350261</v>
      </c>
      <c r="W39" s="10">
        <v>354832</v>
      </c>
      <c r="X39" s="9">
        <v>359383</v>
      </c>
    </row>
    <row r="40" spans="1:24" x14ac:dyDescent="0.2">
      <c r="A40" s="7" t="s">
        <v>20</v>
      </c>
      <c r="B40" s="9">
        <v>3824</v>
      </c>
      <c r="C40" s="9">
        <v>3900</v>
      </c>
      <c r="D40" s="9">
        <v>4172</v>
      </c>
      <c r="E40" s="9">
        <v>4219</v>
      </c>
      <c r="F40" s="9">
        <v>4265</v>
      </c>
      <c r="G40" s="9">
        <v>4310</v>
      </c>
      <c r="H40" s="9">
        <v>4356</v>
      </c>
      <c r="I40" s="9">
        <v>4402</v>
      </c>
      <c r="J40" s="9">
        <v>4478</v>
      </c>
      <c r="K40" s="9">
        <v>4541</v>
      </c>
      <c r="L40" s="9">
        <v>4606</v>
      </c>
      <c r="M40" s="9">
        <v>4672</v>
      </c>
      <c r="N40" s="9">
        <v>4740</v>
      </c>
      <c r="O40" s="9">
        <v>4807</v>
      </c>
      <c r="P40" s="9">
        <v>4873</v>
      </c>
      <c r="Q40" s="9">
        <v>4938</v>
      </c>
      <c r="R40" s="9">
        <v>5003</v>
      </c>
      <c r="S40" s="9">
        <v>5067</v>
      </c>
      <c r="T40" s="9">
        <v>5128</v>
      </c>
      <c r="U40" s="9">
        <v>5188</v>
      </c>
      <c r="V40" s="9">
        <v>5247</v>
      </c>
      <c r="W40" s="10">
        <v>5307</v>
      </c>
      <c r="X40" s="9">
        <v>5366</v>
      </c>
    </row>
    <row r="41" spans="1:24" x14ac:dyDescent="0.2">
      <c r="A41" s="7" t="s">
        <v>19</v>
      </c>
      <c r="B41" s="9">
        <v>55180</v>
      </c>
      <c r="C41" s="9">
        <v>57500</v>
      </c>
      <c r="D41" s="9">
        <v>60840</v>
      </c>
      <c r="E41" s="9">
        <v>61327</v>
      </c>
      <c r="F41" s="9">
        <v>61803</v>
      </c>
      <c r="G41" s="9">
        <v>62260</v>
      </c>
      <c r="H41" s="9">
        <v>62710</v>
      </c>
      <c r="I41" s="9">
        <v>63139</v>
      </c>
      <c r="J41" s="9">
        <v>63680</v>
      </c>
      <c r="K41" s="9">
        <v>64163</v>
      </c>
      <c r="L41" s="9">
        <v>64643</v>
      </c>
      <c r="M41" s="9">
        <v>65120</v>
      </c>
      <c r="N41" s="9">
        <v>65593</v>
      </c>
      <c r="O41" s="9">
        <v>66093</v>
      </c>
      <c r="P41" s="9">
        <v>66563</v>
      </c>
      <c r="Q41" s="9">
        <v>67020</v>
      </c>
      <c r="R41" s="9">
        <v>67463</v>
      </c>
      <c r="S41" s="9">
        <v>67895</v>
      </c>
      <c r="T41" s="9">
        <v>68315</v>
      </c>
      <c r="U41" s="9">
        <v>68699</v>
      </c>
      <c r="V41" s="9">
        <v>69089</v>
      </c>
      <c r="W41" s="10">
        <v>69465</v>
      </c>
      <c r="X41" s="9">
        <v>69828</v>
      </c>
    </row>
    <row r="42" spans="1:24" x14ac:dyDescent="0.2">
      <c r="A42" s="7" t="s">
        <v>18</v>
      </c>
      <c r="B42" s="9">
        <v>166814</v>
      </c>
      <c r="C42" s="9">
        <v>180800</v>
      </c>
      <c r="D42" s="9">
        <v>195633</v>
      </c>
      <c r="E42" s="9">
        <v>199495</v>
      </c>
      <c r="F42" s="9">
        <v>202841</v>
      </c>
      <c r="G42" s="9">
        <v>206200</v>
      </c>
      <c r="H42" s="9">
        <v>209615</v>
      </c>
      <c r="I42" s="9">
        <v>213046</v>
      </c>
      <c r="J42" s="9">
        <v>216412</v>
      </c>
      <c r="K42" s="9">
        <v>219818</v>
      </c>
      <c r="L42" s="9">
        <v>223223</v>
      </c>
      <c r="M42" s="9">
        <v>226621</v>
      </c>
      <c r="N42" s="9">
        <v>230008</v>
      </c>
      <c r="O42" s="9">
        <v>233316</v>
      </c>
      <c r="P42" s="9">
        <v>236634</v>
      </c>
      <c r="Q42" s="9">
        <v>239924</v>
      </c>
      <c r="R42" s="9">
        <v>243182</v>
      </c>
      <c r="S42" s="9">
        <v>246406</v>
      </c>
      <c r="T42" s="9">
        <v>249474</v>
      </c>
      <c r="U42" s="9">
        <v>252440</v>
      </c>
      <c r="V42" s="9">
        <v>255457</v>
      </c>
      <c r="W42" s="10">
        <v>258448</v>
      </c>
      <c r="X42" s="9">
        <v>261416</v>
      </c>
    </row>
    <row r="43" spans="1:24" x14ac:dyDescent="0.2">
      <c r="A43" s="7" t="s">
        <v>17</v>
      </c>
      <c r="B43" s="9">
        <v>40740</v>
      </c>
      <c r="C43" s="9">
        <v>42400</v>
      </c>
      <c r="D43" s="9">
        <v>43151</v>
      </c>
      <c r="E43" s="9">
        <v>43474</v>
      </c>
      <c r="F43" s="9">
        <v>43671</v>
      </c>
      <c r="G43" s="9">
        <v>43867</v>
      </c>
      <c r="H43" s="9">
        <v>44071</v>
      </c>
      <c r="I43" s="9">
        <v>44274</v>
      </c>
      <c r="J43" s="9">
        <v>44580</v>
      </c>
      <c r="K43" s="9">
        <v>44832</v>
      </c>
      <c r="L43" s="9">
        <v>45084</v>
      </c>
      <c r="M43" s="9">
        <v>45333</v>
      </c>
      <c r="N43" s="9">
        <v>45581</v>
      </c>
      <c r="O43" s="9">
        <v>45853</v>
      </c>
      <c r="P43" s="9">
        <v>46100</v>
      </c>
      <c r="Q43" s="9">
        <v>46337</v>
      </c>
      <c r="R43" s="9">
        <v>46566</v>
      </c>
      <c r="S43" s="9">
        <v>46786</v>
      </c>
      <c r="T43" s="9">
        <v>47002</v>
      </c>
      <c r="U43" s="9">
        <v>47191</v>
      </c>
      <c r="V43" s="9">
        <v>47386</v>
      </c>
      <c r="W43" s="10">
        <v>47569</v>
      </c>
      <c r="X43" s="9">
        <v>47743</v>
      </c>
    </row>
    <row r="44" spans="1:24" x14ac:dyDescent="0.2">
      <c r="A44" s="7" t="s">
        <v>16</v>
      </c>
      <c r="B44" s="9">
        <v>222581</v>
      </c>
      <c r="C44" s="9">
        <v>229300</v>
      </c>
      <c r="D44" s="9">
        <v>241446</v>
      </c>
      <c r="E44" s="9">
        <v>245386</v>
      </c>
      <c r="F44" s="9">
        <v>248467</v>
      </c>
      <c r="G44" s="9">
        <v>251555</v>
      </c>
      <c r="H44" s="9">
        <v>254704</v>
      </c>
      <c r="I44" s="9">
        <v>257867</v>
      </c>
      <c r="J44" s="9">
        <v>260898</v>
      </c>
      <c r="K44" s="9">
        <v>263962</v>
      </c>
      <c r="L44" s="9">
        <v>267002</v>
      </c>
      <c r="M44" s="9">
        <v>270014</v>
      </c>
      <c r="N44" s="9">
        <v>272992</v>
      </c>
      <c r="O44" s="9">
        <v>275999</v>
      </c>
      <c r="P44" s="9">
        <v>278935</v>
      </c>
      <c r="Q44" s="9">
        <v>281826</v>
      </c>
      <c r="R44" s="9">
        <v>284671</v>
      </c>
      <c r="S44" s="9">
        <v>287468</v>
      </c>
      <c r="T44" s="9">
        <v>290162</v>
      </c>
      <c r="U44" s="9">
        <v>292716</v>
      </c>
      <c r="V44" s="9">
        <v>295311</v>
      </c>
      <c r="W44" s="10">
        <v>297859</v>
      </c>
      <c r="X44" s="9">
        <v>300362</v>
      </c>
    </row>
    <row r="45" spans="1:24" x14ac:dyDescent="0.2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4" x14ac:dyDescent="0.2">
      <c r="A46" s="188" t="s">
        <v>15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</row>
    <row r="47" spans="1:24" x14ac:dyDescent="0.2">
      <c r="A47" s="188" t="s">
        <v>14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</row>
    <row r="48" spans="1:24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6" s="30" customFormat="1" x14ac:dyDescent="0.2">
      <c r="B49" s="31"/>
      <c r="C49" s="31">
        <f t="shared" ref="C49:X49" si="0">(C32-B32)/B32</f>
        <v>7.8593647441568451E-2</v>
      </c>
      <c r="D49" s="31">
        <f t="shared" si="0"/>
        <v>0.1068765709749967</v>
      </c>
      <c r="E49" s="31">
        <f t="shared" si="0"/>
        <v>1.4813168110454553E-2</v>
      </c>
      <c r="F49" s="31">
        <f t="shared" si="0"/>
        <v>1.546022645633755E-2</v>
      </c>
      <c r="G49" s="31">
        <f t="shared" si="0"/>
        <v>1.4706411090582445E-2</v>
      </c>
      <c r="H49" s="31">
        <f t="shared" si="0"/>
        <v>1.4159510520763205E-2</v>
      </c>
      <c r="I49" s="31">
        <f t="shared" si="0"/>
        <v>1.3426472229078406E-2</v>
      </c>
      <c r="J49" s="31">
        <f t="shared" si="0"/>
        <v>1.0074622715999956E-2</v>
      </c>
      <c r="K49" s="31">
        <f t="shared" si="0"/>
        <v>1.1172046432200862E-2</v>
      </c>
      <c r="L49" s="31">
        <f t="shared" si="0"/>
        <v>1.0896171150571213E-2</v>
      </c>
      <c r="M49" s="31">
        <f t="shared" si="0"/>
        <v>1.0610693847391705E-2</v>
      </c>
      <c r="N49" s="31">
        <f t="shared" si="0"/>
        <v>1.0305311781244738E-2</v>
      </c>
      <c r="O49" s="31">
        <f t="shared" si="0"/>
        <v>1.1589548940156532E-2</v>
      </c>
      <c r="P49" s="31">
        <f t="shared" si="0"/>
        <v>1.068610264373366E-2</v>
      </c>
      <c r="Q49" s="31">
        <f t="shared" si="0"/>
        <v>1.053287602821424E-2</v>
      </c>
      <c r="R49" s="31">
        <f t="shared" si="0"/>
        <v>1.0381227000379838E-2</v>
      </c>
      <c r="S49" s="31">
        <f t="shared" si="0"/>
        <v>1.0233130644719569E-2</v>
      </c>
      <c r="T49" s="31">
        <f t="shared" si="0"/>
        <v>1.0614640821801878E-2</v>
      </c>
      <c r="U49" s="31">
        <f t="shared" si="0"/>
        <v>1.0045849220206916E-2</v>
      </c>
      <c r="V49" s="31">
        <f t="shared" si="0"/>
        <v>1.0113512416982469E-2</v>
      </c>
      <c r="W49" s="31">
        <f t="shared" si="0"/>
        <v>9.8706071480891833E-3</v>
      </c>
      <c r="X49" s="31">
        <f t="shared" si="0"/>
        <v>9.6473185507694702E-3</v>
      </c>
      <c r="Z49" s="32">
        <f>AVERAGE(C49:X49)</f>
        <v>1.8854984825738341E-2</v>
      </c>
    </row>
    <row r="50" spans="2:26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2:26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2:26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2:26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2:26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2:26" x14ac:dyDescent="0.2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2:26" x14ac:dyDescent="0.2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</sheetData>
  <mergeCells count="4">
    <mergeCell ref="A1:X1"/>
    <mergeCell ref="A2:X2"/>
    <mergeCell ref="A46:X46"/>
    <mergeCell ref="A47:X47"/>
  </mergeCells>
  <pageMargins left="1" right="1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opLeftCell="I11" workbookViewId="0">
      <selection activeCell="Z51" sqref="Z51"/>
    </sheetView>
  </sheetViews>
  <sheetFormatPr defaultColWidth="9.109375" defaultRowHeight="11.4" x14ac:dyDescent="0.2"/>
  <cols>
    <col min="1" max="1" width="11.44140625" style="7" bestFit="1" customWidth="1"/>
    <col min="2" max="2" width="8.88671875" style="7" bestFit="1" customWidth="1"/>
    <col min="3" max="24" width="9.88671875" style="7" customWidth="1"/>
    <col min="25" max="16384" width="9.109375" style="7"/>
  </cols>
  <sheetData>
    <row r="1" spans="1:24" s="16" customFormat="1" ht="12" x14ac:dyDescent="0.25">
      <c r="A1" s="187" t="s">
        <v>57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</row>
    <row r="2" spans="1:24" s="16" customFormat="1" ht="12" x14ac:dyDescent="0.25">
      <c r="A2" s="187" t="s">
        <v>60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</row>
    <row r="4" spans="1:24" s="16" customFormat="1" ht="12" x14ac:dyDescent="0.25">
      <c r="A4" s="16" t="s">
        <v>59</v>
      </c>
      <c r="B4" s="17">
        <v>2000</v>
      </c>
      <c r="C4" s="17">
        <v>2005</v>
      </c>
      <c r="D4" s="17">
        <v>2010</v>
      </c>
      <c r="E4" s="17">
        <v>2011</v>
      </c>
      <c r="F4" s="17">
        <v>2012</v>
      </c>
      <c r="G4" s="17">
        <v>2013</v>
      </c>
      <c r="H4" s="17">
        <v>2014</v>
      </c>
      <c r="I4" s="17">
        <v>2015</v>
      </c>
      <c r="J4" s="17">
        <v>2016</v>
      </c>
      <c r="K4" s="17">
        <v>2017</v>
      </c>
      <c r="L4" s="17">
        <v>2018</v>
      </c>
      <c r="M4" s="17">
        <v>2019</v>
      </c>
      <c r="N4" s="17">
        <v>2020</v>
      </c>
      <c r="O4" s="17">
        <v>2021</v>
      </c>
      <c r="P4" s="17">
        <v>2022</v>
      </c>
      <c r="Q4" s="17">
        <v>2023</v>
      </c>
      <c r="R4" s="17">
        <v>2024</v>
      </c>
      <c r="S4" s="17">
        <v>2025</v>
      </c>
      <c r="T4" s="17">
        <v>2026</v>
      </c>
      <c r="U4" s="17">
        <v>2027</v>
      </c>
      <c r="V4" s="17">
        <v>2028</v>
      </c>
      <c r="W4" s="17">
        <v>2029</v>
      </c>
      <c r="X4" s="17">
        <v>2030</v>
      </c>
    </row>
    <row r="5" spans="1:24" x14ac:dyDescent="0.2">
      <c r="A5" s="7" t="s">
        <v>55</v>
      </c>
      <c r="B5" s="9">
        <v>5894121</v>
      </c>
      <c r="C5" s="9">
        <v>6256400</v>
      </c>
      <c r="D5" s="9">
        <v>7372751</v>
      </c>
      <c r="E5" s="9">
        <v>7506745</v>
      </c>
      <c r="F5" s="9">
        <v>7640739</v>
      </c>
      <c r="G5" s="9">
        <v>7774733</v>
      </c>
      <c r="H5" s="9">
        <v>7908727</v>
      </c>
      <c r="I5" s="9">
        <v>8042721</v>
      </c>
      <c r="J5" s="9">
        <v>8176899</v>
      </c>
      <c r="K5" s="9">
        <v>8311009</v>
      </c>
      <c r="L5" s="9">
        <v>8445129</v>
      </c>
      <c r="M5" s="9">
        <v>8579254</v>
      </c>
      <c r="N5" s="9">
        <v>8713386</v>
      </c>
      <c r="O5" s="9">
        <v>8846621</v>
      </c>
      <c r="P5" s="9">
        <v>8979859</v>
      </c>
      <c r="Q5" s="9">
        <v>9113093</v>
      </c>
      <c r="R5" s="9">
        <v>9246323</v>
      </c>
      <c r="S5" s="9">
        <v>9379550</v>
      </c>
      <c r="T5" s="9">
        <v>9508978</v>
      </c>
      <c r="U5" s="9">
        <v>9638396</v>
      </c>
      <c r="V5" s="9">
        <v>9767822</v>
      </c>
      <c r="W5" s="10">
        <v>9897241</v>
      </c>
      <c r="X5" s="9">
        <v>10026660</v>
      </c>
    </row>
    <row r="6" spans="1:24" x14ac:dyDescent="0.2">
      <c r="A6" s="7" t="s">
        <v>54</v>
      </c>
      <c r="B6" s="9">
        <v>16428</v>
      </c>
      <c r="C6" s="9">
        <v>17000</v>
      </c>
      <c r="D6" s="9">
        <v>19718</v>
      </c>
      <c r="E6" s="9">
        <v>20038</v>
      </c>
      <c r="F6" s="9">
        <v>20358</v>
      </c>
      <c r="G6" s="9">
        <v>20679</v>
      </c>
      <c r="H6" s="9">
        <v>20999</v>
      </c>
      <c r="I6" s="9">
        <v>21319</v>
      </c>
      <c r="J6" s="9">
        <v>21647</v>
      </c>
      <c r="K6" s="9">
        <v>21976</v>
      </c>
      <c r="L6" s="9">
        <v>22304</v>
      </c>
      <c r="M6" s="9">
        <v>22633</v>
      </c>
      <c r="N6" s="9">
        <v>22961</v>
      </c>
      <c r="O6" s="9">
        <v>23287</v>
      </c>
      <c r="P6" s="9">
        <v>23612</v>
      </c>
      <c r="Q6" s="9">
        <v>23938</v>
      </c>
      <c r="R6" s="9">
        <v>24263</v>
      </c>
      <c r="S6" s="9">
        <v>24589</v>
      </c>
      <c r="T6" s="9">
        <v>24894</v>
      </c>
      <c r="U6" s="9">
        <v>25199</v>
      </c>
      <c r="V6" s="9">
        <v>25504</v>
      </c>
      <c r="W6" s="10">
        <v>25809</v>
      </c>
      <c r="X6" s="9">
        <v>26114</v>
      </c>
    </row>
    <row r="7" spans="1:24" x14ac:dyDescent="0.2">
      <c r="A7" s="7" t="s">
        <v>53</v>
      </c>
      <c r="B7" s="9">
        <v>20551</v>
      </c>
      <c r="C7" s="9">
        <v>20900</v>
      </c>
      <c r="D7" s="9">
        <v>23917</v>
      </c>
      <c r="E7" s="9">
        <v>24197</v>
      </c>
      <c r="F7" s="9">
        <v>24478</v>
      </c>
      <c r="G7" s="9">
        <v>24759</v>
      </c>
      <c r="H7" s="9">
        <v>25040</v>
      </c>
      <c r="I7" s="9">
        <v>25321</v>
      </c>
      <c r="J7" s="9">
        <v>25636</v>
      </c>
      <c r="K7" s="9">
        <v>25952</v>
      </c>
      <c r="L7" s="9">
        <v>26268</v>
      </c>
      <c r="M7" s="9">
        <v>26583</v>
      </c>
      <c r="N7" s="9">
        <v>26899</v>
      </c>
      <c r="O7" s="9">
        <v>27208</v>
      </c>
      <c r="P7" s="9">
        <v>27518</v>
      </c>
      <c r="Q7" s="9">
        <v>27827</v>
      </c>
      <c r="R7" s="9">
        <v>28136</v>
      </c>
      <c r="S7" s="9">
        <v>28446</v>
      </c>
      <c r="T7" s="9">
        <v>28730</v>
      </c>
      <c r="U7" s="9">
        <v>29014</v>
      </c>
      <c r="V7" s="9">
        <v>29299</v>
      </c>
      <c r="W7" s="10">
        <v>29583</v>
      </c>
      <c r="X7" s="9">
        <v>29867</v>
      </c>
    </row>
    <row r="8" spans="1:24" x14ac:dyDescent="0.2">
      <c r="A8" s="7" t="s">
        <v>52</v>
      </c>
      <c r="B8" s="9">
        <v>142475</v>
      </c>
      <c r="C8" s="9">
        <v>158100</v>
      </c>
      <c r="D8" s="9">
        <v>188931</v>
      </c>
      <c r="E8" s="9">
        <v>191892</v>
      </c>
      <c r="F8" s="9">
        <v>194853</v>
      </c>
      <c r="G8" s="9">
        <v>197814</v>
      </c>
      <c r="H8" s="9">
        <v>200775</v>
      </c>
      <c r="I8" s="9">
        <v>203736</v>
      </c>
      <c r="J8" s="9">
        <v>206763</v>
      </c>
      <c r="K8" s="9">
        <v>209791</v>
      </c>
      <c r="L8" s="9">
        <v>212819</v>
      </c>
      <c r="M8" s="9">
        <v>215847</v>
      </c>
      <c r="N8" s="9">
        <v>218874</v>
      </c>
      <c r="O8" s="9">
        <v>221903</v>
      </c>
      <c r="P8" s="9">
        <v>224931</v>
      </c>
      <c r="Q8" s="9">
        <v>227959</v>
      </c>
      <c r="R8" s="9">
        <v>230987</v>
      </c>
      <c r="S8" s="9">
        <v>234015</v>
      </c>
      <c r="T8" s="9">
        <v>236884</v>
      </c>
      <c r="U8" s="9">
        <v>239752</v>
      </c>
      <c r="V8" s="9">
        <v>242621</v>
      </c>
      <c r="W8" s="10">
        <v>245489</v>
      </c>
      <c r="X8" s="9">
        <v>248358</v>
      </c>
    </row>
    <row r="9" spans="1:24" x14ac:dyDescent="0.2">
      <c r="A9" s="7" t="s">
        <v>51</v>
      </c>
      <c r="B9" s="9">
        <v>66616</v>
      </c>
      <c r="C9" s="9">
        <v>69200</v>
      </c>
      <c r="D9" s="9">
        <v>80050</v>
      </c>
      <c r="E9" s="9">
        <v>81422</v>
      </c>
      <c r="F9" s="9">
        <v>82795</v>
      </c>
      <c r="G9" s="9">
        <v>84168</v>
      </c>
      <c r="H9" s="9">
        <v>85541</v>
      </c>
      <c r="I9" s="9">
        <v>86914</v>
      </c>
      <c r="J9" s="9">
        <v>88296</v>
      </c>
      <c r="K9" s="9">
        <v>89679</v>
      </c>
      <c r="L9" s="9">
        <v>91061</v>
      </c>
      <c r="M9" s="9">
        <v>92443</v>
      </c>
      <c r="N9" s="9">
        <v>93826</v>
      </c>
      <c r="O9" s="9">
        <v>95200</v>
      </c>
      <c r="P9" s="9">
        <v>96574</v>
      </c>
      <c r="Q9" s="9">
        <v>97948</v>
      </c>
      <c r="R9" s="9">
        <v>99322</v>
      </c>
      <c r="S9" s="9">
        <v>100696</v>
      </c>
      <c r="T9" s="9">
        <v>101992</v>
      </c>
      <c r="U9" s="9">
        <v>103288</v>
      </c>
      <c r="V9" s="9">
        <v>104584</v>
      </c>
      <c r="W9" s="10">
        <v>105881</v>
      </c>
      <c r="X9" s="9">
        <v>107177</v>
      </c>
    </row>
    <row r="10" spans="1:24" x14ac:dyDescent="0.2">
      <c r="A10" s="7" t="s">
        <v>50</v>
      </c>
      <c r="B10" s="9">
        <v>64179</v>
      </c>
      <c r="C10" s="9">
        <v>66800</v>
      </c>
      <c r="D10" s="9">
        <v>73723</v>
      </c>
      <c r="E10" s="9">
        <v>74581</v>
      </c>
      <c r="F10" s="9">
        <v>75439</v>
      </c>
      <c r="G10" s="9">
        <v>76297</v>
      </c>
      <c r="H10" s="9">
        <v>77156</v>
      </c>
      <c r="I10" s="9">
        <v>78014</v>
      </c>
      <c r="J10" s="9">
        <v>79040</v>
      </c>
      <c r="K10" s="9">
        <v>80066</v>
      </c>
      <c r="L10" s="9">
        <v>81093</v>
      </c>
      <c r="M10" s="9">
        <v>82119</v>
      </c>
      <c r="N10" s="9">
        <v>83145</v>
      </c>
      <c r="O10" s="9">
        <v>84155</v>
      </c>
      <c r="P10" s="9">
        <v>85166</v>
      </c>
      <c r="Q10" s="9">
        <v>86176</v>
      </c>
      <c r="R10" s="9">
        <v>87186</v>
      </c>
      <c r="S10" s="9">
        <v>88196</v>
      </c>
      <c r="T10" s="9">
        <v>89131</v>
      </c>
      <c r="U10" s="9">
        <v>90066</v>
      </c>
      <c r="V10" s="9">
        <v>91001</v>
      </c>
      <c r="W10" s="10">
        <v>91935</v>
      </c>
      <c r="X10" s="9">
        <v>92870</v>
      </c>
    </row>
    <row r="11" spans="1:24" x14ac:dyDescent="0.2">
      <c r="A11" s="7" t="s">
        <v>49</v>
      </c>
      <c r="B11" s="9">
        <v>345238</v>
      </c>
      <c r="C11" s="9">
        <v>391500</v>
      </c>
      <c r="D11" s="9">
        <v>470211</v>
      </c>
      <c r="E11" s="9">
        <v>480957</v>
      </c>
      <c r="F11" s="9">
        <v>491702</v>
      </c>
      <c r="G11" s="9">
        <v>502448</v>
      </c>
      <c r="H11" s="9">
        <v>513193</v>
      </c>
      <c r="I11" s="9">
        <v>523939</v>
      </c>
      <c r="J11" s="9">
        <v>534065</v>
      </c>
      <c r="K11" s="9">
        <v>544192</v>
      </c>
      <c r="L11" s="9">
        <v>554318</v>
      </c>
      <c r="M11" s="9">
        <v>564445</v>
      </c>
      <c r="N11" s="9">
        <v>574571</v>
      </c>
      <c r="O11" s="9">
        <v>584720</v>
      </c>
      <c r="P11" s="9">
        <v>594869</v>
      </c>
      <c r="Q11" s="9">
        <v>605018</v>
      </c>
      <c r="R11" s="9">
        <v>615167</v>
      </c>
      <c r="S11" s="9">
        <v>625316</v>
      </c>
      <c r="T11" s="9">
        <v>635049</v>
      </c>
      <c r="U11" s="9">
        <v>644781</v>
      </c>
      <c r="V11" s="9">
        <v>654514</v>
      </c>
      <c r="W11" s="10">
        <v>664247</v>
      </c>
      <c r="X11" s="9">
        <v>673980</v>
      </c>
    </row>
    <row r="12" spans="1:24" x14ac:dyDescent="0.2">
      <c r="A12" s="7" t="s">
        <v>48</v>
      </c>
      <c r="B12" s="9">
        <v>4064</v>
      </c>
      <c r="C12" s="9">
        <v>4100</v>
      </c>
      <c r="D12" s="9">
        <v>4534</v>
      </c>
      <c r="E12" s="9">
        <v>4555</v>
      </c>
      <c r="F12" s="9">
        <v>4576</v>
      </c>
      <c r="G12" s="9">
        <v>4597</v>
      </c>
      <c r="H12" s="9">
        <v>4618</v>
      </c>
      <c r="I12" s="9">
        <v>4639</v>
      </c>
      <c r="J12" s="9">
        <v>4661</v>
      </c>
      <c r="K12" s="9">
        <v>4684</v>
      </c>
      <c r="L12" s="9">
        <v>4706</v>
      </c>
      <c r="M12" s="9">
        <v>4729</v>
      </c>
      <c r="N12" s="9">
        <v>4751</v>
      </c>
      <c r="O12" s="9">
        <v>4774</v>
      </c>
      <c r="P12" s="9">
        <v>4796</v>
      </c>
      <c r="Q12" s="9">
        <v>4819</v>
      </c>
      <c r="R12" s="9">
        <v>4841</v>
      </c>
      <c r="S12" s="9">
        <v>4864</v>
      </c>
      <c r="T12" s="9">
        <v>4884</v>
      </c>
      <c r="U12" s="9">
        <v>4905</v>
      </c>
      <c r="V12" s="9">
        <v>4925</v>
      </c>
      <c r="W12" s="10">
        <v>4946</v>
      </c>
      <c r="X12" s="9">
        <v>4967</v>
      </c>
    </row>
    <row r="13" spans="1:24" x14ac:dyDescent="0.2">
      <c r="A13" s="7" t="s">
        <v>47</v>
      </c>
      <c r="B13" s="9">
        <v>92948</v>
      </c>
      <c r="C13" s="9">
        <v>95900</v>
      </c>
      <c r="D13" s="9">
        <v>122497</v>
      </c>
      <c r="E13" s="9">
        <v>125429</v>
      </c>
      <c r="F13" s="9">
        <v>128361</v>
      </c>
      <c r="G13" s="9">
        <v>131293</v>
      </c>
      <c r="H13" s="9">
        <v>134225</v>
      </c>
      <c r="I13" s="9">
        <v>137157</v>
      </c>
      <c r="J13" s="9">
        <v>140356</v>
      </c>
      <c r="K13" s="9">
        <v>143555</v>
      </c>
      <c r="L13" s="9">
        <v>146754</v>
      </c>
      <c r="M13" s="9">
        <v>149953</v>
      </c>
      <c r="N13" s="9">
        <v>153152</v>
      </c>
      <c r="O13" s="9">
        <v>156416</v>
      </c>
      <c r="P13" s="9">
        <v>159681</v>
      </c>
      <c r="Q13" s="9">
        <v>162945</v>
      </c>
      <c r="R13" s="9">
        <v>166209</v>
      </c>
      <c r="S13" s="9">
        <v>169474</v>
      </c>
      <c r="T13" s="9">
        <v>172680</v>
      </c>
      <c r="U13" s="9">
        <v>175886</v>
      </c>
      <c r="V13" s="9">
        <v>179092</v>
      </c>
      <c r="W13" s="10">
        <v>182299</v>
      </c>
      <c r="X13" s="9">
        <v>185505</v>
      </c>
    </row>
    <row r="14" spans="1:24" x14ac:dyDescent="0.2">
      <c r="A14" s="7" t="s">
        <v>46</v>
      </c>
      <c r="B14" s="9">
        <v>32603</v>
      </c>
      <c r="C14" s="9">
        <v>34700</v>
      </c>
      <c r="D14" s="9">
        <v>43321</v>
      </c>
      <c r="E14" s="9">
        <v>44265</v>
      </c>
      <c r="F14" s="9">
        <v>45209</v>
      </c>
      <c r="G14" s="9">
        <v>46153</v>
      </c>
      <c r="H14" s="9">
        <v>47097</v>
      </c>
      <c r="I14" s="9">
        <v>48042</v>
      </c>
      <c r="J14" s="9">
        <v>48925</v>
      </c>
      <c r="K14" s="9">
        <v>49809</v>
      </c>
      <c r="L14" s="9">
        <v>50693</v>
      </c>
      <c r="M14" s="9">
        <v>51577</v>
      </c>
      <c r="N14" s="9">
        <v>52461</v>
      </c>
      <c r="O14" s="9">
        <v>53353</v>
      </c>
      <c r="P14" s="9">
        <v>54244</v>
      </c>
      <c r="Q14" s="9">
        <v>55136</v>
      </c>
      <c r="R14" s="9">
        <v>56028</v>
      </c>
      <c r="S14" s="9">
        <v>56920</v>
      </c>
      <c r="T14" s="9">
        <v>57779</v>
      </c>
      <c r="U14" s="9">
        <v>58638</v>
      </c>
      <c r="V14" s="9">
        <v>59497</v>
      </c>
      <c r="W14" s="10">
        <v>60357</v>
      </c>
      <c r="X14" s="9">
        <v>61216</v>
      </c>
    </row>
    <row r="15" spans="1:24" x14ac:dyDescent="0.2">
      <c r="A15" s="7" t="s">
        <v>45</v>
      </c>
      <c r="B15" s="9">
        <v>7260</v>
      </c>
      <c r="C15" s="9">
        <v>7400</v>
      </c>
      <c r="D15" s="9">
        <v>9294</v>
      </c>
      <c r="E15" s="9">
        <v>9461</v>
      </c>
      <c r="F15" s="9">
        <v>9628</v>
      </c>
      <c r="G15" s="9">
        <v>9795</v>
      </c>
      <c r="H15" s="9">
        <v>9961</v>
      </c>
      <c r="I15" s="9">
        <v>10128</v>
      </c>
      <c r="J15" s="9">
        <v>10344</v>
      </c>
      <c r="K15" s="9">
        <v>10560</v>
      </c>
      <c r="L15" s="9">
        <v>10775</v>
      </c>
      <c r="M15" s="9">
        <v>10991</v>
      </c>
      <c r="N15" s="9">
        <v>11207</v>
      </c>
      <c r="O15" s="9">
        <v>11426</v>
      </c>
      <c r="P15" s="9">
        <v>11646</v>
      </c>
      <c r="Q15" s="9">
        <v>11865</v>
      </c>
      <c r="R15" s="9">
        <v>12085</v>
      </c>
      <c r="S15" s="9">
        <v>12305</v>
      </c>
      <c r="T15" s="9">
        <v>12519</v>
      </c>
      <c r="U15" s="9">
        <v>12733</v>
      </c>
      <c r="V15" s="9">
        <v>12947</v>
      </c>
      <c r="W15" s="10">
        <v>13161</v>
      </c>
      <c r="X15" s="9">
        <v>13375</v>
      </c>
    </row>
    <row r="16" spans="1:24" x14ac:dyDescent="0.2">
      <c r="A16" s="7" t="s">
        <v>44</v>
      </c>
      <c r="B16" s="9">
        <v>49347</v>
      </c>
      <c r="C16" s="9">
        <v>60500</v>
      </c>
      <c r="D16" s="9">
        <v>79843</v>
      </c>
      <c r="E16" s="9">
        <v>82664</v>
      </c>
      <c r="F16" s="9">
        <v>85485</v>
      </c>
      <c r="G16" s="9">
        <v>88305</v>
      </c>
      <c r="H16" s="9">
        <v>91126</v>
      </c>
      <c r="I16" s="9">
        <v>93947</v>
      </c>
      <c r="J16" s="9">
        <v>96887</v>
      </c>
      <c r="K16" s="9">
        <v>99827</v>
      </c>
      <c r="L16" s="9">
        <v>102768</v>
      </c>
      <c r="M16" s="9">
        <v>105708</v>
      </c>
      <c r="N16" s="9">
        <v>108649</v>
      </c>
      <c r="O16" s="9">
        <v>111637</v>
      </c>
      <c r="P16" s="9">
        <v>114626</v>
      </c>
      <c r="Q16" s="9">
        <v>117615</v>
      </c>
      <c r="R16" s="9">
        <v>120604</v>
      </c>
      <c r="S16" s="9">
        <v>123593</v>
      </c>
      <c r="T16" s="9">
        <v>126493</v>
      </c>
      <c r="U16" s="9">
        <v>129394</v>
      </c>
      <c r="V16" s="9">
        <v>132295</v>
      </c>
      <c r="W16" s="10">
        <v>135195</v>
      </c>
      <c r="X16" s="9">
        <v>138096</v>
      </c>
    </row>
    <row r="17" spans="1:24" x14ac:dyDescent="0.2">
      <c r="A17" s="7" t="s">
        <v>43</v>
      </c>
      <c r="B17" s="9">
        <v>2397</v>
      </c>
      <c r="C17" s="9">
        <v>2400</v>
      </c>
      <c r="D17" s="9">
        <v>2686</v>
      </c>
      <c r="E17" s="9">
        <v>2721</v>
      </c>
      <c r="F17" s="9">
        <v>2757</v>
      </c>
      <c r="G17" s="9">
        <v>2792</v>
      </c>
      <c r="H17" s="9">
        <v>2828</v>
      </c>
      <c r="I17" s="9">
        <v>2863</v>
      </c>
      <c r="J17" s="9">
        <v>2897</v>
      </c>
      <c r="K17" s="9">
        <v>2931</v>
      </c>
      <c r="L17" s="9">
        <v>2965</v>
      </c>
      <c r="M17" s="9">
        <v>2999</v>
      </c>
      <c r="N17" s="9">
        <v>3033</v>
      </c>
      <c r="O17" s="9">
        <v>3067</v>
      </c>
      <c r="P17" s="9">
        <v>3100</v>
      </c>
      <c r="Q17" s="9">
        <v>3134</v>
      </c>
      <c r="R17" s="9">
        <v>3167</v>
      </c>
      <c r="S17" s="9">
        <v>3201</v>
      </c>
      <c r="T17" s="9">
        <v>3232</v>
      </c>
      <c r="U17" s="9">
        <v>3262</v>
      </c>
      <c r="V17" s="9">
        <v>3293</v>
      </c>
      <c r="W17" s="10">
        <v>3324</v>
      </c>
      <c r="X17" s="9">
        <v>3354</v>
      </c>
    </row>
    <row r="18" spans="1:24" x14ac:dyDescent="0.2">
      <c r="A18" s="7" t="s">
        <v>42</v>
      </c>
      <c r="B18" s="9">
        <v>74698</v>
      </c>
      <c r="C18" s="9">
        <v>79100</v>
      </c>
      <c r="D18" s="9">
        <v>96565</v>
      </c>
      <c r="E18" s="9">
        <v>98137</v>
      </c>
      <c r="F18" s="9">
        <v>99709</v>
      </c>
      <c r="G18" s="9">
        <v>101281</v>
      </c>
      <c r="H18" s="9">
        <v>102853</v>
      </c>
      <c r="I18" s="9">
        <v>104425</v>
      </c>
      <c r="J18" s="9">
        <v>105724</v>
      </c>
      <c r="K18" s="9">
        <v>107024</v>
      </c>
      <c r="L18" s="9">
        <v>108323</v>
      </c>
      <c r="M18" s="9">
        <v>109623</v>
      </c>
      <c r="N18" s="9">
        <v>110922</v>
      </c>
      <c r="O18" s="9">
        <v>112208</v>
      </c>
      <c r="P18" s="9">
        <v>113493</v>
      </c>
      <c r="Q18" s="9">
        <v>114778</v>
      </c>
      <c r="R18" s="9">
        <v>116064</v>
      </c>
      <c r="S18" s="9">
        <v>117349</v>
      </c>
      <c r="T18" s="9">
        <v>118540</v>
      </c>
      <c r="U18" s="9">
        <v>119730</v>
      </c>
      <c r="V18" s="9">
        <v>120921</v>
      </c>
      <c r="W18" s="10">
        <v>122111</v>
      </c>
      <c r="X18" s="9">
        <v>123302</v>
      </c>
    </row>
    <row r="19" spans="1:24" x14ac:dyDescent="0.2">
      <c r="A19" s="7" t="s">
        <v>41</v>
      </c>
      <c r="B19" s="9">
        <v>67194</v>
      </c>
      <c r="C19" s="9">
        <v>69800</v>
      </c>
      <c r="D19" s="9">
        <v>77521</v>
      </c>
      <c r="E19" s="9">
        <v>78471</v>
      </c>
      <c r="F19" s="9">
        <v>79422</v>
      </c>
      <c r="G19" s="9">
        <v>80373</v>
      </c>
      <c r="H19" s="9">
        <v>81324</v>
      </c>
      <c r="I19" s="9">
        <v>82275</v>
      </c>
      <c r="J19" s="9">
        <v>83269</v>
      </c>
      <c r="K19" s="9">
        <v>84262</v>
      </c>
      <c r="L19" s="9">
        <v>85256</v>
      </c>
      <c r="M19" s="9">
        <v>86250</v>
      </c>
      <c r="N19" s="9">
        <v>87244</v>
      </c>
      <c r="O19" s="9">
        <v>88224</v>
      </c>
      <c r="P19" s="9">
        <v>89204</v>
      </c>
      <c r="Q19" s="9">
        <v>90185</v>
      </c>
      <c r="R19" s="9">
        <v>91165</v>
      </c>
      <c r="S19" s="9">
        <v>92145</v>
      </c>
      <c r="T19" s="9">
        <v>93050</v>
      </c>
      <c r="U19" s="9">
        <v>93955</v>
      </c>
      <c r="V19" s="9">
        <v>94860</v>
      </c>
      <c r="W19" s="10">
        <v>95765</v>
      </c>
      <c r="X19" s="9">
        <v>96670</v>
      </c>
    </row>
    <row r="20" spans="1:24" x14ac:dyDescent="0.2">
      <c r="A20" s="7" t="s">
        <v>40</v>
      </c>
      <c r="B20" s="9">
        <v>71558</v>
      </c>
      <c r="C20" s="9">
        <v>76000</v>
      </c>
      <c r="D20" s="9">
        <v>88370</v>
      </c>
      <c r="E20" s="9">
        <v>90302</v>
      </c>
      <c r="F20" s="9">
        <v>92235</v>
      </c>
      <c r="G20" s="9">
        <v>94167</v>
      </c>
      <c r="H20" s="9">
        <v>96100</v>
      </c>
      <c r="I20" s="9">
        <v>98032</v>
      </c>
      <c r="J20" s="9">
        <v>100109</v>
      </c>
      <c r="K20" s="9">
        <v>102186</v>
      </c>
      <c r="L20" s="9">
        <v>104263</v>
      </c>
      <c r="M20" s="9">
        <v>106340</v>
      </c>
      <c r="N20" s="9">
        <v>108416</v>
      </c>
      <c r="O20" s="9">
        <v>110515</v>
      </c>
      <c r="P20" s="9">
        <v>112614</v>
      </c>
      <c r="Q20" s="9">
        <v>114713</v>
      </c>
      <c r="R20" s="9">
        <v>116812</v>
      </c>
      <c r="S20" s="9">
        <v>118910</v>
      </c>
      <c r="T20" s="9">
        <v>120946</v>
      </c>
      <c r="U20" s="9">
        <v>122981</v>
      </c>
      <c r="V20" s="9">
        <v>125017</v>
      </c>
      <c r="W20" s="10">
        <v>127052</v>
      </c>
      <c r="X20" s="9">
        <v>129088</v>
      </c>
    </row>
    <row r="21" spans="1:24" x14ac:dyDescent="0.2">
      <c r="A21" s="7" t="s">
        <v>39</v>
      </c>
      <c r="B21" s="9">
        <v>26299</v>
      </c>
      <c r="C21" s="9">
        <v>27600</v>
      </c>
      <c r="D21" s="9">
        <v>33815</v>
      </c>
      <c r="E21" s="9">
        <v>34684</v>
      </c>
      <c r="F21" s="9">
        <v>35553</v>
      </c>
      <c r="G21" s="9">
        <v>36423</v>
      </c>
      <c r="H21" s="9">
        <v>37292</v>
      </c>
      <c r="I21" s="9">
        <v>38161</v>
      </c>
      <c r="J21" s="9">
        <v>39132</v>
      </c>
      <c r="K21" s="9">
        <v>40102</v>
      </c>
      <c r="L21" s="9">
        <v>41073</v>
      </c>
      <c r="M21" s="9">
        <v>42043</v>
      </c>
      <c r="N21" s="9">
        <v>43014</v>
      </c>
      <c r="O21" s="9">
        <v>44000</v>
      </c>
      <c r="P21" s="9">
        <v>44986</v>
      </c>
      <c r="Q21" s="9">
        <v>45973</v>
      </c>
      <c r="R21" s="9">
        <v>46959</v>
      </c>
      <c r="S21" s="9">
        <v>47945</v>
      </c>
      <c r="T21" s="9">
        <v>48912</v>
      </c>
      <c r="U21" s="9">
        <v>49879</v>
      </c>
      <c r="V21" s="9">
        <v>50845</v>
      </c>
      <c r="W21" s="10">
        <v>51812</v>
      </c>
      <c r="X21" s="9">
        <v>52778</v>
      </c>
    </row>
    <row r="22" spans="1:24" x14ac:dyDescent="0.2">
      <c r="A22" s="7" t="s">
        <v>38</v>
      </c>
      <c r="B22" s="9">
        <v>1737034</v>
      </c>
      <c r="C22" s="9">
        <v>1808300</v>
      </c>
      <c r="D22" s="9">
        <v>2038566</v>
      </c>
      <c r="E22" s="9">
        <v>2065882</v>
      </c>
      <c r="F22" s="9">
        <v>2093198</v>
      </c>
      <c r="G22" s="9">
        <v>2120514</v>
      </c>
      <c r="H22" s="9">
        <v>2147829</v>
      </c>
      <c r="I22" s="9">
        <v>2175145</v>
      </c>
      <c r="J22" s="9">
        <v>2201059</v>
      </c>
      <c r="K22" s="9">
        <v>2226972</v>
      </c>
      <c r="L22" s="9">
        <v>2252885</v>
      </c>
      <c r="M22" s="9">
        <v>2278799</v>
      </c>
      <c r="N22" s="9">
        <v>2304712</v>
      </c>
      <c r="O22" s="9">
        <v>2329709</v>
      </c>
      <c r="P22" s="9">
        <v>2354706</v>
      </c>
      <c r="Q22" s="9">
        <v>2379703</v>
      </c>
      <c r="R22" s="9">
        <v>2404701</v>
      </c>
      <c r="S22" s="9">
        <v>2429698</v>
      </c>
      <c r="T22" s="9">
        <v>2453380</v>
      </c>
      <c r="U22" s="9">
        <v>2477063</v>
      </c>
      <c r="V22" s="9">
        <v>2500746</v>
      </c>
      <c r="W22" s="10">
        <v>2524429</v>
      </c>
      <c r="X22" s="9">
        <v>2548112</v>
      </c>
    </row>
    <row r="23" spans="1:24" x14ac:dyDescent="0.2">
      <c r="A23" s="7" t="s">
        <v>37</v>
      </c>
      <c r="B23" s="9">
        <v>231969</v>
      </c>
      <c r="C23" s="9">
        <v>240400</v>
      </c>
      <c r="D23" s="9">
        <v>296494</v>
      </c>
      <c r="E23" s="9">
        <v>300520</v>
      </c>
      <c r="F23" s="9">
        <v>304546</v>
      </c>
      <c r="G23" s="9">
        <v>308572</v>
      </c>
      <c r="H23" s="9">
        <v>312598</v>
      </c>
      <c r="I23" s="9">
        <v>316624</v>
      </c>
      <c r="J23" s="9">
        <v>322750</v>
      </c>
      <c r="K23" s="9">
        <v>328877</v>
      </c>
      <c r="L23" s="9">
        <v>335003</v>
      </c>
      <c r="M23" s="9">
        <v>341129</v>
      </c>
      <c r="N23" s="9">
        <v>347255</v>
      </c>
      <c r="O23" s="9">
        <v>352198</v>
      </c>
      <c r="P23" s="9">
        <v>357142</v>
      </c>
      <c r="Q23" s="9">
        <v>362085</v>
      </c>
      <c r="R23" s="9">
        <v>367028</v>
      </c>
      <c r="S23" s="9">
        <v>371972</v>
      </c>
      <c r="T23" s="9">
        <v>376953</v>
      </c>
      <c r="U23" s="9">
        <v>381935</v>
      </c>
      <c r="V23" s="9">
        <v>386916</v>
      </c>
      <c r="W23" s="10">
        <v>391898</v>
      </c>
      <c r="X23" s="9">
        <v>396879</v>
      </c>
    </row>
    <row r="24" spans="1:24" x14ac:dyDescent="0.2">
      <c r="A24" s="7" t="s">
        <v>36</v>
      </c>
      <c r="B24" s="9">
        <v>33362</v>
      </c>
      <c r="C24" s="9">
        <v>36600</v>
      </c>
      <c r="D24" s="9">
        <v>43901</v>
      </c>
      <c r="E24" s="9">
        <v>44758</v>
      </c>
      <c r="F24" s="9">
        <v>45614</v>
      </c>
      <c r="G24" s="9">
        <v>46471</v>
      </c>
      <c r="H24" s="9">
        <v>47328</v>
      </c>
      <c r="I24" s="9">
        <v>48185</v>
      </c>
      <c r="J24" s="9">
        <v>49001</v>
      </c>
      <c r="K24" s="9">
        <v>49817</v>
      </c>
      <c r="L24" s="9">
        <v>50633</v>
      </c>
      <c r="M24" s="9">
        <v>51449</v>
      </c>
      <c r="N24" s="9">
        <v>52265</v>
      </c>
      <c r="O24" s="9">
        <v>53087</v>
      </c>
      <c r="P24" s="9">
        <v>53910</v>
      </c>
      <c r="Q24" s="9">
        <v>54732</v>
      </c>
      <c r="R24" s="9">
        <v>55554</v>
      </c>
      <c r="S24" s="9">
        <v>56376</v>
      </c>
      <c r="T24" s="9">
        <v>57165</v>
      </c>
      <c r="U24" s="9">
        <v>57954</v>
      </c>
      <c r="V24" s="9">
        <v>58744</v>
      </c>
      <c r="W24" s="10">
        <v>59533</v>
      </c>
      <c r="X24" s="9">
        <v>60322</v>
      </c>
    </row>
    <row r="25" spans="1:24" x14ac:dyDescent="0.2">
      <c r="A25" s="7" t="s">
        <v>35</v>
      </c>
      <c r="B25" s="9">
        <v>19161</v>
      </c>
      <c r="C25" s="9">
        <v>19500</v>
      </c>
      <c r="D25" s="9">
        <v>23847</v>
      </c>
      <c r="E25" s="9">
        <v>24282</v>
      </c>
      <c r="F25" s="9">
        <v>24717</v>
      </c>
      <c r="G25" s="9">
        <v>25152</v>
      </c>
      <c r="H25" s="9">
        <v>25587</v>
      </c>
      <c r="I25" s="9">
        <v>26022</v>
      </c>
      <c r="J25" s="9">
        <v>26475</v>
      </c>
      <c r="K25" s="9">
        <v>26928</v>
      </c>
      <c r="L25" s="9">
        <v>27381</v>
      </c>
      <c r="M25" s="9">
        <v>27834</v>
      </c>
      <c r="N25" s="9">
        <v>28287</v>
      </c>
      <c r="O25" s="9">
        <v>28741</v>
      </c>
      <c r="P25" s="9">
        <v>29195</v>
      </c>
      <c r="Q25" s="9">
        <v>29650</v>
      </c>
      <c r="R25" s="9">
        <v>30104</v>
      </c>
      <c r="S25" s="9">
        <v>30558</v>
      </c>
      <c r="T25" s="9">
        <v>30992</v>
      </c>
      <c r="U25" s="9">
        <v>31426</v>
      </c>
      <c r="V25" s="9">
        <v>31860</v>
      </c>
      <c r="W25" s="10">
        <v>32294</v>
      </c>
      <c r="X25" s="9">
        <v>32728</v>
      </c>
    </row>
    <row r="26" spans="1:24" x14ac:dyDescent="0.2">
      <c r="A26" s="7" t="s">
        <v>34</v>
      </c>
      <c r="B26" s="9">
        <v>68600</v>
      </c>
      <c r="C26" s="9">
        <v>71600</v>
      </c>
      <c r="D26" s="9">
        <v>87858</v>
      </c>
      <c r="E26" s="9">
        <v>89330</v>
      </c>
      <c r="F26" s="9">
        <v>90802</v>
      </c>
      <c r="G26" s="9">
        <v>92274</v>
      </c>
      <c r="H26" s="9">
        <v>93746</v>
      </c>
      <c r="I26" s="9">
        <v>95218</v>
      </c>
      <c r="J26" s="9">
        <v>97035</v>
      </c>
      <c r="K26" s="9">
        <v>98852</v>
      </c>
      <c r="L26" s="9">
        <v>100669</v>
      </c>
      <c r="M26" s="9">
        <v>102486</v>
      </c>
      <c r="N26" s="9">
        <v>104304</v>
      </c>
      <c r="O26" s="9">
        <v>106146</v>
      </c>
      <c r="P26" s="9">
        <v>107988</v>
      </c>
      <c r="Q26" s="9">
        <v>109830</v>
      </c>
      <c r="R26" s="9">
        <v>111672</v>
      </c>
      <c r="S26" s="9">
        <v>113513</v>
      </c>
      <c r="T26" s="9">
        <v>115299</v>
      </c>
      <c r="U26" s="9">
        <v>117085</v>
      </c>
      <c r="V26" s="9">
        <v>118871</v>
      </c>
      <c r="W26" s="10">
        <v>120657</v>
      </c>
      <c r="X26" s="9">
        <v>122443</v>
      </c>
    </row>
    <row r="27" spans="1:24" x14ac:dyDescent="0.2">
      <c r="A27" s="7" t="s">
        <v>33</v>
      </c>
      <c r="B27" s="9">
        <v>10184</v>
      </c>
      <c r="C27" s="9">
        <v>10100</v>
      </c>
      <c r="D27" s="9">
        <v>11402</v>
      </c>
      <c r="E27" s="9">
        <v>11539</v>
      </c>
      <c r="F27" s="9">
        <v>11675</v>
      </c>
      <c r="G27" s="9">
        <v>11812</v>
      </c>
      <c r="H27" s="9">
        <v>11948</v>
      </c>
      <c r="I27" s="9">
        <v>12085</v>
      </c>
      <c r="J27" s="9">
        <v>12380</v>
      </c>
      <c r="K27" s="9">
        <v>12607</v>
      </c>
      <c r="L27" s="9">
        <v>12844</v>
      </c>
      <c r="M27" s="9">
        <v>13087</v>
      </c>
      <c r="N27" s="9">
        <v>13336</v>
      </c>
      <c r="O27" s="9">
        <v>13589</v>
      </c>
      <c r="P27" s="9">
        <v>13845</v>
      </c>
      <c r="Q27" s="9">
        <v>14097</v>
      </c>
      <c r="R27" s="9">
        <v>14345</v>
      </c>
      <c r="S27" s="9">
        <v>14590</v>
      </c>
      <c r="T27" s="9">
        <v>14837</v>
      </c>
      <c r="U27" s="9">
        <v>15075</v>
      </c>
      <c r="V27" s="9">
        <v>15320</v>
      </c>
      <c r="W27" s="10">
        <v>15559</v>
      </c>
      <c r="X27" s="9">
        <v>15798</v>
      </c>
    </row>
    <row r="28" spans="1:24" x14ac:dyDescent="0.2">
      <c r="A28" s="7" t="s">
        <v>32</v>
      </c>
      <c r="B28" s="9">
        <v>49405</v>
      </c>
      <c r="C28" s="9">
        <v>51900</v>
      </c>
      <c r="D28" s="9">
        <v>66794</v>
      </c>
      <c r="E28" s="9">
        <v>68565</v>
      </c>
      <c r="F28" s="9">
        <v>70336</v>
      </c>
      <c r="G28" s="9">
        <v>72107</v>
      </c>
      <c r="H28" s="9">
        <v>73878</v>
      </c>
      <c r="I28" s="9">
        <v>75649</v>
      </c>
      <c r="J28" s="9">
        <v>77591</v>
      </c>
      <c r="K28" s="9">
        <v>79533</v>
      </c>
      <c r="L28" s="9">
        <v>81475</v>
      </c>
      <c r="M28" s="9">
        <v>83418</v>
      </c>
      <c r="N28" s="9">
        <v>85360</v>
      </c>
      <c r="O28" s="9">
        <v>87357</v>
      </c>
      <c r="P28" s="9">
        <v>89355</v>
      </c>
      <c r="Q28" s="9">
        <v>91353</v>
      </c>
      <c r="R28" s="9">
        <v>93350</v>
      </c>
      <c r="S28" s="9">
        <v>95348</v>
      </c>
      <c r="T28" s="9">
        <v>97330</v>
      </c>
      <c r="U28" s="9">
        <v>99312</v>
      </c>
      <c r="V28" s="9">
        <v>101293</v>
      </c>
      <c r="W28" s="10">
        <v>103275</v>
      </c>
      <c r="X28" s="9">
        <v>105257</v>
      </c>
    </row>
    <row r="29" spans="1:24" x14ac:dyDescent="0.2">
      <c r="A29" s="7" t="s">
        <v>31</v>
      </c>
      <c r="B29" s="9">
        <v>39564</v>
      </c>
      <c r="C29" s="9">
        <v>39600</v>
      </c>
      <c r="D29" s="9">
        <v>46414</v>
      </c>
      <c r="E29" s="9">
        <v>47131</v>
      </c>
      <c r="F29" s="9">
        <v>47848</v>
      </c>
      <c r="G29" s="9">
        <v>48566</v>
      </c>
      <c r="H29" s="9">
        <v>49283</v>
      </c>
      <c r="I29" s="9">
        <v>50000</v>
      </c>
      <c r="J29" s="9">
        <v>50608</v>
      </c>
      <c r="K29" s="9">
        <v>51216</v>
      </c>
      <c r="L29" s="9">
        <v>51824</v>
      </c>
      <c r="M29" s="9">
        <v>52432</v>
      </c>
      <c r="N29" s="9">
        <v>53040</v>
      </c>
      <c r="O29" s="9">
        <v>53639</v>
      </c>
      <c r="P29" s="9">
        <v>54238</v>
      </c>
      <c r="Q29" s="9">
        <v>54836</v>
      </c>
      <c r="R29" s="9">
        <v>55435</v>
      </c>
      <c r="S29" s="9">
        <v>56034</v>
      </c>
      <c r="T29" s="9">
        <v>56585</v>
      </c>
      <c r="U29" s="9">
        <v>57137</v>
      </c>
      <c r="V29" s="9">
        <v>57688</v>
      </c>
      <c r="W29" s="10">
        <v>58239</v>
      </c>
      <c r="X29" s="9">
        <v>58790</v>
      </c>
    </row>
    <row r="30" spans="1:24" x14ac:dyDescent="0.2">
      <c r="A30" s="7" t="s">
        <v>30</v>
      </c>
      <c r="B30" s="9">
        <v>20984</v>
      </c>
      <c r="C30" s="9">
        <v>21300</v>
      </c>
      <c r="D30" s="9">
        <v>23398</v>
      </c>
      <c r="E30" s="9">
        <v>23624</v>
      </c>
      <c r="F30" s="9">
        <v>23850</v>
      </c>
      <c r="G30" s="9">
        <v>24075</v>
      </c>
      <c r="H30" s="9">
        <v>24301</v>
      </c>
      <c r="I30" s="9">
        <v>24526</v>
      </c>
      <c r="J30" s="9">
        <v>24773</v>
      </c>
      <c r="K30" s="9">
        <v>25020</v>
      </c>
      <c r="L30" s="9">
        <v>25266</v>
      </c>
      <c r="M30" s="9">
        <v>25513</v>
      </c>
      <c r="N30" s="9">
        <v>25760</v>
      </c>
      <c r="O30" s="9">
        <v>26000</v>
      </c>
      <c r="P30" s="9">
        <v>26241</v>
      </c>
      <c r="Q30" s="9">
        <v>26481</v>
      </c>
      <c r="R30" s="9">
        <v>26722</v>
      </c>
      <c r="S30" s="9">
        <v>26962</v>
      </c>
      <c r="T30" s="9">
        <v>27178</v>
      </c>
      <c r="U30" s="9">
        <v>27394</v>
      </c>
      <c r="V30" s="9">
        <v>27610</v>
      </c>
      <c r="W30" s="10">
        <v>27826</v>
      </c>
      <c r="X30" s="9">
        <v>28043</v>
      </c>
    </row>
    <row r="31" spans="1:24" x14ac:dyDescent="0.2">
      <c r="A31" s="7" t="s">
        <v>29</v>
      </c>
      <c r="B31" s="9">
        <v>11732</v>
      </c>
      <c r="C31" s="9">
        <v>12200</v>
      </c>
      <c r="D31" s="9">
        <v>14956</v>
      </c>
      <c r="E31" s="9">
        <v>15248</v>
      </c>
      <c r="F31" s="9">
        <v>15540</v>
      </c>
      <c r="G31" s="9">
        <v>15832</v>
      </c>
      <c r="H31" s="9">
        <v>16124</v>
      </c>
      <c r="I31" s="9">
        <v>16416</v>
      </c>
      <c r="J31" s="9">
        <v>16714</v>
      </c>
      <c r="K31" s="9">
        <v>17011</v>
      </c>
      <c r="L31" s="9">
        <v>17309</v>
      </c>
      <c r="M31" s="9">
        <v>17606</v>
      </c>
      <c r="N31" s="9">
        <v>17904</v>
      </c>
      <c r="O31" s="9">
        <v>18202</v>
      </c>
      <c r="P31" s="9">
        <v>18499</v>
      </c>
      <c r="Q31" s="9">
        <v>18797</v>
      </c>
      <c r="R31" s="9">
        <v>19095</v>
      </c>
      <c r="S31" s="9">
        <v>19392</v>
      </c>
      <c r="T31" s="9">
        <v>19677</v>
      </c>
      <c r="U31" s="9">
        <v>19962</v>
      </c>
      <c r="V31" s="9">
        <v>20247</v>
      </c>
      <c r="W31" s="10">
        <v>20532</v>
      </c>
      <c r="X31" s="9">
        <v>20817</v>
      </c>
    </row>
    <row r="32" spans="1:24" s="11" customFormat="1" x14ac:dyDescent="0.2">
      <c r="A32" s="11" t="s">
        <v>28</v>
      </c>
      <c r="B32" s="14">
        <v>700820</v>
      </c>
      <c r="C32" s="14">
        <v>755900</v>
      </c>
      <c r="D32" s="12">
        <v>908225</v>
      </c>
      <c r="E32" s="12">
        <v>924897</v>
      </c>
      <c r="F32" s="12">
        <v>941568</v>
      </c>
      <c r="G32" s="12">
        <v>958239</v>
      </c>
      <c r="H32" s="12">
        <v>974910</v>
      </c>
      <c r="I32" s="12">
        <v>991582</v>
      </c>
      <c r="J32" s="12">
        <v>1005600</v>
      </c>
      <c r="K32" s="12">
        <v>1019618</v>
      </c>
      <c r="L32" s="12">
        <v>1033637</v>
      </c>
      <c r="M32" s="12">
        <v>1047655</v>
      </c>
      <c r="N32" s="12">
        <v>1061673</v>
      </c>
      <c r="O32" s="12">
        <v>1076711</v>
      </c>
      <c r="P32" s="12">
        <v>1091748</v>
      </c>
      <c r="Q32" s="12">
        <v>1106785</v>
      </c>
      <c r="R32" s="12">
        <v>1121823</v>
      </c>
      <c r="S32" s="12">
        <v>1136860</v>
      </c>
      <c r="T32" s="12">
        <v>1152153</v>
      </c>
      <c r="U32" s="12">
        <v>1167446</v>
      </c>
      <c r="V32" s="12">
        <v>1182739</v>
      </c>
      <c r="W32" s="13">
        <v>1198033</v>
      </c>
      <c r="X32" s="12">
        <v>1213326</v>
      </c>
    </row>
    <row r="33" spans="1:24" x14ac:dyDescent="0.2">
      <c r="A33" s="7" t="s">
        <v>27</v>
      </c>
      <c r="B33" s="9">
        <v>14077</v>
      </c>
      <c r="C33" s="9">
        <v>15500</v>
      </c>
      <c r="D33" s="9">
        <v>18999</v>
      </c>
      <c r="E33" s="9">
        <v>19511</v>
      </c>
      <c r="F33" s="9">
        <v>20023</v>
      </c>
      <c r="G33" s="9">
        <v>20534</v>
      </c>
      <c r="H33" s="9">
        <v>21046</v>
      </c>
      <c r="I33" s="9">
        <v>21558</v>
      </c>
      <c r="J33" s="9">
        <v>22064</v>
      </c>
      <c r="K33" s="9">
        <v>22571</v>
      </c>
      <c r="L33" s="9">
        <v>23077</v>
      </c>
      <c r="M33" s="9">
        <v>23583</v>
      </c>
      <c r="N33" s="9">
        <v>24090</v>
      </c>
      <c r="O33" s="9">
        <v>24604</v>
      </c>
      <c r="P33" s="9">
        <v>25118</v>
      </c>
      <c r="Q33" s="9">
        <v>25633</v>
      </c>
      <c r="R33" s="9">
        <v>26147</v>
      </c>
      <c r="S33" s="9">
        <v>26661</v>
      </c>
      <c r="T33" s="9">
        <v>27164</v>
      </c>
      <c r="U33" s="9">
        <v>27666</v>
      </c>
      <c r="V33" s="9">
        <v>28169</v>
      </c>
      <c r="W33" s="10">
        <v>28671</v>
      </c>
      <c r="X33" s="9">
        <v>29174</v>
      </c>
    </row>
    <row r="34" spans="1:24" x14ac:dyDescent="0.2">
      <c r="A34" s="7" t="s">
        <v>26</v>
      </c>
      <c r="B34" s="9">
        <v>102979</v>
      </c>
      <c r="C34" s="9">
        <v>110900</v>
      </c>
      <c r="D34" s="9">
        <v>137144</v>
      </c>
      <c r="E34" s="9">
        <v>140643</v>
      </c>
      <c r="F34" s="9">
        <v>144142</v>
      </c>
      <c r="G34" s="9">
        <v>147641</v>
      </c>
      <c r="H34" s="9">
        <v>151140</v>
      </c>
      <c r="I34" s="9">
        <v>154639</v>
      </c>
      <c r="J34" s="9">
        <v>159003</v>
      </c>
      <c r="K34" s="9">
        <v>163367</v>
      </c>
      <c r="L34" s="9">
        <v>167730</v>
      </c>
      <c r="M34" s="9">
        <v>172094</v>
      </c>
      <c r="N34" s="9">
        <v>176458</v>
      </c>
      <c r="O34" s="9">
        <v>180928</v>
      </c>
      <c r="P34" s="9">
        <v>185397</v>
      </c>
      <c r="Q34" s="9">
        <v>189867</v>
      </c>
      <c r="R34" s="9">
        <v>194336</v>
      </c>
      <c r="S34" s="9">
        <v>198806</v>
      </c>
      <c r="T34" s="9">
        <v>203233</v>
      </c>
      <c r="U34" s="9">
        <v>207660</v>
      </c>
      <c r="V34" s="9">
        <v>212088</v>
      </c>
      <c r="W34" s="10">
        <v>216515</v>
      </c>
      <c r="X34" s="9">
        <v>220942</v>
      </c>
    </row>
    <row r="35" spans="1:24" x14ac:dyDescent="0.2">
      <c r="A35" s="7" t="s">
        <v>25</v>
      </c>
      <c r="B35" s="9">
        <v>9872</v>
      </c>
      <c r="C35" s="9">
        <v>10300</v>
      </c>
      <c r="D35" s="9">
        <v>12376</v>
      </c>
      <c r="E35" s="9">
        <v>12584</v>
      </c>
      <c r="F35" s="9">
        <v>12792</v>
      </c>
      <c r="G35" s="9">
        <v>13000</v>
      </c>
      <c r="H35" s="9">
        <v>13208</v>
      </c>
      <c r="I35" s="9">
        <v>13416</v>
      </c>
      <c r="J35" s="9">
        <v>13624</v>
      </c>
      <c r="K35" s="9">
        <v>13831</v>
      </c>
      <c r="L35" s="9">
        <v>14038</v>
      </c>
      <c r="M35" s="9">
        <v>14246</v>
      </c>
      <c r="N35" s="9">
        <v>14453</v>
      </c>
      <c r="O35" s="9">
        <v>14660</v>
      </c>
      <c r="P35" s="9">
        <v>14867</v>
      </c>
      <c r="Q35" s="9">
        <v>15074</v>
      </c>
      <c r="R35" s="9">
        <v>15281</v>
      </c>
      <c r="S35" s="9">
        <v>15489</v>
      </c>
      <c r="T35" s="9">
        <v>15684</v>
      </c>
      <c r="U35" s="9">
        <v>15880</v>
      </c>
      <c r="V35" s="9">
        <v>16076</v>
      </c>
      <c r="W35" s="10">
        <v>16272</v>
      </c>
      <c r="X35" s="9">
        <v>16468</v>
      </c>
    </row>
    <row r="36" spans="1:24" x14ac:dyDescent="0.2">
      <c r="A36" s="7" t="s">
        <v>24</v>
      </c>
      <c r="B36" s="9">
        <v>606024</v>
      </c>
      <c r="C36" s="9">
        <v>655800</v>
      </c>
      <c r="D36" s="9">
        <v>778595</v>
      </c>
      <c r="E36" s="9">
        <v>795311</v>
      </c>
      <c r="F36" s="9">
        <v>812027</v>
      </c>
      <c r="G36" s="9">
        <v>828743</v>
      </c>
      <c r="H36" s="9">
        <v>845459</v>
      </c>
      <c r="I36" s="9">
        <v>862175</v>
      </c>
      <c r="J36" s="9">
        <v>878917</v>
      </c>
      <c r="K36" s="9">
        <v>895659</v>
      </c>
      <c r="L36" s="9">
        <v>912402</v>
      </c>
      <c r="M36" s="9">
        <v>929144</v>
      </c>
      <c r="N36" s="9">
        <v>945886</v>
      </c>
      <c r="O36" s="9">
        <v>962290</v>
      </c>
      <c r="P36" s="9">
        <v>978694</v>
      </c>
      <c r="Q36" s="9">
        <v>995098</v>
      </c>
      <c r="R36" s="9">
        <v>1011502</v>
      </c>
      <c r="S36" s="9">
        <v>1027905</v>
      </c>
      <c r="T36" s="9">
        <v>1044165</v>
      </c>
      <c r="U36" s="9">
        <v>1060424</v>
      </c>
      <c r="V36" s="9">
        <v>1076683</v>
      </c>
      <c r="W36" s="10">
        <v>1092943</v>
      </c>
      <c r="X36" s="9">
        <v>1109202</v>
      </c>
    </row>
    <row r="37" spans="1:24" x14ac:dyDescent="0.2">
      <c r="A37" s="7" t="s">
        <v>23</v>
      </c>
      <c r="B37" s="9">
        <v>417939</v>
      </c>
      <c r="C37" s="9">
        <v>436300</v>
      </c>
      <c r="D37" s="9">
        <v>509662</v>
      </c>
      <c r="E37" s="9">
        <v>518800</v>
      </c>
      <c r="F37" s="9">
        <v>527937</v>
      </c>
      <c r="G37" s="9">
        <v>537075</v>
      </c>
      <c r="H37" s="9">
        <v>546212</v>
      </c>
      <c r="I37" s="9">
        <v>555350</v>
      </c>
      <c r="J37" s="9">
        <v>565524</v>
      </c>
      <c r="K37" s="9">
        <v>575698</v>
      </c>
      <c r="L37" s="9">
        <v>585873</v>
      </c>
      <c r="M37" s="9">
        <v>596047</v>
      </c>
      <c r="N37" s="9">
        <v>606221</v>
      </c>
      <c r="O37" s="9">
        <v>616443</v>
      </c>
      <c r="P37" s="9">
        <v>626665</v>
      </c>
      <c r="Q37" s="9">
        <v>636887</v>
      </c>
      <c r="R37" s="9">
        <v>647109</v>
      </c>
      <c r="S37" s="9">
        <v>657331</v>
      </c>
      <c r="T37" s="9">
        <v>667138</v>
      </c>
      <c r="U37" s="9">
        <v>676946</v>
      </c>
      <c r="V37" s="9">
        <v>686753</v>
      </c>
      <c r="W37" s="10">
        <v>696561</v>
      </c>
      <c r="X37" s="9">
        <v>706368</v>
      </c>
    </row>
    <row r="38" spans="1:24" x14ac:dyDescent="0.2">
      <c r="A38" s="7" t="s">
        <v>22</v>
      </c>
      <c r="B38" s="9">
        <v>40066</v>
      </c>
      <c r="C38" s="9">
        <v>41200</v>
      </c>
      <c r="D38" s="9">
        <v>54075</v>
      </c>
      <c r="E38" s="9">
        <v>55753</v>
      </c>
      <c r="F38" s="9">
        <v>57430</v>
      </c>
      <c r="G38" s="9">
        <v>59108</v>
      </c>
      <c r="H38" s="9">
        <v>60786</v>
      </c>
      <c r="I38" s="9">
        <v>62463</v>
      </c>
      <c r="J38" s="9">
        <v>64379</v>
      </c>
      <c r="K38" s="9">
        <v>66295</v>
      </c>
      <c r="L38" s="9">
        <v>68210</v>
      </c>
      <c r="M38" s="9">
        <v>70126</v>
      </c>
      <c r="N38" s="9">
        <v>72042</v>
      </c>
      <c r="O38" s="9">
        <v>74016</v>
      </c>
      <c r="P38" s="9">
        <v>75991</v>
      </c>
      <c r="Q38" s="9">
        <v>77966</v>
      </c>
      <c r="R38" s="9">
        <v>79941</v>
      </c>
      <c r="S38" s="9">
        <v>81916</v>
      </c>
      <c r="T38" s="9">
        <v>83888</v>
      </c>
      <c r="U38" s="9">
        <v>85860</v>
      </c>
      <c r="V38" s="9">
        <v>87832</v>
      </c>
      <c r="W38" s="10">
        <v>89804</v>
      </c>
      <c r="X38" s="9">
        <v>91776</v>
      </c>
    </row>
    <row r="39" spans="1:24" x14ac:dyDescent="0.2">
      <c r="A39" s="7" t="s">
        <v>21</v>
      </c>
      <c r="B39" s="9">
        <v>207355</v>
      </c>
      <c r="C39" s="9">
        <v>224100</v>
      </c>
      <c r="D39" s="9">
        <v>285054</v>
      </c>
      <c r="E39" s="9">
        <v>292920</v>
      </c>
      <c r="F39" s="9">
        <v>300787</v>
      </c>
      <c r="G39" s="9">
        <v>308653</v>
      </c>
      <c r="H39" s="9">
        <v>316519</v>
      </c>
      <c r="I39" s="9">
        <v>324385</v>
      </c>
      <c r="J39" s="9">
        <v>331455</v>
      </c>
      <c r="K39" s="9">
        <v>338525</v>
      </c>
      <c r="L39" s="9">
        <v>345596</v>
      </c>
      <c r="M39" s="9">
        <v>352666</v>
      </c>
      <c r="N39" s="9">
        <v>359736</v>
      </c>
      <c r="O39" s="9">
        <v>366835</v>
      </c>
      <c r="P39" s="9">
        <v>373934</v>
      </c>
      <c r="Q39" s="9">
        <v>381034</v>
      </c>
      <c r="R39" s="9">
        <v>388133</v>
      </c>
      <c r="S39" s="9">
        <v>395232</v>
      </c>
      <c r="T39" s="9">
        <v>402078</v>
      </c>
      <c r="U39" s="9">
        <v>408925</v>
      </c>
      <c r="V39" s="9">
        <v>415771</v>
      </c>
      <c r="W39" s="10">
        <v>422617</v>
      </c>
      <c r="X39" s="9">
        <v>429463</v>
      </c>
    </row>
    <row r="40" spans="1:24" x14ac:dyDescent="0.2">
      <c r="A40" s="7" t="s">
        <v>20</v>
      </c>
      <c r="B40" s="9">
        <v>3824</v>
      </c>
      <c r="C40" s="9">
        <v>3900</v>
      </c>
      <c r="D40" s="9">
        <v>4531</v>
      </c>
      <c r="E40" s="9">
        <v>4601</v>
      </c>
      <c r="F40" s="9">
        <v>4670</v>
      </c>
      <c r="G40" s="9">
        <v>4739</v>
      </c>
      <c r="H40" s="9">
        <v>4808</v>
      </c>
      <c r="I40" s="9">
        <v>4878</v>
      </c>
      <c r="J40" s="9">
        <v>4973</v>
      </c>
      <c r="K40" s="9">
        <v>5069</v>
      </c>
      <c r="L40" s="9">
        <v>5165</v>
      </c>
      <c r="M40" s="9">
        <v>5261</v>
      </c>
      <c r="N40" s="9">
        <v>5356</v>
      </c>
      <c r="O40" s="9">
        <v>5453</v>
      </c>
      <c r="P40" s="9">
        <v>5549</v>
      </c>
      <c r="Q40" s="9">
        <v>5645</v>
      </c>
      <c r="R40" s="9">
        <v>5741</v>
      </c>
      <c r="S40" s="9">
        <v>5837</v>
      </c>
      <c r="T40" s="9">
        <v>5930</v>
      </c>
      <c r="U40" s="9">
        <v>6022</v>
      </c>
      <c r="V40" s="9">
        <v>6115</v>
      </c>
      <c r="W40" s="10">
        <v>6207</v>
      </c>
      <c r="X40" s="9">
        <v>6300</v>
      </c>
    </row>
    <row r="41" spans="1:24" x14ac:dyDescent="0.2">
      <c r="A41" s="7" t="s">
        <v>19</v>
      </c>
      <c r="B41" s="9">
        <v>55180</v>
      </c>
      <c r="C41" s="9">
        <v>57500</v>
      </c>
      <c r="D41" s="9">
        <v>67046</v>
      </c>
      <c r="E41" s="9">
        <v>67874</v>
      </c>
      <c r="F41" s="9">
        <v>68703</v>
      </c>
      <c r="G41" s="9">
        <v>69532</v>
      </c>
      <c r="H41" s="9">
        <v>70361</v>
      </c>
      <c r="I41" s="9">
        <v>71189</v>
      </c>
      <c r="J41" s="9">
        <v>72077</v>
      </c>
      <c r="K41" s="9">
        <v>72965</v>
      </c>
      <c r="L41" s="9">
        <v>73853</v>
      </c>
      <c r="M41" s="9">
        <v>74741</v>
      </c>
      <c r="N41" s="9">
        <v>75629</v>
      </c>
      <c r="O41" s="9">
        <v>76506</v>
      </c>
      <c r="P41" s="9">
        <v>77383</v>
      </c>
      <c r="Q41" s="9">
        <v>78260</v>
      </c>
      <c r="R41" s="9">
        <v>79137</v>
      </c>
      <c r="S41" s="9">
        <v>80015</v>
      </c>
      <c r="T41" s="9">
        <v>80826</v>
      </c>
      <c r="U41" s="9">
        <v>81638</v>
      </c>
      <c r="V41" s="9">
        <v>82450</v>
      </c>
      <c r="W41" s="10">
        <v>83262</v>
      </c>
      <c r="X41" s="9">
        <v>84073</v>
      </c>
    </row>
    <row r="42" spans="1:24" x14ac:dyDescent="0.2">
      <c r="A42" s="7" t="s">
        <v>18</v>
      </c>
      <c r="B42" s="9">
        <v>166814</v>
      </c>
      <c r="C42" s="9">
        <v>180800</v>
      </c>
      <c r="D42" s="9">
        <v>217152</v>
      </c>
      <c r="E42" s="9">
        <v>222403</v>
      </c>
      <c r="F42" s="9">
        <v>227654</v>
      </c>
      <c r="G42" s="9">
        <v>232904</v>
      </c>
      <c r="H42" s="9">
        <v>238155</v>
      </c>
      <c r="I42" s="9">
        <v>243405</v>
      </c>
      <c r="J42" s="9">
        <v>248776</v>
      </c>
      <c r="K42" s="9">
        <v>254147</v>
      </c>
      <c r="L42" s="9">
        <v>259518</v>
      </c>
      <c r="M42" s="9">
        <v>264889</v>
      </c>
      <c r="N42" s="9">
        <v>270259</v>
      </c>
      <c r="O42" s="9">
        <v>275715</v>
      </c>
      <c r="P42" s="9">
        <v>281170</v>
      </c>
      <c r="Q42" s="9">
        <v>286625</v>
      </c>
      <c r="R42" s="9">
        <v>292080</v>
      </c>
      <c r="S42" s="9">
        <v>297535</v>
      </c>
      <c r="T42" s="9">
        <v>302859</v>
      </c>
      <c r="U42" s="9">
        <v>308183</v>
      </c>
      <c r="V42" s="9">
        <v>313508</v>
      </c>
      <c r="W42" s="10">
        <v>318832</v>
      </c>
      <c r="X42" s="9">
        <v>324156</v>
      </c>
    </row>
    <row r="43" spans="1:24" x14ac:dyDescent="0.2">
      <c r="A43" s="7" t="s">
        <v>17</v>
      </c>
      <c r="B43" s="9">
        <v>40740</v>
      </c>
      <c r="C43" s="9">
        <v>42400</v>
      </c>
      <c r="D43" s="9">
        <v>51349</v>
      </c>
      <c r="E43" s="9">
        <v>52090</v>
      </c>
      <c r="F43" s="9">
        <v>52831</v>
      </c>
      <c r="G43" s="9">
        <v>53572</v>
      </c>
      <c r="H43" s="9">
        <v>54313</v>
      </c>
      <c r="I43" s="9">
        <v>55054</v>
      </c>
      <c r="J43" s="9">
        <v>55867</v>
      </c>
      <c r="K43" s="9">
        <v>56680</v>
      </c>
      <c r="L43" s="9">
        <v>57493</v>
      </c>
      <c r="M43" s="9">
        <v>58305</v>
      </c>
      <c r="N43" s="9">
        <v>59118</v>
      </c>
      <c r="O43" s="9">
        <v>59931</v>
      </c>
      <c r="P43" s="9">
        <v>60745</v>
      </c>
      <c r="Q43" s="9">
        <v>61558</v>
      </c>
      <c r="R43" s="9">
        <v>62371</v>
      </c>
      <c r="S43" s="9">
        <v>63184</v>
      </c>
      <c r="T43" s="9">
        <v>63954</v>
      </c>
      <c r="U43" s="9">
        <v>64723</v>
      </c>
      <c r="V43" s="9">
        <v>65493</v>
      </c>
      <c r="W43" s="10">
        <v>66262</v>
      </c>
      <c r="X43" s="9">
        <v>67031</v>
      </c>
    </row>
    <row r="44" spans="1:24" x14ac:dyDescent="0.2">
      <c r="A44" s="7" t="s">
        <v>16</v>
      </c>
      <c r="B44" s="9">
        <v>222581</v>
      </c>
      <c r="C44" s="9">
        <v>229300</v>
      </c>
      <c r="D44" s="9">
        <v>259917</v>
      </c>
      <c r="E44" s="9">
        <v>264703</v>
      </c>
      <c r="F44" s="9">
        <v>269489</v>
      </c>
      <c r="G44" s="9">
        <v>274275</v>
      </c>
      <c r="H44" s="9">
        <v>279061</v>
      </c>
      <c r="I44" s="9">
        <v>283847</v>
      </c>
      <c r="J44" s="9">
        <v>288501</v>
      </c>
      <c r="K44" s="9">
        <v>293154</v>
      </c>
      <c r="L44" s="9">
        <v>297808</v>
      </c>
      <c r="M44" s="9">
        <v>302462</v>
      </c>
      <c r="N44" s="9">
        <v>307116</v>
      </c>
      <c r="O44" s="9">
        <v>311767</v>
      </c>
      <c r="P44" s="9">
        <v>316419</v>
      </c>
      <c r="Q44" s="9">
        <v>321070</v>
      </c>
      <c r="R44" s="9">
        <v>325722</v>
      </c>
      <c r="S44" s="9">
        <v>330373</v>
      </c>
      <c r="T44" s="9">
        <v>334793</v>
      </c>
      <c r="U44" s="9">
        <v>339214</v>
      </c>
      <c r="V44" s="9">
        <v>343635</v>
      </c>
      <c r="W44" s="10">
        <v>348055</v>
      </c>
      <c r="X44" s="9">
        <v>352476</v>
      </c>
    </row>
    <row r="45" spans="1:24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0"/>
      <c r="X45" s="9"/>
    </row>
    <row r="46" spans="1:24" x14ac:dyDescent="0.2">
      <c r="A46" s="188" t="s">
        <v>15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</row>
    <row r="47" spans="1:24" x14ac:dyDescent="0.2">
      <c r="A47" s="188" t="s">
        <v>14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  <c r="X47" s="188"/>
    </row>
    <row r="48" spans="1:24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2:26" s="30" customFormat="1" x14ac:dyDescent="0.2">
      <c r="B49" s="31"/>
      <c r="C49" s="31">
        <f t="shared" ref="C49:X49" si="0">(C32-B32)/B32</f>
        <v>7.8593647441568451E-2</v>
      </c>
      <c r="D49" s="31">
        <f t="shared" si="0"/>
        <v>0.20151475062839</v>
      </c>
      <c r="E49" s="31">
        <f t="shared" si="0"/>
        <v>1.8356684742216963E-2</v>
      </c>
      <c r="F49" s="31">
        <f t="shared" si="0"/>
        <v>1.8024709778494255E-2</v>
      </c>
      <c r="G49" s="31">
        <f t="shared" si="0"/>
        <v>1.7705571982055465E-2</v>
      </c>
      <c r="H49" s="31">
        <f t="shared" si="0"/>
        <v>1.7397538609887513E-2</v>
      </c>
      <c r="I49" s="31">
        <f t="shared" si="0"/>
        <v>1.7101065739401587E-2</v>
      </c>
      <c r="J49" s="31">
        <f t="shared" si="0"/>
        <v>1.413700531070552E-2</v>
      </c>
      <c r="K49" s="31">
        <f t="shared" si="0"/>
        <v>1.3939936356404137E-2</v>
      </c>
      <c r="L49" s="31">
        <f t="shared" si="0"/>
        <v>1.374926688230298E-2</v>
      </c>
      <c r="M49" s="31">
        <f t="shared" si="0"/>
        <v>1.3561821026143608E-2</v>
      </c>
      <c r="N49" s="31">
        <f t="shared" si="0"/>
        <v>1.3380358992225495E-2</v>
      </c>
      <c r="O49" s="31">
        <f t="shared" si="0"/>
        <v>1.4164436695668064E-2</v>
      </c>
      <c r="P49" s="31">
        <f t="shared" si="0"/>
        <v>1.3965678812606169E-2</v>
      </c>
      <c r="Q49" s="31">
        <f t="shared" si="0"/>
        <v>1.3773324979757234E-2</v>
      </c>
      <c r="R49" s="31">
        <f t="shared" si="0"/>
        <v>1.3587101379219993E-2</v>
      </c>
      <c r="S49" s="31">
        <f t="shared" si="0"/>
        <v>1.3404075330956845E-2</v>
      </c>
      <c r="T49" s="31">
        <f t="shared" si="0"/>
        <v>1.3451964182045282E-2</v>
      </c>
      <c r="U49" s="31">
        <f t="shared" si="0"/>
        <v>1.3273410736247703E-2</v>
      </c>
      <c r="V49" s="31">
        <f t="shared" si="0"/>
        <v>1.3099535224755578E-2</v>
      </c>
      <c r="W49" s="31">
        <f t="shared" si="0"/>
        <v>1.2931001683380695E-2</v>
      </c>
      <c r="X49" s="31">
        <f t="shared" si="0"/>
        <v>1.2765090777966883E-2</v>
      </c>
      <c r="Z49" s="32">
        <f>AVERAGE(C49:X49)</f>
        <v>2.5994453513290928E-2</v>
      </c>
    </row>
    <row r="50" spans="2:26" x14ac:dyDescent="0.2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</row>
    <row r="51" spans="2:26" x14ac:dyDescent="0.2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</row>
    <row r="52" spans="2:26" x14ac:dyDescent="0.2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</row>
    <row r="53" spans="2:26" x14ac:dyDescent="0.2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</row>
    <row r="54" spans="2:26" x14ac:dyDescent="0.2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</row>
  </sheetData>
  <mergeCells count="4">
    <mergeCell ref="A1:X1"/>
    <mergeCell ref="A2:X2"/>
    <mergeCell ref="A46:X46"/>
    <mergeCell ref="A47:X47"/>
  </mergeCells>
  <pageMargins left="1" right="1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Normal="100" workbookViewId="0">
      <selection activeCell="D7" sqref="D7"/>
    </sheetView>
  </sheetViews>
  <sheetFormatPr defaultRowHeight="14.4" x14ac:dyDescent="0.3"/>
  <cols>
    <col min="1" max="1" width="3.77734375" customWidth="1"/>
    <col min="5" max="5" width="10" bestFit="1" customWidth="1"/>
    <col min="6" max="6" width="11" bestFit="1" customWidth="1"/>
    <col min="7" max="7" width="11" customWidth="1"/>
    <col min="8" max="8" width="10" bestFit="1" customWidth="1"/>
    <col min="9" max="9" width="9.5546875" bestFit="1" customWidth="1"/>
    <col min="10" max="10" width="13.21875" bestFit="1" customWidth="1"/>
    <col min="11" max="11" width="10.5546875" bestFit="1" customWidth="1"/>
    <col min="12" max="12" width="11.88671875" customWidth="1"/>
    <col min="13" max="13" width="10.21875" customWidth="1"/>
    <col min="14" max="14" width="11.109375" customWidth="1"/>
    <col min="15" max="15" width="5.77734375" customWidth="1"/>
  </cols>
  <sheetData>
    <row r="1" spans="1:13" ht="15.6" x14ac:dyDescent="0.3">
      <c r="A1" s="71" t="str">
        <f>+'Rate Projection'!A1</f>
        <v>Rainier View Water Co., Inc.</v>
      </c>
    </row>
    <row r="2" spans="1:13" ht="15.6" x14ac:dyDescent="0.3">
      <c r="A2" s="71" t="str">
        <f>+'Rate Projection'!A2</f>
        <v>UW-110054</v>
      </c>
    </row>
    <row r="3" spans="1:13" ht="15.6" x14ac:dyDescent="0.3">
      <c r="A3" s="71" t="s">
        <v>155</v>
      </c>
    </row>
    <row r="4" spans="1:13" ht="15.6" x14ac:dyDescent="0.3">
      <c r="A4" s="71"/>
    </row>
    <row r="5" spans="1:13" x14ac:dyDescent="0.3">
      <c r="D5" s="70"/>
      <c r="E5" s="70"/>
      <c r="F5" s="70"/>
      <c r="G5" s="70"/>
      <c r="H5" s="70"/>
      <c r="J5" s="102">
        <v>1470000</v>
      </c>
      <c r="K5" t="s">
        <v>128</v>
      </c>
    </row>
    <row r="6" spans="1:13" x14ac:dyDescent="0.3">
      <c r="D6" s="70"/>
      <c r="E6" s="70"/>
      <c r="F6" s="70"/>
      <c r="G6" s="70"/>
      <c r="H6" s="70"/>
      <c r="J6" s="103">
        <f>+J5/7.48</f>
        <v>196524.06417112297</v>
      </c>
      <c r="K6" t="s">
        <v>129</v>
      </c>
    </row>
    <row r="7" spans="1:13" x14ac:dyDescent="0.3">
      <c r="D7" s="70"/>
      <c r="E7" s="70"/>
      <c r="F7" s="70"/>
      <c r="G7" s="70"/>
      <c r="H7" s="70"/>
      <c r="J7" s="102">
        <v>30</v>
      </c>
      <c r="K7" t="s">
        <v>130</v>
      </c>
    </row>
    <row r="8" spans="1:13" x14ac:dyDescent="0.3">
      <c r="D8" s="70"/>
      <c r="E8" s="70"/>
      <c r="F8" s="19" t="s">
        <v>164</v>
      </c>
      <c r="G8" s="70"/>
      <c r="H8" s="70"/>
      <c r="J8" s="104">
        <f>+J7*J6</f>
        <v>5895721.9251336893</v>
      </c>
      <c r="K8" s="105" t="s">
        <v>131</v>
      </c>
    </row>
    <row r="9" spans="1:13" x14ac:dyDescent="0.3">
      <c r="D9" s="70"/>
      <c r="E9" s="70"/>
      <c r="F9" s="70"/>
      <c r="G9" s="70"/>
      <c r="H9" s="70"/>
    </row>
    <row r="10" spans="1:13" x14ac:dyDescent="0.3">
      <c r="D10" s="106">
        <v>2007</v>
      </c>
      <c r="E10" s="107">
        <v>2008</v>
      </c>
      <c r="F10" s="107">
        <v>2009</v>
      </c>
      <c r="G10" s="107">
        <v>2010</v>
      </c>
      <c r="H10" s="108">
        <v>2011</v>
      </c>
      <c r="J10" s="109" t="s">
        <v>132</v>
      </c>
      <c r="K10" s="110" t="s">
        <v>124</v>
      </c>
      <c r="M10" s="75"/>
    </row>
    <row r="11" spans="1:13" x14ac:dyDescent="0.3">
      <c r="B11" t="s">
        <v>133</v>
      </c>
      <c r="D11" s="102"/>
      <c r="E11" s="102"/>
      <c r="F11" s="102"/>
      <c r="G11" s="102"/>
      <c r="H11" s="102">
        <v>29900</v>
      </c>
      <c r="J11" s="111">
        <f>SUM(D11:I11)</f>
        <v>29900</v>
      </c>
      <c r="K11" s="111">
        <f>AVERAGE(D11:H11)</f>
        <v>29900</v>
      </c>
    </row>
    <row r="12" spans="1:13" x14ac:dyDescent="0.3">
      <c r="B12" t="s">
        <v>134</v>
      </c>
      <c r="D12" s="102"/>
      <c r="E12" s="102">
        <v>3740</v>
      </c>
      <c r="F12" s="102"/>
      <c r="G12" s="102"/>
      <c r="H12" s="102">
        <v>35251</v>
      </c>
      <c r="J12" s="111">
        <f t="shared" ref="J12:J23" si="0">SUM(D12:I12)</f>
        <v>38991</v>
      </c>
      <c r="K12" s="111">
        <f t="shared" ref="K12:K23" si="1">AVERAGE(D12:H12)</f>
        <v>19495.5</v>
      </c>
    </row>
    <row r="13" spans="1:13" x14ac:dyDescent="0.3">
      <c r="B13" t="s">
        <v>135</v>
      </c>
      <c r="D13" s="102"/>
      <c r="E13" s="102"/>
      <c r="F13" s="102"/>
      <c r="G13" s="102"/>
      <c r="H13" s="102">
        <v>3740</v>
      </c>
      <c r="J13" s="111">
        <f t="shared" si="0"/>
        <v>3740</v>
      </c>
      <c r="K13" s="111">
        <f t="shared" si="1"/>
        <v>3740</v>
      </c>
    </row>
    <row r="14" spans="1:13" x14ac:dyDescent="0.3">
      <c r="B14" t="s">
        <v>136</v>
      </c>
      <c r="D14" s="102"/>
      <c r="E14" s="102"/>
      <c r="F14" s="102"/>
      <c r="G14" s="102"/>
      <c r="H14" s="102">
        <v>0</v>
      </c>
      <c r="J14" s="111">
        <f t="shared" si="0"/>
        <v>0</v>
      </c>
      <c r="K14" s="111">
        <f t="shared" si="1"/>
        <v>0</v>
      </c>
    </row>
    <row r="15" spans="1:13" x14ac:dyDescent="0.3">
      <c r="B15" t="s">
        <v>137</v>
      </c>
      <c r="D15" s="102"/>
      <c r="E15" s="102">
        <v>3740</v>
      </c>
      <c r="F15" s="102">
        <v>986612</v>
      </c>
      <c r="G15" s="102"/>
      <c r="H15" s="102"/>
      <c r="J15" s="111">
        <f t="shared" si="0"/>
        <v>990352</v>
      </c>
      <c r="K15" s="111">
        <f t="shared" si="1"/>
        <v>495176</v>
      </c>
    </row>
    <row r="16" spans="1:13" x14ac:dyDescent="0.3">
      <c r="B16" t="s">
        <v>138</v>
      </c>
      <c r="D16" s="103"/>
      <c r="E16" s="103"/>
      <c r="F16" s="103">
        <v>1271600</v>
      </c>
      <c r="G16" s="103"/>
      <c r="H16" s="103">
        <v>59832</v>
      </c>
      <c r="J16" s="75">
        <f t="shared" si="0"/>
        <v>1331432</v>
      </c>
      <c r="K16" s="75">
        <f t="shared" si="1"/>
        <v>665716</v>
      </c>
    </row>
    <row r="17" spans="2:14" x14ac:dyDescent="0.3">
      <c r="B17" t="s">
        <v>139</v>
      </c>
      <c r="D17" s="103">
        <v>52500</v>
      </c>
      <c r="E17" s="103">
        <v>1077120</v>
      </c>
      <c r="F17" s="104">
        <v>6589880</v>
      </c>
      <c r="G17" s="103">
        <v>59840</v>
      </c>
      <c r="H17" s="103"/>
      <c r="J17" s="75">
        <f t="shared" si="0"/>
        <v>7779340</v>
      </c>
      <c r="K17" s="75">
        <f t="shared" si="1"/>
        <v>1944835</v>
      </c>
    </row>
    <row r="18" spans="2:14" x14ac:dyDescent="0.3">
      <c r="B18" t="s">
        <v>140</v>
      </c>
      <c r="D18" s="103"/>
      <c r="E18" s="103">
        <v>4065380</v>
      </c>
      <c r="F18" s="103">
        <v>5270348</v>
      </c>
      <c r="G18" s="103">
        <v>617100</v>
      </c>
      <c r="H18" s="103">
        <v>5654880</v>
      </c>
      <c r="J18" s="75">
        <f t="shared" si="0"/>
        <v>15607708</v>
      </c>
      <c r="K18" s="75">
        <f t="shared" si="1"/>
        <v>3901927</v>
      </c>
    </row>
    <row r="19" spans="2:14" x14ac:dyDescent="0.3">
      <c r="B19" t="s">
        <v>141</v>
      </c>
      <c r="D19" s="103"/>
      <c r="E19" s="103">
        <v>983620</v>
      </c>
      <c r="F19" s="103">
        <v>901340</v>
      </c>
      <c r="G19" s="103">
        <v>837760</v>
      </c>
      <c r="H19" s="103"/>
      <c r="J19" s="75">
        <f t="shared" si="0"/>
        <v>2722720</v>
      </c>
      <c r="K19" s="75">
        <f t="shared" si="1"/>
        <v>907573.33333333337</v>
      </c>
    </row>
    <row r="20" spans="2:14" x14ac:dyDescent="0.3">
      <c r="B20" t="s">
        <v>142</v>
      </c>
      <c r="D20" s="102"/>
      <c r="E20" s="102"/>
      <c r="F20" s="102"/>
      <c r="G20" s="102">
        <v>16830</v>
      </c>
      <c r="H20" s="102"/>
      <c r="J20" s="111">
        <f t="shared" si="0"/>
        <v>16830</v>
      </c>
      <c r="K20" s="111">
        <f t="shared" si="1"/>
        <v>16830</v>
      </c>
    </row>
    <row r="21" spans="2:14" x14ac:dyDescent="0.3">
      <c r="B21" t="s">
        <v>143</v>
      </c>
      <c r="D21" s="102"/>
      <c r="E21" s="102">
        <v>3800</v>
      </c>
      <c r="F21" s="102"/>
      <c r="G21" s="102">
        <v>37400</v>
      </c>
      <c r="H21" s="102"/>
      <c r="J21" s="111">
        <f t="shared" si="0"/>
        <v>41200</v>
      </c>
      <c r="K21" s="111">
        <f t="shared" si="1"/>
        <v>20600</v>
      </c>
    </row>
    <row r="22" spans="2:14" x14ac:dyDescent="0.3">
      <c r="B22" t="s">
        <v>144</v>
      </c>
      <c r="D22" s="102"/>
      <c r="E22" s="102"/>
      <c r="F22" s="102"/>
      <c r="G22" s="102"/>
      <c r="H22" s="102">
        <v>0</v>
      </c>
      <c r="J22" s="111">
        <f t="shared" si="0"/>
        <v>0</v>
      </c>
      <c r="K22" s="111">
        <f t="shared" si="1"/>
        <v>0</v>
      </c>
    </row>
    <row r="23" spans="2:14" x14ac:dyDescent="0.3">
      <c r="B23" t="s">
        <v>145</v>
      </c>
      <c r="D23" s="112">
        <f>SUM(D11:D22)</f>
        <v>52500</v>
      </c>
      <c r="E23" s="112">
        <f t="shared" ref="E23:H23" si="2">SUM(E11:E22)</f>
        <v>6137400</v>
      </c>
      <c r="F23" s="112">
        <f t="shared" si="2"/>
        <v>15019780</v>
      </c>
      <c r="G23" s="112">
        <f t="shared" si="2"/>
        <v>1568930</v>
      </c>
      <c r="H23" s="112">
        <f t="shared" si="2"/>
        <v>5783603</v>
      </c>
      <c r="J23" s="112">
        <f t="shared" si="0"/>
        <v>28562213</v>
      </c>
      <c r="K23" s="112">
        <f t="shared" si="1"/>
        <v>5712442.5999999996</v>
      </c>
    </row>
    <row r="24" spans="2:14" x14ac:dyDescent="0.3">
      <c r="D24" s="70"/>
      <c r="E24" s="70"/>
      <c r="F24" s="70"/>
      <c r="G24" s="70"/>
      <c r="H24" s="70"/>
    </row>
    <row r="25" spans="2:14" x14ac:dyDescent="0.3">
      <c r="D25" s="70"/>
      <c r="E25" s="70"/>
      <c r="F25" s="70"/>
      <c r="G25" s="70"/>
      <c r="H25" s="70"/>
      <c r="J25" s="113" t="s">
        <v>146</v>
      </c>
      <c r="K25" s="75">
        <f>SUM(K14:K19)</f>
        <v>7915227.333333333</v>
      </c>
      <c r="L25" s="75">
        <f>+K25/100</f>
        <v>79152.273333333331</v>
      </c>
    </row>
    <row r="26" spans="2:14" x14ac:dyDescent="0.3">
      <c r="D26" s="70"/>
      <c r="E26" s="70"/>
      <c r="F26" s="70"/>
      <c r="G26" s="70"/>
      <c r="H26" s="70"/>
      <c r="J26" s="114" t="s">
        <v>157</v>
      </c>
      <c r="K26" s="111">
        <f>SUM(K11:K13)+SUM(K20:K22)</f>
        <v>90565.5</v>
      </c>
      <c r="L26" s="75">
        <f t="shared" ref="L26" si="3">+K26/100</f>
        <v>905.65499999999997</v>
      </c>
    </row>
    <row r="27" spans="2:14" x14ac:dyDescent="0.3">
      <c r="D27" s="70"/>
      <c r="E27" s="70"/>
      <c r="F27" s="70"/>
      <c r="G27" s="70"/>
      <c r="H27" s="70"/>
      <c r="K27" s="63">
        <f>SUM(K25:K26)</f>
        <v>8005792.833333333</v>
      </c>
      <c r="L27" s="151">
        <f>+K27/100</f>
        <v>80057.92833333333</v>
      </c>
    </row>
    <row r="28" spans="2:14" x14ac:dyDescent="0.3">
      <c r="D28" s="70"/>
      <c r="E28" s="70"/>
      <c r="F28" s="70"/>
      <c r="G28" s="70"/>
      <c r="H28" s="70"/>
      <c r="K28" s="77"/>
      <c r="L28" s="152" t="s">
        <v>167</v>
      </c>
    </row>
    <row r="29" spans="2:14" x14ac:dyDescent="0.3">
      <c r="D29" s="70"/>
      <c r="E29" s="70"/>
      <c r="F29" s="70"/>
      <c r="G29" s="70"/>
      <c r="H29" s="70"/>
      <c r="K29" s="77"/>
      <c r="L29" s="152"/>
    </row>
    <row r="30" spans="2:14" s="139" customFormat="1" ht="6.6" customHeight="1" x14ac:dyDescent="0.3">
      <c r="D30" s="140"/>
      <c r="E30" s="140"/>
      <c r="F30" s="140"/>
      <c r="G30" s="140"/>
      <c r="H30" s="140"/>
    </row>
    <row r="31" spans="2:14" ht="15.6" x14ac:dyDescent="0.3">
      <c r="D31" s="71" t="s">
        <v>147</v>
      </c>
      <c r="H31" s="70"/>
    </row>
    <row r="32" spans="2:14" ht="31.2" x14ac:dyDescent="0.3">
      <c r="D32" s="115">
        <v>2009</v>
      </c>
      <c r="E32" s="115">
        <v>2010</v>
      </c>
      <c r="F32" s="115">
        <v>2011</v>
      </c>
      <c r="G32" s="115">
        <v>2012</v>
      </c>
      <c r="H32" s="116" t="s">
        <v>148</v>
      </c>
      <c r="I32" s="115">
        <v>2013</v>
      </c>
      <c r="J32" s="115">
        <v>2014</v>
      </c>
      <c r="K32" s="115">
        <v>2015</v>
      </c>
      <c r="L32" s="115">
        <v>2016</v>
      </c>
      <c r="M32" s="115">
        <v>2017</v>
      </c>
      <c r="N32" s="115">
        <v>2018</v>
      </c>
    </row>
    <row r="33" spans="2:14" ht="15.6" x14ac:dyDescent="0.3">
      <c r="B33" s="71" t="s">
        <v>126</v>
      </c>
      <c r="D33" s="117">
        <v>1.667</v>
      </c>
      <c r="E33" s="117">
        <v>1.849</v>
      </c>
      <c r="F33" s="117">
        <v>2.1339999999999999</v>
      </c>
      <c r="G33" s="117">
        <v>2.48</v>
      </c>
      <c r="H33" s="118"/>
      <c r="I33" s="119">
        <f>+H34*G33+G33</f>
        <v>2.7789640000000002</v>
      </c>
      <c r="J33" s="119">
        <f>+$H$34*I33+I33</f>
        <v>3.1139681102000001</v>
      </c>
      <c r="K33" s="119">
        <f>+$H$34*J33+J33</f>
        <v>3.48935696588461</v>
      </c>
      <c r="L33" s="119">
        <f>+$H$34*K33+K33</f>
        <v>3.9099989481219999</v>
      </c>
      <c r="M33" s="119">
        <f>+$H$34*L33+L33</f>
        <v>4.3813493213181074</v>
      </c>
      <c r="N33" s="119">
        <f>+$H$34*M33+M33</f>
        <v>4.9095209820030057</v>
      </c>
    </row>
    <row r="34" spans="2:14" ht="15.6" x14ac:dyDescent="0.3">
      <c r="B34" s="71"/>
      <c r="D34" s="78"/>
      <c r="E34" s="120">
        <f>+(E33-D33)/D33</f>
        <v>0.10917816436712653</v>
      </c>
      <c r="F34" s="120">
        <f t="shared" ref="F34:G34" si="4">+(F33-E33)/E33</f>
        <v>0.15413737155219034</v>
      </c>
      <c r="G34" s="120">
        <f t="shared" si="4"/>
        <v>0.16213683223992506</v>
      </c>
      <c r="H34" s="138">
        <f>+'Rate Projection'!C8</f>
        <v>0.12055</v>
      </c>
      <c r="J34" s="122"/>
      <c r="K34" s="122"/>
      <c r="L34" s="122"/>
      <c r="M34" s="122"/>
      <c r="N34" s="122"/>
    </row>
    <row r="35" spans="2:14" ht="15.6" x14ac:dyDescent="0.3">
      <c r="B35" s="123" t="s">
        <v>127</v>
      </c>
      <c r="D35" s="117">
        <v>1.3320000000000001</v>
      </c>
      <c r="E35" s="117">
        <v>1.4770000000000001</v>
      </c>
      <c r="F35" s="117">
        <v>1.7070000000000001</v>
      </c>
      <c r="G35" s="117">
        <v>1.984</v>
      </c>
      <c r="H35" s="124"/>
      <c r="I35" s="119">
        <f>+H36*G35+G35</f>
        <v>2.2231711999999999</v>
      </c>
      <c r="J35" s="119">
        <f>+$H$36*I35+I35</f>
        <v>2.49117448816</v>
      </c>
      <c r="K35" s="119">
        <f>+$H$36*J35+J35</f>
        <v>2.7914855727076882</v>
      </c>
      <c r="L35" s="119">
        <f>+$H$36*K35+K35</f>
        <v>3.1279991584975999</v>
      </c>
      <c r="M35" s="119">
        <f>+$H$36*L35+L35</f>
        <v>3.5050794570544856</v>
      </c>
      <c r="N35" s="119">
        <f>+$H$36*M35+M35</f>
        <v>3.927616785602404</v>
      </c>
    </row>
    <row r="36" spans="2:14" x14ac:dyDescent="0.3">
      <c r="E36" s="120">
        <f>+(E35-D35)/D35</f>
        <v>0.10885885885885886</v>
      </c>
      <c r="F36" s="120">
        <f t="shared" ref="F36:G36" si="5">+(F35-E35)/E35</f>
        <v>0.15572105619498983</v>
      </c>
      <c r="G36" s="120">
        <f t="shared" si="5"/>
        <v>0.16227299355594604</v>
      </c>
      <c r="H36" s="121">
        <f>+H34</f>
        <v>0.12055</v>
      </c>
    </row>
    <row r="37" spans="2:14" x14ac:dyDescent="0.3">
      <c r="D37" t="s">
        <v>158</v>
      </c>
      <c r="E37" s="120"/>
      <c r="F37" s="120"/>
      <c r="G37" s="120"/>
      <c r="H37" s="121"/>
    </row>
    <row r="38" spans="2:14" x14ac:dyDescent="0.3">
      <c r="E38" s="120"/>
      <c r="F38" s="120"/>
      <c r="G38" s="120"/>
      <c r="H38" s="121"/>
    </row>
    <row r="39" spans="2:14" x14ac:dyDescent="0.3">
      <c r="D39" s="113" t="s">
        <v>149</v>
      </c>
      <c r="E39" s="75">
        <f>+K25</f>
        <v>7915227.333333333</v>
      </c>
      <c r="F39" s="76">
        <f>+$E$39/100*F33</f>
        <v>168910.95129333332</v>
      </c>
      <c r="G39" s="76">
        <f>+$E$39/100*G33</f>
        <v>196297.63786666666</v>
      </c>
      <c r="H39" s="70"/>
      <c r="I39" s="76">
        <f t="shared" ref="I39:N39" si="6">+$E$39/100*I33</f>
        <v>219961.31811149334</v>
      </c>
      <c r="J39" s="76">
        <f t="shared" si="6"/>
        <v>246477.65500983386</v>
      </c>
      <c r="K39" s="76">
        <f t="shared" si="6"/>
        <v>276190.53632126929</v>
      </c>
      <c r="L39" s="76">
        <f t="shared" si="6"/>
        <v>309485.30547479837</v>
      </c>
      <c r="M39" s="76">
        <f t="shared" si="6"/>
        <v>346793.75904978532</v>
      </c>
      <c r="N39" s="76">
        <f t="shared" si="6"/>
        <v>388599.74670323695</v>
      </c>
    </row>
    <row r="40" spans="2:14" x14ac:dyDescent="0.3">
      <c r="D40" s="114" t="s">
        <v>150</v>
      </c>
      <c r="E40" s="111">
        <f>+K26</f>
        <v>90565.5</v>
      </c>
      <c r="F40" s="125">
        <f>+$E$40/100*F35</f>
        <v>1545.9530850000001</v>
      </c>
      <c r="G40" s="125">
        <f>+$E$40/100*G35</f>
        <v>1796.81952</v>
      </c>
      <c r="I40" s="125">
        <f t="shared" ref="I40:N40" si="7">+$E$40/100*I35</f>
        <v>2013.4261131359999</v>
      </c>
      <c r="J40" s="125">
        <f t="shared" si="7"/>
        <v>2256.1446310745446</v>
      </c>
      <c r="K40" s="125">
        <f t="shared" si="7"/>
        <v>2528.1228663505813</v>
      </c>
      <c r="L40" s="125">
        <f t="shared" si="7"/>
        <v>2832.8880778891439</v>
      </c>
      <c r="M40" s="125">
        <f t="shared" si="7"/>
        <v>3174.3927356786803</v>
      </c>
      <c r="N40" s="125">
        <f t="shared" si="7"/>
        <v>3557.0657799647452</v>
      </c>
    </row>
    <row r="41" spans="2:14" x14ac:dyDescent="0.3">
      <c r="D41" s="70" t="s">
        <v>8</v>
      </c>
      <c r="E41" s="70"/>
      <c r="F41" s="126">
        <f>SUM(F39:F40)</f>
        <v>170456.9043783333</v>
      </c>
      <c r="G41" s="126">
        <f>SUM(G39:G40)</f>
        <v>198094.45738666665</v>
      </c>
      <c r="I41" s="126">
        <f>SUM(I39:I40)</f>
        <v>221974.74422462934</v>
      </c>
      <c r="J41" s="126">
        <f t="shared" ref="J41:N41" si="8">SUM(J39:J40)</f>
        <v>248733.7996409084</v>
      </c>
      <c r="K41" s="126">
        <f t="shared" si="8"/>
        <v>278718.65918761987</v>
      </c>
      <c r="L41" s="126">
        <f t="shared" si="8"/>
        <v>312318.19355268753</v>
      </c>
      <c r="M41" s="126">
        <f t="shared" si="8"/>
        <v>349968.15178546403</v>
      </c>
      <c r="N41" s="126">
        <f t="shared" si="8"/>
        <v>392156.81248320168</v>
      </c>
    </row>
    <row r="42" spans="2:14" x14ac:dyDescent="0.3">
      <c r="G42" s="101"/>
    </row>
    <row r="43" spans="2:14" x14ac:dyDescent="0.3">
      <c r="D43" t="s">
        <v>151</v>
      </c>
      <c r="G43" s="101"/>
    </row>
    <row r="44" spans="2:14" ht="31.2" x14ac:dyDescent="0.3">
      <c r="D44" s="115">
        <v>2009</v>
      </c>
      <c r="E44" s="115">
        <v>2010</v>
      </c>
      <c r="F44" s="115">
        <v>2011</v>
      </c>
      <c r="G44" s="115" t="s">
        <v>152</v>
      </c>
      <c r="H44" s="116" t="s">
        <v>156</v>
      </c>
      <c r="I44" s="115">
        <v>2013</v>
      </c>
      <c r="J44" s="115">
        <v>2014</v>
      </c>
      <c r="K44" s="115">
        <v>2015</v>
      </c>
      <c r="L44" s="115">
        <v>2016</v>
      </c>
      <c r="M44" s="115">
        <v>2017</v>
      </c>
      <c r="N44" s="115">
        <v>2018</v>
      </c>
    </row>
    <row r="45" spans="2:14" ht="15.6" x14ac:dyDescent="0.3">
      <c r="B45" s="71" t="s">
        <v>126</v>
      </c>
      <c r="D45" s="123">
        <v>0.65</v>
      </c>
      <c r="E45" s="123">
        <f>+D45</f>
        <v>0.65</v>
      </c>
      <c r="F45" s="123">
        <f>+E45</f>
        <v>0.65</v>
      </c>
      <c r="G45" s="123">
        <f>+F45*H46+F45</f>
        <v>0.69745000000000001</v>
      </c>
      <c r="H45" s="132"/>
      <c r="I45" s="119">
        <f>+G45</f>
        <v>0.69745000000000001</v>
      </c>
      <c r="J45" s="119">
        <f>+I45</f>
        <v>0.69745000000000001</v>
      </c>
      <c r="K45" s="119">
        <f>+J45*H46+J45</f>
        <v>0.74836385000000005</v>
      </c>
      <c r="L45" s="119">
        <f>+$H$31*K45+K45</f>
        <v>0.74836385000000005</v>
      </c>
      <c r="M45" s="119">
        <f>+$H$31*L45+L45</f>
        <v>0.74836385000000005</v>
      </c>
      <c r="N45" s="119">
        <f>+H46*M45+M45</f>
        <v>0.80299441105000002</v>
      </c>
    </row>
    <row r="46" spans="2:14" ht="15.6" x14ac:dyDescent="0.3">
      <c r="D46" s="117"/>
      <c r="E46" s="120">
        <f>+(E45-D45)/D45</f>
        <v>0</v>
      </c>
      <c r="F46" s="120">
        <f>+(F45-E45)/E45</f>
        <v>0</v>
      </c>
      <c r="G46" s="120">
        <f>+(G45-F45)/F45</f>
        <v>7.2999999999999982E-2</v>
      </c>
      <c r="H46" s="138">
        <f>+'Rate Projection'!G8</f>
        <v>7.2999999999999995E-2</v>
      </c>
      <c r="I46" s="119"/>
      <c r="J46" s="119"/>
      <c r="K46" s="119"/>
      <c r="L46" s="119"/>
      <c r="M46" s="119"/>
      <c r="N46" s="127"/>
    </row>
    <row r="47" spans="2:14" ht="15.6" x14ac:dyDescent="0.3">
      <c r="B47" s="123" t="s">
        <v>127</v>
      </c>
      <c r="D47" s="123">
        <v>0.81</v>
      </c>
      <c r="E47" s="123">
        <f>+D47</f>
        <v>0.81</v>
      </c>
      <c r="F47" s="123">
        <f>+E47</f>
        <v>0.81</v>
      </c>
      <c r="G47" s="123">
        <f>+F47*H48+F47</f>
        <v>0.86913000000000007</v>
      </c>
      <c r="H47" s="123"/>
      <c r="I47" s="119">
        <f>+G47</f>
        <v>0.86913000000000007</v>
      </c>
      <c r="J47" s="119">
        <f>+I47</f>
        <v>0.86913000000000007</v>
      </c>
      <c r="K47" s="119">
        <f>+J47*H48+J47</f>
        <v>0.93257649000000009</v>
      </c>
      <c r="L47" s="119">
        <f>+K47</f>
        <v>0.93257649000000009</v>
      </c>
      <c r="M47" s="119">
        <f>+L47</f>
        <v>0.93257649000000009</v>
      </c>
      <c r="N47" s="119">
        <f>+H48*M47+M47</f>
        <v>1.0006545737700001</v>
      </c>
    </row>
    <row r="48" spans="2:14" ht="15.6" x14ac:dyDescent="0.3">
      <c r="B48" s="123"/>
      <c r="D48" s="117"/>
      <c r="E48" s="120">
        <f>+(E47-D47)/D47</f>
        <v>0</v>
      </c>
      <c r="F48" s="120">
        <f>+(F47-E47)/E47</f>
        <v>0</v>
      </c>
      <c r="G48" s="120">
        <f>+(G47-F47)/F47</f>
        <v>7.3000000000000009E-2</v>
      </c>
      <c r="H48" s="121">
        <f>+H46</f>
        <v>7.2999999999999995E-2</v>
      </c>
      <c r="I48" s="117"/>
      <c r="J48" s="117"/>
      <c r="K48" s="117"/>
      <c r="L48" s="117"/>
      <c r="M48" s="117"/>
      <c r="N48" s="117"/>
    </row>
    <row r="49" spans="2:14" ht="15.6" x14ac:dyDescent="0.3">
      <c r="B49" s="123"/>
      <c r="D49" t="s">
        <v>153</v>
      </c>
      <c r="E49" s="120"/>
      <c r="F49" s="120"/>
      <c r="G49" s="120"/>
      <c r="H49" s="121"/>
      <c r="I49" s="117"/>
      <c r="J49" s="117"/>
      <c r="K49" s="117"/>
      <c r="L49" s="117"/>
      <c r="M49" s="117"/>
      <c r="N49" s="117"/>
    </row>
    <row r="50" spans="2:14" ht="15.6" x14ac:dyDescent="0.3">
      <c r="B50" s="123"/>
      <c r="G50" s="128" t="s">
        <v>154</v>
      </c>
    </row>
    <row r="51" spans="2:14" ht="15.6" x14ac:dyDescent="0.3">
      <c r="B51" s="123"/>
      <c r="G51" s="128"/>
    </row>
    <row r="52" spans="2:14" x14ac:dyDescent="0.3">
      <c r="D52" s="113" t="s">
        <v>149</v>
      </c>
      <c r="E52" s="75">
        <f>+E39</f>
        <v>7915227.333333333</v>
      </c>
      <c r="F52" s="76">
        <f>+$E$52/100*F45</f>
        <v>51448.977666666666</v>
      </c>
      <c r="G52" s="76">
        <f>+$E$52/100*G45</f>
        <v>55204.753036333335</v>
      </c>
      <c r="H52" s="70"/>
      <c r="I52" s="76">
        <f t="shared" ref="I52:N52" si="9">+$E$52/100*I45</f>
        <v>55204.753036333335</v>
      </c>
      <c r="J52" s="76">
        <f t="shared" si="9"/>
        <v>55204.753036333335</v>
      </c>
      <c r="K52" s="76">
        <f t="shared" si="9"/>
        <v>59234.700007985666</v>
      </c>
      <c r="L52" s="76">
        <f t="shared" si="9"/>
        <v>59234.700007985666</v>
      </c>
      <c r="M52" s="76">
        <f t="shared" si="9"/>
        <v>59234.700007985666</v>
      </c>
      <c r="N52" s="76">
        <f t="shared" si="9"/>
        <v>63558.833108568622</v>
      </c>
    </row>
    <row r="53" spans="2:14" x14ac:dyDescent="0.3">
      <c r="D53" s="114" t="s">
        <v>150</v>
      </c>
      <c r="E53" s="111">
        <f>+E40</f>
        <v>90565.5</v>
      </c>
      <c r="F53" s="125">
        <f>+$E$53/100*F47</f>
        <v>733.58055000000002</v>
      </c>
      <c r="G53" s="125">
        <f>+$E$53/100*G47</f>
        <v>787.13193015000002</v>
      </c>
      <c r="I53" s="125">
        <f t="shared" ref="I53:N53" si="10">+$E$53/100*I47</f>
        <v>787.13193015000002</v>
      </c>
      <c r="J53" s="125">
        <f t="shared" si="10"/>
        <v>787.13193015000002</v>
      </c>
      <c r="K53" s="125">
        <f t="shared" si="10"/>
        <v>844.59256105095005</v>
      </c>
      <c r="L53" s="125">
        <f t="shared" si="10"/>
        <v>844.59256105095005</v>
      </c>
      <c r="M53" s="125">
        <f t="shared" si="10"/>
        <v>844.59256105095005</v>
      </c>
      <c r="N53" s="125">
        <f t="shared" si="10"/>
        <v>906.24781800766948</v>
      </c>
    </row>
    <row r="54" spans="2:14" x14ac:dyDescent="0.3">
      <c r="D54" s="70" t="s">
        <v>8</v>
      </c>
      <c r="E54" s="70"/>
      <c r="F54" s="126">
        <f>SUM(F52:F53)</f>
        <v>52182.558216666665</v>
      </c>
      <c r="G54" s="126">
        <f>SUM(G52:G53)</f>
        <v>55991.884966483332</v>
      </c>
      <c r="I54" s="126">
        <f t="shared" ref="I54:N54" si="11">SUM(I52:I53)</f>
        <v>55991.884966483332</v>
      </c>
      <c r="J54" s="126">
        <f t="shared" si="11"/>
        <v>55991.884966483332</v>
      </c>
      <c r="K54" s="126">
        <f t="shared" si="11"/>
        <v>60079.292569036617</v>
      </c>
      <c r="L54" s="126">
        <f t="shared" si="11"/>
        <v>60079.292569036617</v>
      </c>
      <c r="M54" s="126">
        <f t="shared" si="11"/>
        <v>60079.292569036617</v>
      </c>
      <c r="N54" s="126">
        <f t="shared" si="11"/>
        <v>64465.080926576295</v>
      </c>
    </row>
    <row r="55" spans="2:14" x14ac:dyDescent="0.3">
      <c r="G55" s="101"/>
    </row>
  </sheetData>
  <pageMargins left="0.7" right="0.7" top="0.75" bottom="0.75" header="0.3" footer="0.3"/>
  <pageSetup scale="82" fitToHeight="2" orientation="landscape" r:id="rId1"/>
  <headerFooter>
    <oddFooter>&amp;C&amp;F / &amp;A&amp;R&amp;D</oddFooter>
  </headerFooter>
  <rowBreaks count="1" manualBreakCount="1">
    <brk id="30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2011-01-04T08:00:00+00:00</OpenedDate>
    <Date1 xmlns="dc463f71-b30c-4ab2-9473-d307f9d35888">2012-08-21T07:00:00+00:00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DocketNumber xmlns="dc463f71-b30c-4ab2-9473-d307f9d35888">110054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B6AF541BA1A154CB1BD3E6CD891F4F4" ma:contentTypeVersion="143" ma:contentTypeDescription="" ma:contentTypeScope="" ma:versionID="37608c5e803661e0284a992effba8e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4EBB08-7FAD-45FB-A11B-145678A52006}"/>
</file>

<file path=customXml/itemProps2.xml><?xml version="1.0" encoding="utf-8"?>
<ds:datastoreItem xmlns:ds="http://schemas.openxmlformats.org/officeDocument/2006/customXml" ds:itemID="{57FBB4FA-0FA9-41D2-B33C-C119AEA4002E}"/>
</file>

<file path=customXml/itemProps3.xml><?xml version="1.0" encoding="utf-8"?>
<ds:datastoreItem xmlns:ds="http://schemas.openxmlformats.org/officeDocument/2006/customXml" ds:itemID="{BF00D0E1-2A26-404A-AF85-C673DED7FB5A}"/>
</file>

<file path=customXml/itemProps4.xml><?xml version="1.0" encoding="utf-8"?>
<ds:datastoreItem xmlns:ds="http://schemas.openxmlformats.org/officeDocument/2006/customXml" ds:itemID="{177CCCCB-1BE3-403D-A116-D2A12A9473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Rate Projection</vt:lpstr>
      <vt:lpstr>Monthly Revenue-Usage</vt:lpstr>
      <vt:lpstr>RV ERU Connections</vt:lpstr>
      <vt:lpstr>Pop_Totals (Small)</vt:lpstr>
      <vt:lpstr>Pop_Totals (Med)</vt:lpstr>
      <vt:lpstr>Pop_Totals (Large)</vt:lpstr>
      <vt:lpstr>Purchased COT</vt:lpstr>
      <vt:lpstr>'Pop_Totals (Large)'!Print_Area</vt:lpstr>
      <vt:lpstr>'Pop_Totals (Small)'!Print_Area</vt:lpstr>
      <vt:lpstr>'Purchased COT'!Print_Area</vt:lpstr>
      <vt:lpstr>'Rate Projection'!Print_Area</vt:lpstr>
      <vt:lpstr>'RV ERU Connections'!Print_Area</vt:lpstr>
      <vt:lpstr>'Pop_Totals (Small)'!Print_Titles</vt:lpstr>
      <vt:lpstr>'Purchased COT'!Print_Titles</vt:lpstr>
      <vt:lpstr>'Rate Projection'!Print_Titles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Mickelson</dc:creator>
  <cp:lastModifiedBy>Jim Ward</cp:lastModifiedBy>
  <cp:lastPrinted>2012-08-21T16:10:26Z</cp:lastPrinted>
  <dcterms:created xsi:type="dcterms:W3CDTF">2010-06-17T20:52:49Z</dcterms:created>
  <dcterms:modified xsi:type="dcterms:W3CDTF">2012-08-21T16:13:40Z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0x0101006E56B4D1795A2E4DB2F0B01679ED314A001B6AF541BA1A154CB1BD3E6CD891F4F4</vt:lpwstr>
  </property>
  <property fmtid="{D5CDD505-2E9C-101B-9397-08002B2CF9AE}" pid="3" name="_docset_NoMedatataSyncRequired">
    <vt:lpwstr>False</vt:lpwstr>
  </property>
</Properties>
</file>