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M:\2018\2018 Tax Reform\Workpapers\Models\WA Tax Adjusted Models\"/>
    </mc:Choice>
  </mc:AlternateContent>
  <bookViews>
    <workbookView xWindow="0" yWindow="0" windowWidth="20160" windowHeight="9612"/>
  </bookViews>
  <sheets>
    <sheet name="Electric" sheetId="2" r:id="rId1"/>
    <sheet name="Natural Gas" sheetId="4" r:id="rId2"/>
    <sheet name="Sch M Recon" sheetId="3" r:id="rId3"/>
  </sheets>
  <definedNames>
    <definedName name="_xlnm.Print_Area" localSheetId="0">Electric!$A$1:$I$71</definedName>
    <definedName name="_xlnm.Print_Area" localSheetId="1">'Natural Gas'!$A$1:$I$71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4" l="1"/>
  <c r="D12" i="4"/>
  <c r="D10" i="4" s="1"/>
  <c r="D11" i="4"/>
  <c r="G57" i="4" l="1"/>
  <c r="D57" i="4"/>
  <c r="D55" i="4"/>
  <c r="D54" i="4"/>
  <c r="D48" i="4"/>
  <c r="D59" i="4" s="1"/>
  <c r="D47" i="4"/>
  <c r="D58" i="4" s="1"/>
  <c r="D46" i="4"/>
  <c r="D45" i="4"/>
  <c r="D41" i="4"/>
  <c r="D39" i="4"/>
  <c r="I36" i="4"/>
  <c r="H36" i="4"/>
  <c r="G36" i="4"/>
  <c r="F36" i="4"/>
  <c r="E36" i="4"/>
  <c r="D36" i="4"/>
  <c r="H30" i="4"/>
  <c r="H60" i="4" s="1"/>
  <c r="E30" i="4"/>
  <c r="D29" i="4"/>
  <c r="D28" i="4"/>
  <c r="H27" i="4"/>
  <c r="H57" i="4" s="1"/>
  <c r="G27" i="4"/>
  <c r="F27" i="4"/>
  <c r="E27" i="4"/>
  <c r="E57" i="4" s="1"/>
  <c r="H25" i="4"/>
  <c r="H55" i="4" s="1"/>
  <c r="G25" i="4"/>
  <c r="G55" i="4" s="1"/>
  <c r="F25" i="4"/>
  <c r="F55" i="4" s="1"/>
  <c r="E25" i="4"/>
  <c r="E55" i="4" s="1"/>
  <c r="H24" i="4"/>
  <c r="H54" i="4" s="1"/>
  <c r="G24" i="4"/>
  <c r="G54" i="4" s="1"/>
  <c r="F24" i="4"/>
  <c r="F54" i="4" s="1"/>
  <c r="E24" i="4"/>
  <c r="E54" i="4" s="1"/>
  <c r="H18" i="4"/>
  <c r="H29" i="4" s="1"/>
  <c r="G18" i="4"/>
  <c r="F18" i="4"/>
  <c r="F29" i="4" s="1"/>
  <c r="E18" i="4"/>
  <c r="E29" i="4" s="1"/>
  <c r="H17" i="4"/>
  <c r="H47" i="4" s="1"/>
  <c r="H58" i="4" s="1"/>
  <c r="G17" i="4"/>
  <c r="G47" i="4" s="1"/>
  <c r="G58" i="4" s="1"/>
  <c r="F17" i="4"/>
  <c r="F47" i="4" s="1"/>
  <c r="F58" i="4" s="1"/>
  <c r="E17" i="4"/>
  <c r="H16" i="4"/>
  <c r="H46" i="4" s="1"/>
  <c r="G16" i="4"/>
  <c r="G46" i="4" s="1"/>
  <c r="F16" i="4"/>
  <c r="F46" i="4" s="1"/>
  <c r="E16" i="4"/>
  <c r="H15" i="4"/>
  <c r="H45" i="4" s="1"/>
  <c r="G15" i="4"/>
  <c r="G45" i="4" s="1"/>
  <c r="F15" i="4"/>
  <c r="F45" i="4" s="1"/>
  <c r="E15" i="4"/>
  <c r="E45" i="4" s="1"/>
  <c r="F12" i="4"/>
  <c r="F42" i="4" s="1"/>
  <c r="G11" i="4"/>
  <c r="G41" i="4" s="1"/>
  <c r="F11" i="4"/>
  <c r="F41" i="4" s="1"/>
  <c r="E11" i="4"/>
  <c r="E41" i="4" s="1"/>
  <c r="H11" i="4"/>
  <c r="H41" i="4" s="1"/>
  <c r="G9" i="4"/>
  <c r="G39" i="4" s="1"/>
  <c r="F9" i="4"/>
  <c r="F39" i="4" s="1"/>
  <c r="E9" i="4"/>
  <c r="E39" i="4" s="1"/>
  <c r="D7" i="4"/>
  <c r="D14" i="4" s="1"/>
  <c r="D44" i="4" s="1"/>
  <c r="E6" i="4"/>
  <c r="F6" i="4" s="1"/>
  <c r="G6" i="4" s="1"/>
  <c r="H6" i="4" s="1"/>
  <c r="E5" i="4"/>
  <c r="F5" i="4" s="1"/>
  <c r="H48" i="4" l="1"/>
  <c r="H59" i="4" s="1"/>
  <c r="I55" i="4"/>
  <c r="F48" i="4"/>
  <c r="F59" i="4" s="1"/>
  <c r="D31" i="4"/>
  <c r="G28" i="4"/>
  <c r="I16" i="4"/>
  <c r="E46" i="4"/>
  <c r="I46" i="4" s="1"/>
  <c r="F7" i="4"/>
  <c r="F14" i="4" s="1"/>
  <c r="F44" i="4" s="1"/>
  <c r="G5" i="4"/>
  <c r="I41" i="4"/>
  <c r="I18" i="4"/>
  <c r="E48" i="4"/>
  <c r="E7" i="4"/>
  <c r="D13" i="4"/>
  <c r="D19" i="4" s="1"/>
  <c r="D22" i="4" s="1"/>
  <c r="E12" i="4"/>
  <c r="F28" i="4"/>
  <c r="G12" i="4"/>
  <c r="G42" i="4" s="1"/>
  <c r="I45" i="4"/>
  <c r="G48" i="4"/>
  <c r="G59" i="4" s="1"/>
  <c r="G29" i="4"/>
  <c r="I29" i="4" s="1"/>
  <c r="I54" i="4"/>
  <c r="I25" i="4"/>
  <c r="H61" i="4"/>
  <c r="F30" i="4"/>
  <c r="F60" i="4" s="1"/>
  <c r="F57" i="4"/>
  <c r="D60" i="4"/>
  <c r="D61" i="4" s="1"/>
  <c r="I11" i="4"/>
  <c r="H12" i="4"/>
  <c r="H42" i="4" s="1"/>
  <c r="E47" i="4"/>
  <c r="E28" i="4"/>
  <c r="I17" i="4"/>
  <c r="I57" i="4"/>
  <c r="I27" i="4"/>
  <c r="H28" i="4"/>
  <c r="H31" i="4" s="1"/>
  <c r="G30" i="4"/>
  <c r="G60" i="4" s="1"/>
  <c r="D42" i="4"/>
  <c r="E60" i="4"/>
  <c r="H9" i="4"/>
  <c r="I9" i="4" s="1"/>
  <c r="I15" i="4"/>
  <c r="I24" i="4"/>
  <c r="F69" i="3"/>
  <c r="F64" i="3"/>
  <c r="F75" i="3" s="1"/>
  <c r="F18" i="3"/>
  <c r="F68" i="3" s="1"/>
  <c r="F8" i="3"/>
  <c r="I30" i="4" l="1"/>
  <c r="G61" i="4"/>
  <c r="F31" i="4"/>
  <c r="F61" i="4"/>
  <c r="D33" i="4"/>
  <c r="I28" i="4"/>
  <c r="I31" i="4" s="1"/>
  <c r="E31" i="4"/>
  <c r="I47" i="4"/>
  <c r="E58" i="4"/>
  <c r="H39" i="4"/>
  <c r="G31" i="4"/>
  <c r="E14" i="4"/>
  <c r="I60" i="4"/>
  <c r="F10" i="4"/>
  <c r="E10" i="4"/>
  <c r="H10" i="4"/>
  <c r="H40" i="4" s="1"/>
  <c r="D40" i="4"/>
  <c r="D43" i="4" s="1"/>
  <c r="D49" i="4" s="1"/>
  <c r="D52" i="4" s="1"/>
  <c r="D63" i="4" s="1"/>
  <c r="D65" i="4" s="1"/>
  <c r="D67" i="4" s="1"/>
  <c r="G10" i="4"/>
  <c r="E42" i="4"/>
  <c r="I42" i="4" s="1"/>
  <c r="I12" i="4"/>
  <c r="E59" i="4"/>
  <c r="I59" i="4" s="1"/>
  <c r="I48" i="4"/>
  <c r="H5" i="4"/>
  <c r="G7" i="4"/>
  <c r="G14" i="4" s="1"/>
  <c r="G44" i="4" s="1"/>
  <c r="F71" i="3"/>
  <c r="F70" i="3" s="1"/>
  <c r="F66" i="3"/>
  <c r="F77" i="3"/>
  <c r="F80" i="3" s="1"/>
  <c r="H43" i="4" l="1"/>
  <c r="I39" i="4"/>
  <c r="H13" i="4"/>
  <c r="H7" i="4"/>
  <c r="H14" i="4" s="1"/>
  <c r="H44" i="4" s="1"/>
  <c r="I5" i="4"/>
  <c r="I10" i="4"/>
  <c r="I13" i="4" s="1"/>
  <c r="E40" i="4"/>
  <c r="E13" i="4"/>
  <c r="E19" i="4" s="1"/>
  <c r="E22" i="4" s="1"/>
  <c r="E44" i="4"/>
  <c r="G40" i="4"/>
  <c r="G43" i="4" s="1"/>
  <c r="G49" i="4" s="1"/>
  <c r="G52" i="4" s="1"/>
  <c r="G63" i="4" s="1"/>
  <c r="G13" i="4"/>
  <c r="G19" i="4" s="1"/>
  <c r="G22" i="4" s="1"/>
  <c r="G33" i="4" s="1"/>
  <c r="F40" i="4"/>
  <c r="F43" i="4" s="1"/>
  <c r="F49" i="4" s="1"/>
  <c r="F52" i="4" s="1"/>
  <c r="F63" i="4" s="1"/>
  <c r="F13" i="4"/>
  <c r="F19" i="4" s="1"/>
  <c r="F22" i="4" s="1"/>
  <c r="F33" i="4" s="1"/>
  <c r="I58" i="4"/>
  <c r="I61" i="4" s="1"/>
  <c r="E61" i="4"/>
  <c r="D30" i="2"/>
  <c r="E79" i="3"/>
  <c r="H15" i="2"/>
  <c r="G15" i="2"/>
  <c r="F15" i="2"/>
  <c r="E15" i="2"/>
  <c r="E7" i="3"/>
  <c r="G65" i="4" l="1"/>
  <c r="G67" i="4" s="1"/>
  <c r="I44" i="4"/>
  <c r="E33" i="4"/>
  <c r="H49" i="4"/>
  <c r="H52" i="4" s="1"/>
  <c r="H63" i="4" s="1"/>
  <c r="I40" i="4"/>
  <c r="I43" i="4" s="1"/>
  <c r="E43" i="4"/>
  <c r="E49" i="4" s="1"/>
  <c r="E52" i="4" s="1"/>
  <c r="H19" i="4"/>
  <c r="H22" i="4" s="1"/>
  <c r="H33" i="4" s="1"/>
  <c r="F65" i="4"/>
  <c r="F67" i="4" s="1"/>
  <c r="I14" i="4"/>
  <c r="I19" i="4"/>
  <c r="I7" i="4"/>
  <c r="E69" i="3"/>
  <c r="E27" i="3"/>
  <c r="E64" i="3" s="1"/>
  <c r="E75" i="3" s="1"/>
  <c r="E18" i="3"/>
  <c r="E68" i="3" s="1"/>
  <c r="E8" i="3"/>
  <c r="I49" i="4" l="1"/>
  <c r="E63" i="4"/>
  <c r="I63" i="4" s="1"/>
  <c r="I52" i="4"/>
  <c r="I33" i="4"/>
  <c r="H65" i="4"/>
  <c r="H67" i="4" s="1"/>
  <c r="I22" i="4"/>
  <c r="E71" i="3"/>
  <c r="E77" i="3" s="1"/>
  <c r="E80" i="3" s="1"/>
  <c r="E66" i="3"/>
  <c r="E65" i="4" l="1"/>
  <c r="D12" i="2"/>
  <c r="D11" i="2"/>
  <c r="D10" i="2"/>
  <c r="D9" i="2"/>
  <c r="I65" i="4" l="1"/>
  <c r="E67" i="4"/>
  <c r="I67" i="4" s="1"/>
  <c r="F30" i="2"/>
  <c r="F60" i="2" s="1"/>
  <c r="G30" i="2"/>
  <c r="G60" i="2" s="1"/>
  <c r="H30" i="2"/>
  <c r="H60" i="2" s="1"/>
  <c r="F27" i="2"/>
  <c r="G27" i="2"/>
  <c r="H27" i="2"/>
  <c r="H57" i="2" s="1"/>
  <c r="E30" i="2"/>
  <c r="E60" i="2" s="1"/>
  <c r="E27" i="2"/>
  <c r="F25" i="2"/>
  <c r="G25" i="2"/>
  <c r="H25" i="2"/>
  <c r="E25" i="2"/>
  <c r="F24" i="2"/>
  <c r="G24" i="2"/>
  <c r="G54" i="2" s="1"/>
  <c r="H24" i="2"/>
  <c r="E24" i="2"/>
  <c r="I24" i="2"/>
  <c r="F16" i="2"/>
  <c r="F46" i="2" s="1"/>
  <c r="G16" i="2"/>
  <c r="G46" i="2" s="1"/>
  <c r="H16" i="2"/>
  <c r="H46" i="2" s="1"/>
  <c r="F17" i="2"/>
  <c r="F47" i="2" s="1"/>
  <c r="F58" i="2" s="1"/>
  <c r="G17" i="2"/>
  <c r="G47" i="2" s="1"/>
  <c r="G58" i="2" s="1"/>
  <c r="H17" i="2"/>
  <c r="H47" i="2" s="1"/>
  <c r="H58" i="2" s="1"/>
  <c r="F18" i="2"/>
  <c r="G18" i="2"/>
  <c r="G48" i="2" s="1"/>
  <c r="G59" i="2" s="1"/>
  <c r="H18" i="2"/>
  <c r="H29" i="2" s="1"/>
  <c r="E18" i="2"/>
  <c r="E17" i="2"/>
  <c r="E16" i="2"/>
  <c r="E46" i="2" s="1"/>
  <c r="F9" i="2"/>
  <c r="F39" i="2" s="1"/>
  <c r="G9" i="2"/>
  <c r="G39" i="2" s="1"/>
  <c r="H9" i="2"/>
  <c r="F10" i="2"/>
  <c r="G10" i="2"/>
  <c r="H10" i="2"/>
  <c r="F11" i="2"/>
  <c r="I11" i="2" s="1"/>
  <c r="G11" i="2"/>
  <c r="H11" i="2"/>
  <c r="H41" i="2" s="1"/>
  <c r="F12" i="2"/>
  <c r="G12" i="2"/>
  <c r="G42" i="2" s="1"/>
  <c r="H12" i="2"/>
  <c r="H42" i="2" s="1"/>
  <c r="E12" i="2"/>
  <c r="E42" i="2" s="1"/>
  <c r="I42" i="2" s="1"/>
  <c r="E11" i="2"/>
  <c r="E10" i="2"/>
  <c r="E9" i="2"/>
  <c r="E39" i="2" s="1"/>
  <c r="I39" i="2" s="1"/>
  <c r="E36" i="2"/>
  <c r="F36" i="2"/>
  <c r="G36" i="2"/>
  <c r="H36" i="2"/>
  <c r="I36" i="2"/>
  <c r="D36" i="2"/>
  <c r="D55" i="2"/>
  <c r="E54" i="2"/>
  <c r="E48" i="2"/>
  <c r="E59" i="2" s="1"/>
  <c r="D47" i="2"/>
  <c r="D58" i="2" s="1"/>
  <c r="E6" i="2"/>
  <c r="F6" i="2" s="1"/>
  <c r="G6" i="2" s="1"/>
  <c r="H6" i="2" s="1"/>
  <c r="E5" i="2"/>
  <c r="D60" i="2"/>
  <c r="D61" i="2" s="1"/>
  <c r="E57" i="2"/>
  <c r="H54" i="2"/>
  <c r="F54" i="2"/>
  <c r="D54" i="2"/>
  <c r="H45" i="2"/>
  <c r="G45" i="2"/>
  <c r="F45" i="2"/>
  <c r="E45" i="2"/>
  <c r="I45" i="2" s="1"/>
  <c r="D45" i="2"/>
  <c r="F42" i="2"/>
  <c r="D41" i="2"/>
  <c r="H39" i="2"/>
  <c r="D39" i="2"/>
  <c r="F29" i="2"/>
  <c r="D29" i="2"/>
  <c r="I15" i="2"/>
  <c r="G41" i="2"/>
  <c r="H40" i="2"/>
  <c r="D7" i="2"/>
  <c r="D14" i="2" s="1"/>
  <c r="I46" i="2" l="1"/>
  <c r="H28" i="2"/>
  <c r="I18" i="2"/>
  <c r="I17" i="2"/>
  <c r="F28" i="2"/>
  <c r="F31" i="2" s="1"/>
  <c r="I60" i="2"/>
  <c r="I30" i="2"/>
  <c r="I27" i="2"/>
  <c r="H48" i="2"/>
  <c r="H59" i="2" s="1"/>
  <c r="H61" i="2" s="1"/>
  <c r="F48" i="2"/>
  <c r="F59" i="2" s="1"/>
  <c r="I59" i="2" s="1"/>
  <c r="G28" i="2"/>
  <c r="E47" i="2"/>
  <c r="E28" i="2"/>
  <c r="I16" i="2"/>
  <c r="I12" i="2"/>
  <c r="I10" i="2"/>
  <c r="I9" i="2"/>
  <c r="F5" i="2"/>
  <c r="E7" i="2"/>
  <c r="F57" i="2"/>
  <c r="H55" i="2"/>
  <c r="G55" i="2"/>
  <c r="I54" i="2"/>
  <c r="F55" i="2"/>
  <c r="I25" i="2"/>
  <c r="G29" i="2"/>
  <c r="G31" i="2" s="1"/>
  <c r="H31" i="2"/>
  <c r="H43" i="2"/>
  <c r="E55" i="2"/>
  <c r="D48" i="2"/>
  <c r="D59" i="2" s="1"/>
  <c r="D28" i="2"/>
  <c r="D31" i="2" s="1"/>
  <c r="E29" i="2"/>
  <c r="E40" i="2"/>
  <c r="D40" i="2"/>
  <c r="G40" i="2"/>
  <c r="G43" i="2" s="1"/>
  <c r="F40" i="2"/>
  <c r="F43" i="2" s="1"/>
  <c r="F41" i="2"/>
  <c r="D42" i="2"/>
  <c r="D46" i="2"/>
  <c r="E41" i="2"/>
  <c r="I41" i="2" s="1"/>
  <c r="D13" i="2"/>
  <c r="D19" i="2" s="1"/>
  <c r="D22" i="2" s="1"/>
  <c r="H13" i="2"/>
  <c r="E13" i="2"/>
  <c r="G57" i="2"/>
  <c r="G61" i="2" s="1"/>
  <c r="F13" i="2"/>
  <c r="D57" i="2"/>
  <c r="I48" i="2" l="1"/>
  <c r="I28" i="2"/>
  <c r="E31" i="2"/>
  <c r="I29" i="2"/>
  <c r="F61" i="2"/>
  <c r="E58" i="2"/>
  <c r="I47" i="2"/>
  <c r="D43" i="2"/>
  <c r="I40" i="2"/>
  <c r="I43" i="2" s="1"/>
  <c r="E14" i="2"/>
  <c r="F7" i="2"/>
  <c r="F14" i="2" s="1"/>
  <c r="F44" i="2" s="1"/>
  <c r="F49" i="2" s="1"/>
  <c r="F52" i="2" s="1"/>
  <c r="G5" i="2"/>
  <c r="I57" i="2"/>
  <c r="I55" i="2"/>
  <c r="E43" i="2"/>
  <c r="D33" i="2"/>
  <c r="G13" i="2"/>
  <c r="D44" i="2"/>
  <c r="I13" i="2"/>
  <c r="I31" i="2"/>
  <c r="F63" i="2" l="1"/>
  <c r="I58" i="2"/>
  <c r="I61" i="2" s="1"/>
  <c r="E61" i="2"/>
  <c r="H5" i="2"/>
  <c r="H7" i="2" s="1"/>
  <c r="H14" i="2" s="1"/>
  <c r="G7" i="2"/>
  <c r="E44" i="2"/>
  <c r="E49" i="2" s="1"/>
  <c r="E52" i="2" s="1"/>
  <c r="F19" i="2"/>
  <c r="F22" i="2" s="1"/>
  <c r="F33" i="2" s="1"/>
  <c r="E19" i="2"/>
  <c r="E22" i="2" s="1"/>
  <c r="D49" i="2"/>
  <c r="D52" i="2" s="1"/>
  <c r="D63" i="2" s="1"/>
  <c r="F65" i="2" l="1"/>
  <c r="F67" i="2" s="1"/>
  <c r="I5" i="2"/>
  <c r="G14" i="2"/>
  <c r="I7" i="2"/>
  <c r="E33" i="2"/>
  <c r="H44" i="2"/>
  <c r="H49" i="2" s="1"/>
  <c r="H52" i="2" s="1"/>
  <c r="H63" i="2" s="1"/>
  <c r="H19" i="2"/>
  <c r="H22" i="2" s="1"/>
  <c r="H33" i="2" s="1"/>
  <c r="E63" i="2"/>
  <c r="H65" i="2" l="1"/>
  <c r="H67" i="2" s="1"/>
  <c r="E65" i="2"/>
  <c r="G44" i="2"/>
  <c r="G19" i="2"/>
  <c r="G22" i="2" s="1"/>
  <c r="I14" i="2"/>
  <c r="I19" i="2" s="1"/>
  <c r="D65" i="2"/>
  <c r="G49" i="2" l="1"/>
  <c r="G52" i="2" s="1"/>
  <c r="I44" i="2"/>
  <c r="I49" i="2" s="1"/>
  <c r="E67" i="2"/>
  <c r="G33" i="2"/>
  <c r="I22" i="2"/>
  <c r="D67" i="2"/>
  <c r="I33" i="2" l="1"/>
  <c r="G63" i="2"/>
  <c r="I63" i="2" s="1"/>
  <c r="I52" i="2"/>
  <c r="G65" i="2" l="1"/>
  <c r="G67" i="2" l="1"/>
  <c r="I67" i="2" s="1"/>
  <c r="I65" i="2"/>
</calcChain>
</file>

<file path=xl/sharedStrings.xml><?xml version="1.0" encoding="utf-8"?>
<sst xmlns="http://schemas.openxmlformats.org/spreadsheetml/2006/main" count="382" uniqueCount="133">
  <si>
    <t>Compare Federal Income Taxes as booked at 21% to hypothetical 35%</t>
  </si>
  <si>
    <t>2018 Monthly Estimate Template</t>
  </si>
  <si>
    <t>Washington Electric</t>
  </si>
  <si>
    <t>Washington Natural Gas</t>
  </si>
  <si>
    <t>Calculation of Federal Taxable Operating Income</t>
  </si>
  <si>
    <t>Rate Base</t>
  </si>
  <si>
    <t>Weighted Cost of Debt</t>
  </si>
  <si>
    <t>Interest Expense (Annual)</t>
  </si>
  <si>
    <t>Operating Revenue</t>
  </si>
  <si>
    <t>Less:</t>
  </si>
  <si>
    <t>Operating &amp; Maintenance Expense</t>
  </si>
  <si>
    <t>Book Deprec/Amort and Reg Amortizations</t>
  </si>
  <si>
    <t>Taxes Other than FIT</t>
  </si>
  <si>
    <t>Net Operating Income Before FIT</t>
  </si>
  <si>
    <t>Interest Expense</t>
  </si>
  <si>
    <t>Colstrip 3 AFUDC Reallocation Adj</t>
  </si>
  <si>
    <t>Plus:</t>
  </si>
  <si>
    <t>Schedule M Permanent Differences</t>
  </si>
  <si>
    <t>Schedule M Plant Related Differences</t>
  </si>
  <si>
    <t>Schedule M Temporary Differences</t>
  </si>
  <si>
    <t>Taxable Net Operating Income</t>
  </si>
  <si>
    <t>Times:</t>
  </si>
  <si>
    <t>Tax Rate</t>
  </si>
  <si>
    <t>Federal Income Tax Expense</t>
  </si>
  <si>
    <t>Production Tax Credit</t>
  </si>
  <si>
    <t>Investment Tax Credit Amortization</t>
  </si>
  <si>
    <t>Excess Plant Related DFIT Amortization</t>
  </si>
  <si>
    <t>Plant Related Temp Diff Deferred Taxes</t>
  </si>
  <si>
    <t>Non-Plant Temp Diff Deferred Taxes</t>
  </si>
  <si>
    <t>Flowthrough Deferred Taxes</t>
  </si>
  <si>
    <t>Total Deferred Tax Expense</t>
  </si>
  <si>
    <t>Total Current and Deferred FIT Expense</t>
  </si>
  <si>
    <t>Conversion Factor</t>
  </si>
  <si>
    <t>Revenue Requirement Benefit</t>
  </si>
  <si>
    <t>Provision for Rate Refund</t>
  </si>
  <si>
    <t>Annual Estimate based on Rebuttal Pro Forma</t>
  </si>
  <si>
    <t>January 2018 Estimate</t>
  </si>
  <si>
    <t>February 2018 Estimate</t>
  </si>
  <si>
    <t>Deferral Period Estimate</t>
  </si>
  <si>
    <t>E-APL-1A</t>
  </si>
  <si>
    <t>2018 Results of Operations Report Reference</t>
  </si>
  <si>
    <t>Change in Tax Expense Due to Tax Rate Change</t>
  </si>
  <si>
    <t>March 2018 Estimate</t>
  </si>
  <si>
    <t>April 2018 Estimate</t>
  </si>
  <si>
    <t>E-FIT-1A</t>
  </si>
  <si>
    <t>E-INT-1A</t>
  </si>
  <si>
    <t>Sch M Recon</t>
  </si>
  <si>
    <t>E-DTE-1A</t>
  </si>
  <si>
    <t>check E-DTE-1A</t>
  </si>
  <si>
    <t>check E-FIT-1A</t>
  </si>
  <si>
    <t>Airplane Lease Payments</t>
  </si>
  <si>
    <t>Perm</t>
  </si>
  <si>
    <t>Amort - Invest in Exch Pwr (405.92,.93,.95,.98)</t>
  </si>
  <si>
    <t>Section 199 Manufacturing Deduction</t>
  </si>
  <si>
    <t>Meal Disallowances</t>
  </si>
  <si>
    <t>Book Depreciation</t>
  </si>
  <si>
    <t>Plant</t>
  </si>
  <si>
    <t>Contributions In Aid of Construction</t>
  </si>
  <si>
    <t>Transportation Depreciation</t>
  </si>
  <si>
    <t>Rathdrum Turbine Lease, Tax</t>
  </si>
  <si>
    <t>AFUDC</t>
  </si>
  <si>
    <t>Tax Depreciation</t>
  </si>
  <si>
    <t>Book Transportation Depr</t>
  </si>
  <si>
    <t>Repairs 481 (a)</t>
  </si>
  <si>
    <t>Injuries and Damages</t>
  </si>
  <si>
    <t>Temp</t>
  </si>
  <si>
    <t>Boulder Park Write Off</t>
  </si>
  <si>
    <t>FAS106 Current Retiree Medical Accrual</t>
  </si>
  <si>
    <t>Idaho PCA</t>
  </si>
  <si>
    <t>DSM Book Amortization</t>
  </si>
  <si>
    <t>Deferred Gas Credit and Refunds</t>
  </si>
  <si>
    <t>Redemption Expense</t>
  </si>
  <si>
    <t>DSM Tariff Rider</t>
  </si>
  <si>
    <t>FAS87 Current Pension Accrual</t>
  </si>
  <si>
    <t>Kettle Falls Disallowance</t>
  </si>
  <si>
    <t>Uncollectibles</t>
  </si>
  <si>
    <t>Senate Bill 408</t>
  </si>
  <si>
    <t>Decoupling Mechanism</t>
  </si>
  <si>
    <t>Interest Rate Swaps</t>
  </si>
  <si>
    <t>BPA Residential Exchange</t>
  </si>
  <si>
    <t>DSM Tariff Rider - 99 (G)</t>
  </si>
  <si>
    <t>Montana Hydro Settlement</t>
  </si>
  <si>
    <t>Washington Deferred Power Costs</t>
  </si>
  <si>
    <t>Non-Monetary Power Costs</t>
  </si>
  <si>
    <t>Nez Perce Settlement</t>
  </si>
  <si>
    <t>Renewable Energy Certificate Fees</t>
  </si>
  <si>
    <t>Spokane River Relicensing</t>
  </si>
  <si>
    <t>Colstrip Settlement</t>
  </si>
  <si>
    <t>Spokane River Relicensing PME</t>
  </si>
  <si>
    <t>CDA Lake Settlement</t>
  </si>
  <si>
    <t>Amortization - Unbilled Revenue Add-Ins</t>
  </si>
  <si>
    <t>OR Regulatory Fee</t>
  </si>
  <si>
    <t>Deferred Compensation</t>
  </si>
  <si>
    <t>Paid Time Off</t>
  </si>
  <si>
    <t>Customer Uncollectibles</t>
  </si>
  <si>
    <t>FAS106 Post Retirement - OR</t>
  </si>
  <si>
    <t>FAS87 Pension Benefits - OR</t>
  </si>
  <si>
    <t>Redemption Expense Amortization - OR</t>
  </si>
  <si>
    <t>Deferred O&amp;M Colstrip &amp; CS2</t>
  </si>
  <si>
    <t>WA REC DEF</t>
  </si>
  <si>
    <t>CDA Settlement Costs</t>
  </si>
  <si>
    <t>Kettle Falls Diesel Leak</t>
  </si>
  <si>
    <t>WA REC Amort</t>
  </si>
  <si>
    <t>Amort Idaho Earnings Test (254229)</t>
  </si>
  <si>
    <t>Def Project Compass</t>
  </si>
  <si>
    <t>Spokane River TDG</t>
  </si>
  <si>
    <t>WA Natural Gas Line Extension</t>
  </si>
  <si>
    <t>TOTAL Schedule Ms</t>
  </si>
  <si>
    <t>Flow Through DFIT</t>
  </si>
  <si>
    <t>Other Differences</t>
  </si>
  <si>
    <t xml:space="preserve">Plant DFIT </t>
  </si>
  <si>
    <t>TOTAL DFIT Calculated using Schedule M's</t>
  </si>
  <si>
    <t>Tax Dept</t>
  </si>
  <si>
    <t>2016 Specific</t>
  </si>
  <si>
    <t>ITC Deferral added to DFIT and Current Tax</t>
  </si>
  <si>
    <t>DFIT Plant - Calculated @ 35%</t>
  </si>
  <si>
    <t>Other DFIT @ 35%</t>
  </si>
  <si>
    <t xml:space="preserve">PER ROO DFIT </t>
  </si>
  <si>
    <t>UE-170485 Rebuttal</t>
  </si>
  <si>
    <t>E-FIT Adj 2.06 - Added to Flow Through</t>
  </si>
  <si>
    <t>Difference - Added to Flow Through</t>
  </si>
  <si>
    <t>UG-170486 Rebuttal</t>
  </si>
  <si>
    <t>Washington Gas</t>
  </si>
  <si>
    <t>SCM-1A</t>
  </si>
  <si>
    <t>E or G</t>
  </si>
  <si>
    <t>DTE-1A</t>
  </si>
  <si>
    <t>G-APL-1A</t>
  </si>
  <si>
    <t>G-INT-1A</t>
  </si>
  <si>
    <t>G-FIT-1A</t>
  </si>
  <si>
    <t>check G-FIT-1A</t>
  </si>
  <si>
    <t>check G-DTE-1A</t>
  </si>
  <si>
    <t>Colstrip 3 AFUDC Reallocation Adj N/A</t>
  </si>
  <si>
    <t>Production Tax Credit 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</si>
</sst>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_);\(0\)"/>
    <numFmt numFmtId="167" formatCode="#,##0.00_);[Red]\(#,##0.00\);&quot; &quot;"/>
    <numFmt numFmtId="168" formatCode="#,##0_);[Red]\(#,##0\);&quot; 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wrapText="1"/>
    </xf>
    <xf numFmtId="164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1" xfId="1" applyNumberFormat="1" applyFont="1" applyBorder="1"/>
    <xf numFmtId="9" fontId="0" fillId="0" borderId="0" xfId="2" applyFont="1"/>
    <xf numFmtId="0" fontId="0" fillId="0" borderId="0" xfId="0" applyAlignment="1">
      <alignment horizontal="center"/>
    </xf>
    <xf numFmtId="164" fontId="0" fillId="2" borderId="0" xfId="1" applyNumberFormat="1" applyFont="1" applyFill="1"/>
    <xf numFmtId="165" fontId="0" fillId="2" borderId="0" xfId="0" applyNumberFormat="1" applyFill="1"/>
    <xf numFmtId="43" fontId="0" fillId="2" borderId="0" xfId="1" applyNumberFormat="1" applyFont="1" applyFill="1"/>
    <xf numFmtId="166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right" wrapText="1"/>
    </xf>
    <xf numFmtId="166" fontId="2" fillId="0" borderId="0" xfId="0" applyNumberFormat="1" applyFont="1" applyAlignment="1">
      <alignment horizontal="left"/>
    </xf>
    <xf numFmtId="167" fontId="2" fillId="0" borderId="0" xfId="0" applyNumberFormat="1" applyFont="1" applyAlignment="1">
      <alignment horizontal="left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 applyFill="1" applyAlignment="1">
      <alignment horizontal="right"/>
    </xf>
    <xf numFmtId="164" fontId="2" fillId="0" borderId="2" xfId="1" applyNumberFormat="1" applyFont="1" applyBorder="1" applyAlignment="1">
      <alignment horizontal="right"/>
    </xf>
    <xf numFmtId="9" fontId="2" fillId="0" borderId="0" xfId="2" applyFont="1" applyAlignment="1">
      <alignment horizontal="right"/>
    </xf>
    <xf numFmtId="166" fontId="2" fillId="0" borderId="0" xfId="0" applyNumberFormat="1" applyFont="1" applyFill="1" applyAlignment="1">
      <alignment horizontal="left"/>
    </xf>
    <xf numFmtId="167" fontId="2" fillId="0" borderId="0" xfId="0" applyNumberFormat="1" applyFont="1" applyFill="1" applyAlignment="1">
      <alignment horizontal="left"/>
    </xf>
    <xf numFmtId="166" fontId="3" fillId="0" borderId="0" xfId="0" applyNumberFormat="1" applyFont="1" applyAlignment="1">
      <alignment horizontal="left"/>
    </xf>
    <xf numFmtId="167" fontId="3" fillId="0" borderId="0" xfId="0" applyNumberFormat="1" applyFont="1" applyAlignment="1">
      <alignment horizontal="left"/>
    </xf>
    <xf numFmtId="164" fontId="3" fillId="0" borderId="0" xfId="1" applyNumberFormat="1" applyFont="1" applyAlignment="1">
      <alignment horizontal="right"/>
    </xf>
    <xf numFmtId="168" fontId="2" fillId="0" borderId="0" xfId="0" applyNumberFormat="1" applyFont="1" applyAlignment="1">
      <alignment horizontal="left"/>
    </xf>
    <xf numFmtId="168" fontId="2" fillId="0" borderId="0" xfId="0" applyNumberFormat="1" applyFont="1" applyAlignment="1">
      <alignment horizontal="right"/>
    </xf>
    <xf numFmtId="168" fontId="2" fillId="0" borderId="3" xfId="0" applyNumberFormat="1" applyFont="1" applyBorder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2" fillId="0" borderId="4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center" wrapText="1"/>
    </xf>
    <xf numFmtId="0" fontId="0" fillId="0" borderId="0" xfId="0" applyAlignment="1">
      <alignment horizontal="left" wrapText="1"/>
    </xf>
    <xf numFmtId="168" fontId="2" fillId="0" borderId="1" xfId="0" applyNumberFormat="1" applyFont="1" applyFill="1" applyBorder="1" applyAlignment="1">
      <alignment horizontal="right"/>
    </xf>
    <xf numFmtId="0" fontId="0" fillId="0" borderId="0" xfId="0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71"/>
  <sheetViews>
    <sheetView tabSelected="1" view="pageBreakPreview" topLeftCell="A3" zoomScale="60" zoomScaleNormal="100" workbookViewId="0">
      <selection activeCell="D30" sqref="D30"/>
    </sheetView>
  </sheetViews>
  <sheetFormatPr defaultRowHeight="14.4" x14ac:dyDescent="0.3"/>
  <cols>
    <col min="1" max="1" width="16.5546875" customWidth="1"/>
    <col min="2" max="2" width="6.88671875" customWidth="1"/>
    <col min="3" max="3" width="39.77734375" customWidth="1"/>
    <col min="4" max="4" width="15.77734375" customWidth="1"/>
    <col min="5" max="5" width="14.21875" customWidth="1"/>
    <col min="6" max="6" width="13.77734375" customWidth="1"/>
    <col min="7" max="8" width="14.21875" customWidth="1"/>
    <col min="9" max="9" width="13.21875" customWidth="1"/>
    <col min="10" max="10" width="13.44140625" customWidth="1"/>
  </cols>
  <sheetData>
    <row r="1" spans="1:9" x14ac:dyDescent="0.3">
      <c r="B1" t="s">
        <v>0</v>
      </c>
    </row>
    <row r="2" spans="1:9" x14ac:dyDescent="0.3">
      <c r="B2" t="s">
        <v>1</v>
      </c>
    </row>
    <row r="3" spans="1:9" ht="43.8" customHeight="1" x14ac:dyDescent="0.3">
      <c r="A3" s="1" t="s">
        <v>40</v>
      </c>
      <c r="C3" s="1" t="s">
        <v>2</v>
      </c>
      <c r="D3" s="1" t="s">
        <v>35</v>
      </c>
      <c r="E3" s="1" t="s">
        <v>36</v>
      </c>
      <c r="F3" s="1" t="s">
        <v>37</v>
      </c>
      <c r="G3" s="1" t="s">
        <v>42</v>
      </c>
      <c r="H3" s="1" t="s">
        <v>43</v>
      </c>
      <c r="I3" s="1" t="s">
        <v>38</v>
      </c>
    </row>
    <row r="4" spans="1:9" x14ac:dyDescent="0.3">
      <c r="B4" t="s">
        <v>4</v>
      </c>
    </row>
    <row r="5" spans="1:9" x14ac:dyDescent="0.3">
      <c r="A5" s="8" t="s">
        <v>39</v>
      </c>
      <c r="C5" t="s">
        <v>5</v>
      </c>
      <c r="D5" s="2">
        <v>1564664.4720000001</v>
      </c>
      <c r="E5" s="9">
        <f>D5</f>
        <v>1564664.4720000001</v>
      </c>
      <c r="F5" s="9">
        <f t="shared" ref="F5:H5" si="0">E5</f>
        <v>1564664.4720000001</v>
      </c>
      <c r="G5" s="9">
        <f t="shared" si="0"/>
        <v>1564664.4720000001</v>
      </c>
      <c r="H5" s="9">
        <f t="shared" si="0"/>
        <v>1564664.4720000001</v>
      </c>
      <c r="I5" s="2">
        <f>AVERAGE(E5:H5)</f>
        <v>1564664.4720000001</v>
      </c>
    </row>
    <row r="6" spans="1:9" x14ac:dyDescent="0.3">
      <c r="A6" s="8" t="s">
        <v>45</v>
      </c>
      <c r="C6" t="s">
        <v>6</v>
      </c>
      <c r="D6" s="3">
        <v>2.81E-2</v>
      </c>
      <c r="E6" s="10">
        <f>D6</f>
        <v>2.81E-2</v>
      </c>
      <c r="F6" s="10">
        <f t="shared" ref="F6:H6" si="1">E6</f>
        <v>2.81E-2</v>
      </c>
      <c r="G6" s="10">
        <f t="shared" si="1"/>
        <v>2.81E-2</v>
      </c>
      <c r="H6" s="10">
        <f t="shared" si="1"/>
        <v>2.81E-2</v>
      </c>
    </row>
    <row r="7" spans="1:9" x14ac:dyDescent="0.3">
      <c r="C7" t="s">
        <v>7</v>
      </c>
      <c r="D7" s="4">
        <f>D5*D6</f>
        <v>43967.071663200004</v>
      </c>
      <c r="E7" s="4">
        <f>E5*E6</f>
        <v>43967.071663200004</v>
      </c>
      <c r="F7" s="4">
        <f t="shared" ref="F7:G7" si="2">F5*F6</f>
        <v>43967.071663200004</v>
      </c>
      <c r="G7" s="4">
        <f t="shared" si="2"/>
        <v>43967.071663200004</v>
      </c>
      <c r="H7" s="4">
        <f>H5*H6</f>
        <v>43967.071663200004</v>
      </c>
      <c r="I7" s="2">
        <f>AVERAGE(E7:H7)</f>
        <v>43967.071663200004</v>
      </c>
    </row>
    <row r="9" spans="1:9" x14ac:dyDescent="0.3">
      <c r="B9" t="s">
        <v>8</v>
      </c>
      <c r="D9" s="2">
        <f>540729</f>
        <v>540729</v>
      </c>
      <c r="E9" s="9">
        <f>$D9/12</f>
        <v>45060.75</v>
      </c>
      <c r="F9" s="9">
        <f t="shared" ref="F9:H12" si="3">$D9/12</f>
        <v>45060.75</v>
      </c>
      <c r="G9" s="9">
        <f t="shared" si="3"/>
        <v>45060.75</v>
      </c>
      <c r="H9" s="9">
        <f t="shared" si="3"/>
        <v>45060.75</v>
      </c>
      <c r="I9" s="2">
        <f>SUM(E9:H9)</f>
        <v>180243</v>
      </c>
    </row>
    <row r="10" spans="1:9" x14ac:dyDescent="0.3">
      <c r="A10" s="8" t="s">
        <v>44</v>
      </c>
      <c r="B10" s="5" t="s">
        <v>9</v>
      </c>
      <c r="C10" t="s">
        <v>10</v>
      </c>
      <c r="D10" s="2">
        <f>427348-D11-D12</f>
        <v>294084</v>
      </c>
      <c r="E10" s="9">
        <f>$D10/12</f>
        <v>24507</v>
      </c>
      <c r="F10" s="9">
        <f t="shared" si="3"/>
        <v>24507</v>
      </c>
      <c r="G10" s="9">
        <f t="shared" si="3"/>
        <v>24507</v>
      </c>
      <c r="H10" s="9">
        <f t="shared" si="3"/>
        <v>24507</v>
      </c>
      <c r="I10" s="2">
        <f t="shared" ref="I10:I18" si="4">SUM(E10:H10)</f>
        <v>98028</v>
      </c>
    </row>
    <row r="11" spans="1:9" x14ac:dyDescent="0.3">
      <c r="A11" s="8" t="s">
        <v>44</v>
      </c>
      <c r="B11" s="5" t="s">
        <v>9</v>
      </c>
      <c r="C11" t="s">
        <v>11</v>
      </c>
      <c r="D11" s="2">
        <f>29551+29066+28130+3312</f>
        <v>90059</v>
      </c>
      <c r="E11" s="9">
        <f>$D11/12</f>
        <v>7504.916666666667</v>
      </c>
      <c r="F11" s="9">
        <f t="shared" si="3"/>
        <v>7504.916666666667</v>
      </c>
      <c r="G11" s="9">
        <f t="shared" si="3"/>
        <v>7504.916666666667</v>
      </c>
      <c r="H11" s="9">
        <f t="shared" si="3"/>
        <v>7504.916666666667</v>
      </c>
      <c r="I11" s="2">
        <f t="shared" si="4"/>
        <v>30019.666666666668</v>
      </c>
    </row>
    <row r="12" spans="1:9" x14ac:dyDescent="0.3">
      <c r="A12" s="8" t="s">
        <v>44</v>
      </c>
      <c r="B12" s="5" t="s">
        <v>9</v>
      </c>
      <c r="C12" t="s">
        <v>12</v>
      </c>
      <c r="D12" s="2">
        <f>(16119+27086)</f>
        <v>43205</v>
      </c>
      <c r="E12" s="9">
        <f>$D12/12</f>
        <v>3600.4166666666665</v>
      </c>
      <c r="F12" s="9">
        <f t="shared" si="3"/>
        <v>3600.4166666666665</v>
      </c>
      <c r="G12" s="9">
        <f t="shared" si="3"/>
        <v>3600.4166666666665</v>
      </c>
      <c r="H12" s="9">
        <f t="shared" si="3"/>
        <v>3600.4166666666665</v>
      </c>
      <c r="I12" s="2">
        <f t="shared" si="4"/>
        <v>14401.666666666666</v>
      </c>
    </row>
    <row r="13" spans="1:9" x14ac:dyDescent="0.3">
      <c r="B13" s="5"/>
      <c r="C13" t="s">
        <v>13</v>
      </c>
      <c r="D13" s="6">
        <f>D9-SUM(D10:D12)</f>
        <v>113381</v>
      </c>
      <c r="E13" s="6">
        <f t="shared" ref="E13:I13" si="5">E9-SUM(E10:E12)</f>
        <v>9448.4166666666642</v>
      </c>
      <c r="F13" s="6">
        <f t="shared" si="5"/>
        <v>9448.4166666666642</v>
      </c>
      <c r="G13" s="6">
        <f t="shared" si="5"/>
        <v>9448.4166666666642</v>
      </c>
      <c r="H13" s="6">
        <f t="shared" si="5"/>
        <v>9448.4166666666642</v>
      </c>
      <c r="I13" s="6">
        <f t="shared" si="5"/>
        <v>37793.666666666657</v>
      </c>
    </row>
    <row r="14" spans="1:9" x14ac:dyDescent="0.3">
      <c r="A14" s="8" t="s">
        <v>44</v>
      </c>
      <c r="B14" s="5" t="s">
        <v>9</v>
      </c>
      <c r="C14" t="s">
        <v>14</v>
      </c>
      <c r="D14" s="2">
        <f>D7</f>
        <v>43967.071663200004</v>
      </c>
      <c r="E14" s="2">
        <f t="shared" ref="E14:H14" si="6">E7/12</f>
        <v>3663.9226386000005</v>
      </c>
      <c r="F14" s="2">
        <f t="shared" si="6"/>
        <v>3663.9226386000005</v>
      </c>
      <c r="G14" s="2">
        <f t="shared" si="6"/>
        <v>3663.9226386000005</v>
      </c>
      <c r="H14" s="2">
        <f t="shared" si="6"/>
        <v>3663.9226386000005</v>
      </c>
      <c r="I14" s="2">
        <f t="shared" si="4"/>
        <v>14655.690554400002</v>
      </c>
    </row>
    <row r="15" spans="1:9" x14ac:dyDescent="0.3">
      <c r="A15" s="8" t="s">
        <v>44</v>
      </c>
      <c r="B15" s="5" t="s">
        <v>9</v>
      </c>
      <c r="C15" t="s">
        <v>15</v>
      </c>
      <c r="D15" s="2">
        <v>-141.072</v>
      </c>
      <c r="E15" s="9">
        <f t="shared" ref="E15:H15" si="7">$D15/12</f>
        <v>-11.756</v>
      </c>
      <c r="F15" s="9">
        <f t="shared" si="7"/>
        <v>-11.756</v>
      </c>
      <c r="G15" s="9">
        <f t="shared" si="7"/>
        <v>-11.756</v>
      </c>
      <c r="H15" s="9">
        <f t="shared" si="7"/>
        <v>-11.756</v>
      </c>
      <c r="I15" s="2">
        <f t="shared" ref="I15" si="8">SUM(D15:H15)</f>
        <v>-188.096</v>
      </c>
    </row>
    <row r="16" spans="1:9" x14ac:dyDescent="0.3">
      <c r="A16" s="8" t="s">
        <v>46</v>
      </c>
      <c r="B16" s="5" t="s">
        <v>16</v>
      </c>
      <c r="C16" t="s">
        <v>17</v>
      </c>
      <c r="D16" s="2">
        <v>1942.231</v>
      </c>
      <c r="E16" s="9">
        <f>$D16/12</f>
        <v>161.85258333333334</v>
      </c>
      <c r="F16" s="9">
        <f t="shared" ref="F16:H18" si="9">$D16/12</f>
        <v>161.85258333333334</v>
      </c>
      <c r="G16" s="9">
        <f t="shared" si="9"/>
        <v>161.85258333333334</v>
      </c>
      <c r="H16" s="9">
        <f t="shared" si="9"/>
        <v>161.85258333333334</v>
      </c>
      <c r="I16" s="2">
        <f t="shared" si="4"/>
        <v>647.41033333333337</v>
      </c>
    </row>
    <row r="17" spans="1:9" x14ac:dyDescent="0.3">
      <c r="A17" s="8" t="s">
        <v>46</v>
      </c>
      <c r="B17" s="5" t="s">
        <v>16</v>
      </c>
      <c r="C17" t="s">
        <v>18</v>
      </c>
      <c r="D17" s="2">
        <v>-117566.65700000001</v>
      </c>
      <c r="E17" s="9">
        <f>$D17/12</f>
        <v>-9797.2214166666672</v>
      </c>
      <c r="F17" s="9">
        <f t="shared" si="9"/>
        <v>-9797.2214166666672</v>
      </c>
      <c r="G17" s="9">
        <f t="shared" si="9"/>
        <v>-9797.2214166666672</v>
      </c>
      <c r="H17" s="9">
        <f t="shared" si="9"/>
        <v>-9797.2214166666672</v>
      </c>
      <c r="I17" s="2">
        <f t="shared" si="4"/>
        <v>-39188.885666666669</v>
      </c>
    </row>
    <row r="18" spans="1:9" x14ac:dyDescent="0.3">
      <c r="A18" s="8" t="s">
        <v>46</v>
      </c>
      <c r="B18" s="5" t="s">
        <v>16</v>
      </c>
      <c r="C18" t="s">
        <v>19</v>
      </c>
      <c r="D18" s="2">
        <v>-32907.824999999997</v>
      </c>
      <c r="E18" s="9">
        <f>$D18/12</f>
        <v>-2742.3187499999999</v>
      </c>
      <c r="F18" s="9">
        <f t="shared" si="9"/>
        <v>-2742.3187499999999</v>
      </c>
      <c r="G18" s="9">
        <f t="shared" si="9"/>
        <v>-2742.3187499999999</v>
      </c>
      <c r="H18" s="9">
        <f t="shared" si="9"/>
        <v>-2742.3187499999999</v>
      </c>
      <c r="I18" s="2">
        <f t="shared" si="4"/>
        <v>-10969.275</v>
      </c>
    </row>
    <row r="19" spans="1:9" x14ac:dyDescent="0.3">
      <c r="B19" s="5"/>
      <c r="C19" t="s">
        <v>20</v>
      </c>
      <c r="D19" s="6">
        <f>D13-D14-D15+SUM(D16:D18)</f>
        <v>-78977.2506632</v>
      </c>
      <c r="E19" s="6">
        <f t="shared" ref="E19:I19" si="10">E13-E14-E15+SUM(E16:E18)</f>
        <v>-6581.4375552666706</v>
      </c>
      <c r="F19" s="6">
        <f t="shared" si="10"/>
        <v>-6581.4375552666706</v>
      </c>
      <c r="G19" s="6">
        <f t="shared" si="10"/>
        <v>-6581.4375552666706</v>
      </c>
      <c r="H19" s="6">
        <f t="shared" si="10"/>
        <v>-6581.4375552666706</v>
      </c>
      <c r="I19" s="6">
        <f t="shared" si="10"/>
        <v>-26184.678221066682</v>
      </c>
    </row>
    <row r="20" spans="1:9" x14ac:dyDescent="0.3">
      <c r="B20" s="5"/>
      <c r="D20" s="2"/>
      <c r="E20" s="2"/>
      <c r="F20" s="2"/>
      <c r="G20" s="2"/>
      <c r="H20" s="2"/>
      <c r="I20" s="2"/>
    </row>
    <row r="21" spans="1:9" x14ac:dyDescent="0.3">
      <c r="B21" s="5" t="s">
        <v>21</v>
      </c>
      <c r="C21" t="s">
        <v>22</v>
      </c>
      <c r="D21" s="7">
        <v>0.21</v>
      </c>
      <c r="E21" s="7">
        <v>0.21</v>
      </c>
      <c r="F21" s="7">
        <v>0.21</v>
      </c>
      <c r="G21" s="7">
        <v>0.21</v>
      </c>
      <c r="H21" s="7">
        <v>0.21</v>
      </c>
      <c r="I21" s="7"/>
    </row>
    <row r="22" spans="1:9" x14ac:dyDescent="0.3">
      <c r="A22" s="8" t="s">
        <v>49</v>
      </c>
      <c r="B22" s="5"/>
      <c r="C22" t="s">
        <v>23</v>
      </c>
      <c r="D22" s="2">
        <f>D19*D21</f>
        <v>-16585.222639272</v>
      </c>
      <c r="E22" s="2">
        <f t="shared" ref="E22:H22" si="11">E19*E21</f>
        <v>-1382.1018866060008</v>
      </c>
      <c r="F22" s="2">
        <f t="shared" si="11"/>
        <v>-1382.1018866060008</v>
      </c>
      <c r="G22" s="2">
        <f t="shared" si="11"/>
        <v>-1382.1018866060008</v>
      </c>
      <c r="H22" s="2">
        <f t="shared" si="11"/>
        <v>-1382.1018866060008</v>
      </c>
      <c r="I22" s="2">
        <f t="shared" ref="I22" si="12">SUM(E22:H22)</f>
        <v>-5528.4075464240032</v>
      </c>
    </row>
    <row r="23" spans="1:9" x14ac:dyDescent="0.3">
      <c r="D23" s="2"/>
      <c r="E23" s="2"/>
      <c r="F23" s="2"/>
      <c r="G23" s="2"/>
      <c r="H23" s="2"/>
      <c r="I23" s="2"/>
    </row>
    <row r="24" spans="1:9" x14ac:dyDescent="0.3">
      <c r="A24" s="8" t="s">
        <v>44</v>
      </c>
      <c r="C24" t="s">
        <v>24</v>
      </c>
      <c r="D24" s="2">
        <v>0</v>
      </c>
      <c r="E24" s="11">
        <f>$D24/12</f>
        <v>0</v>
      </c>
      <c r="F24" s="11">
        <f t="shared" ref="F24:H25" si="13">$D24/12</f>
        <v>0</v>
      </c>
      <c r="G24" s="11">
        <f t="shared" si="13"/>
        <v>0</v>
      </c>
      <c r="H24" s="11">
        <f t="shared" si="13"/>
        <v>0</v>
      </c>
      <c r="I24" s="2">
        <f t="shared" ref="I24:I25" si="14">SUM(E24:H24)</f>
        <v>0</v>
      </c>
    </row>
    <row r="25" spans="1:9" x14ac:dyDescent="0.3">
      <c r="A25" s="8" t="s">
        <v>44</v>
      </c>
      <c r="C25" t="s">
        <v>25</v>
      </c>
      <c r="D25" s="2">
        <v>-326</v>
      </c>
      <c r="E25" s="9">
        <f>$D25/12</f>
        <v>-27.166666666666668</v>
      </c>
      <c r="F25" s="9">
        <f t="shared" si="13"/>
        <v>-27.166666666666668</v>
      </c>
      <c r="G25" s="9">
        <f t="shared" si="13"/>
        <v>-27.166666666666668</v>
      </c>
      <c r="H25" s="9">
        <f t="shared" si="13"/>
        <v>-27.166666666666668</v>
      </c>
      <c r="I25" s="2">
        <f t="shared" si="14"/>
        <v>-108.66666666666667</v>
      </c>
    </row>
    <row r="26" spans="1:9" x14ac:dyDescent="0.3">
      <c r="D26" s="2"/>
      <c r="E26" s="2"/>
      <c r="F26" s="2"/>
      <c r="G26" s="2"/>
      <c r="H26" s="2"/>
      <c r="I26" s="2"/>
    </row>
    <row r="27" spans="1:9" x14ac:dyDescent="0.3">
      <c r="A27" s="8" t="s">
        <v>47</v>
      </c>
      <c r="C27" t="s">
        <v>26</v>
      </c>
      <c r="D27" s="2">
        <v>0</v>
      </c>
      <c r="E27" s="9">
        <f>$D27/12</f>
        <v>0</v>
      </c>
      <c r="F27" s="9">
        <f t="shared" ref="F27:H27" si="15">$D27/12</f>
        <v>0</v>
      </c>
      <c r="G27" s="9">
        <f t="shared" si="15"/>
        <v>0</v>
      </c>
      <c r="H27" s="9">
        <f t="shared" si="15"/>
        <v>0</v>
      </c>
      <c r="I27" s="2">
        <f t="shared" ref="I27:I30" si="16">SUM(E27:H27)</f>
        <v>0</v>
      </c>
    </row>
    <row r="28" spans="1:9" x14ac:dyDescent="0.3">
      <c r="A28" s="8" t="s">
        <v>46</v>
      </c>
      <c r="C28" t="s">
        <v>27</v>
      </c>
      <c r="D28" s="2">
        <f>D17*-D21</f>
        <v>24688.99797</v>
      </c>
      <c r="E28" s="2">
        <f t="shared" ref="E28:H28" si="17">E17*-E21</f>
        <v>2057.4164974999999</v>
      </c>
      <c r="F28" s="2">
        <f t="shared" si="17"/>
        <v>2057.4164974999999</v>
      </c>
      <c r="G28" s="2">
        <f t="shared" si="17"/>
        <v>2057.4164974999999</v>
      </c>
      <c r="H28" s="2">
        <f t="shared" si="17"/>
        <v>2057.4164974999999</v>
      </c>
      <c r="I28" s="2">
        <f t="shared" si="16"/>
        <v>8229.6659899999995</v>
      </c>
    </row>
    <row r="29" spans="1:9" x14ac:dyDescent="0.3">
      <c r="A29" s="8" t="s">
        <v>46</v>
      </c>
      <c r="C29" t="s">
        <v>28</v>
      </c>
      <c r="D29" s="2">
        <f>D18*-D21</f>
        <v>6910.6432499999992</v>
      </c>
      <c r="E29" s="2">
        <f t="shared" ref="E29:H29" si="18">E18*-E21</f>
        <v>575.88693749999993</v>
      </c>
      <c r="F29" s="2">
        <f t="shared" si="18"/>
        <v>575.88693749999993</v>
      </c>
      <c r="G29" s="2">
        <f t="shared" si="18"/>
        <v>575.88693749999993</v>
      </c>
      <c r="H29" s="2">
        <f t="shared" si="18"/>
        <v>575.88693749999993</v>
      </c>
      <c r="I29" s="2">
        <f t="shared" si="16"/>
        <v>2303.5477499999997</v>
      </c>
    </row>
    <row r="30" spans="1:9" x14ac:dyDescent="0.3">
      <c r="A30" s="8" t="s">
        <v>46</v>
      </c>
      <c r="C30" t="s">
        <v>29</v>
      </c>
      <c r="D30" s="2">
        <f>1175-168-40</f>
        <v>967</v>
      </c>
      <c r="E30" s="9">
        <f>$D30/12</f>
        <v>80.583333333333329</v>
      </c>
      <c r="F30" s="9">
        <f t="shared" ref="F30:H30" si="19">$D30/12</f>
        <v>80.583333333333329</v>
      </c>
      <c r="G30" s="9">
        <f t="shared" si="19"/>
        <v>80.583333333333329</v>
      </c>
      <c r="H30" s="9">
        <f t="shared" si="19"/>
        <v>80.583333333333329</v>
      </c>
      <c r="I30" s="2">
        <f t="shared" si="16"/>
        <v>322.33333333333331</v>
      </c>
    </row>
    <row r="31" spans="1:9" x14ac:dyDescent="0.3">
      <c r="A31" s="8" t="s">
        <v>48</v>
      </c>
      <c r="C31" t="s">
        <v>30</v>
      </c>
      <c r="D31" s="6">
        <f>SUM(D27:D30)</f>
        <v>32566.641219999998</v>
      </c>
      <c r="E31" s="6">
        <f t="shared" ref="E31:H31" si="20">SUM(E27:E30)</f>
        <v>2713.8867683333333</v>
      </c>
      <c r="F31" s="6">
        <f t="shared" si="20"/>
        <v>2713.8867683333333</v>
      </c>
      <c r="G31" s="6">
        <f t="shared" si="20"/>
        <v>2713.8867683333333</v>
      </c>
      <c r="H31" s="6">
        <f t="shared" si="20"/>
        <v>2713.8867683333333</v>
      </c>
      <c r="I31" s="6">
        <f>SUM(I27:I30)</f>
        <v>10855.547073333333</v>
      </c>
    </row>
    <row r="32" spans="1:9" x14ac:dyDescent="0.3">
      <c r="D32" s="2"/>
      <c r="E32" s="2"/>
      <c r="F32" s="2"/>
      <c r="G32" s="2"/>
      <c r="H32" s="2"/>
      <c r="I32" s="2"/>
    </row>
    <row r="33" spans="1:9" x14ac:dyDescent="0.3">
      <c r="A33" s="8" t="s">
        <v>49</v>
      </c>
      <c r="B33" t="s">
        <v>31</v>
      </c>
      <c r="D33" s="2">
        <f>D22+D31+D24+D25</f>
        <v>15655.418580727997</v>
      </c>
      <c r="E33" s="2">
        <f t="shared" ref="E33:H33" si="21">E22+E31+E24+E25</f>
        <v>1304.6182150606658</v>
      </c>
      <c r="F33" s="2">
        <f t="shared" si="21"/>
        <v>1304.6182150606658</v>
      </c>
      <c r="G33" s="2">
        <f t="shared" si="21"/>
        <v>1304.6182150606658</v>
      </c>
      <c r="H33" s="2">
        <f t="shared" si="21"/>
        <v>1304.6182150606658</v>
      </c>
      <c r="I33" s="2">
        <f t="shared" ref="I33" si="22">SUM(E33:H33)</f>
        <v>5218.472860242663</v>
      </c>
    </row>
    <row r="35" spans="1:9" ht="4.8" customHeight="1" x14ac:dyDescent="0.3"/>
    <row r="36" spans="1:9" ht="42" customHeight="1" x14ac:dyDescent="0.3">
      <c r="D36" s="1" t="str">
        <f>D3</f>
        <v>Annual Estimate based on Rebuttal Pro Forma</v>
      </c>
      <c r="E36" s="1" t="str">
        <f t="shared" ref="E36:I36" si="23">E3</f>
        <v>January 2018 Estimate</v>
      </c>
      <c r="F36" s="1" t="str">
        <f t="shared" si="23"/>
        <v>February 2018 Estimate</v>
      </c>
      <c r="G36" s="1" t="str">
        <f t="shared" si="23"/>
        <v>March 2018 Estimate</v>
      </c>
      <c r="H36" s="1" t="str">
        <f t="shared" si="23"/>
        <v>April 2018 Estimate</v>
      </c>
      <c r="I36" s="1" t="str">
        <f t="shared" si="23"/>
        <v>Deferral Period Estimate</v>
      </c>
    </row>
    <row r="37" spans="1:9" x14ac:dyDescent="0.3">
      <c r="B37" t="s">
        <v>4</v>
      </c>
    </row>
    <row r="39" spans="1:9" x14ac:dyDescent="0.3">
      <c r="B39" t="s">
        <v>8</v>
      </c>
      <c r="D39" s="2">
        <f>D9</f>
        <v>540729</v>
      </c>
      <c r="E39" s="2">
        <f t="shared" ref="E39:H42" si="24">E9</f>
        <v>45060.75</v>
      </c>
      <c r="F39" s="2">
        <f t="shared" si="24"/>
        <v>45060.75</v>
      </c>
      <c r="G39" s="2">
        <f t="shared" si="24"/>
        <v>45060.75</v>
      </c>
      <c r="H39" s="2">
        <f t="shared" si="24"/>
        <v>45060.75</v>
      </c>
      <c r="I39" s="2">
        <f t="shared" ref="I39:I42" si="25">SUM(E39:H39)</f>
        <v>180243</v>
      </c>
    </row>
    <row r="40" spans="1:9" x14ac:dyDescent="0.3">
      <c r="B40" s="5" t="s">
        <v>9</v>
      </c>
      <c r="C40" t="s">
        <v>10</v>
      </c>
      <c r="D40" s="2">
        <f>D10</f>
        <v>294084</v>
      </c>
      <c r="E40" s="2">
        <f t="shared" si="24"/>
        <v>24507</v>
      </c>
      <c r="F40" s="2">
        <f t="shared" si="24"/>
        <v>24507</v>
      </c>
      <c r="G40" s="2">
        <f t="shared" si="24"/>
        <v>24507</v>
      </c>
      <c r="H40" s="2">
        <f t="shared" si="24"/>
        <v>24507</v>
      </c>
      <c r="I40" s="2">
        <f t="shared" si="25"/>
        <v>98028</v>
      </c>
    </row>
    <row r="41" spans="1:9" x14ac:dyDescent="0.3">
      <c r="B41" s="5" t="s">
        <v>9</v>
      </c>
      <c r="C41" t="s">
        <v>11</v>
      </c>
      <c r="D41" s="2">
        <f>D11</f>
        <v>90059</v>
      </c>
      <c r="E41" s="2">
        <f t="shared" si="24"/>
        <v>7504.916666666667</v>
      </c>
      <c r="F41" s="2">
        <f t="shared" si="24"/>
        <v>7504.916666666667</v>
      </c>
      <c r="G41" s="2">
        <f t="shared" si="24"/>
        <v>7504.916666666667</v>
      </c>
      <c r="H41" s="2">
        <f t="shared" si="24"/>
        <v>7504.916666666667</v>
      </c>
      <c r="I41" s="2">
        <f t="shared" si="25"/>
        <v>30019.666666666668</v>
      </c>
    </row>
    <row r="42" spans="1:9" x14ac:dyDescent="0.3">
      <c r="B42" s="5" t="s">
        <v>9</v>
      </c>
      <c r="C42" t="s">
        <v>12</v>
      </c>
      <c r="D42" s="2">
        <f>D12</f>
        <v>43205</v>
      </c>
      <c r="E42" s="2">
        <f t="shared" si="24"/>
        <v>3600.4166666666665</v>
      </c>
      <c r="F42" s="2">
        <f t="shared" si="24"/>
        <v>3600.4166666666665</v>
      </c>
      <c r="G42" s="2">
        <f t="shared" si="24"/>
        <v>3600.4166666666665</v>
      </c>
      <c r="H42" s="2">
        <f t="shared" si="24"/>
        <v>3600.4166666666665</v>
      </c>
      <c r="I42" s="2">
        <f t="shared" si="25"/>
        <v>14401.666666666666</v>
      </c>
    </row>
    <row r="43" spans="1:9" x14ac:dyDescent="0.3">
      <c r="B43" s="5"/>
      <c r="C43" t="s">
        <v>13</v>
      </c>
      <c r="D43" s="6">
        <f>D39-SUM(D40:D42)</f>
        <v>113381</v>
      </c>
      <c r="E43" s="6">
        <f t="shared" ref="E43" si="26">E39-SUM(E40:E42)</f>
        <v>9448.4166666666642</v>
      </c>
      <c r="F43" s="6">
        <f t="shared" ref="F43:I43" si="27">F39-SUM(F40:F42)</f>
        <v>9448.4166666666642</v>
      </c>
      <c r="G43" s="6">
        <f t="shared" si="27"/>
        <v>9448.4166666666642</v>
      </c>
      <c r="H43" s="6">
        <f t="shared" si="27"/>
        <v>9448.4166666666642</v>
      </c>
      <c r="I43" s="6">
        <f t="shared" si="27"/>
        <v>37793.666666666657</v>
      </c>
    </row>
    <row r="44" spans="1:9" x14ac:dyDescent="0.3">
      <c r="B44" s="5" t="s">
        <v>9</v>
      </c>
      <c r="C44" t="s">
        <v>14</v>
      </c>
      <c r="D44" s="2">
        <f>D14</f>
        <v>43967.071663200004</v>
      </c>
      <c r="E44" s="2">
        <f t="shared" ref="E44:H44" si="28">E14</f>
        <v>3663.9226386000005</v>
      </c>
      <c r="F44" s="2">
        <f t="shared" si="28"/>
        <v>3663.9226386000005</v>
      </c>
      <c r="G44" s="2">
        <f t="shared" si="28"/>
        <v>3663.9226386000005</v>
      </c>
      <c r="H44" s="2">
        <f t="shared" si="28"/>
        <v>3663.9226386000005</v>
      </c>
      <c r="I44" s="2">
        <f t="shared" ref="I44:I48" si="29">SUM(E44:H44)</f>
        <v>14655.690554400002</v>
      </c>
    </row>
    <row r="45" spans="1:9" x14ac:dyDescent="0.3">
      <c r="B45" s="5" t="s">
        <v>9</v>
      </c>
      <c r="C45" t="s">
        <v>15</v>
      </c>
      <c r="D45" s="2">
        <f t="shared" ref="D45:H48" si="30">D15</f>
        <v>-141.072</v>
      </c>
      <c r="E45" s="2">
        <f t="shared" si="30"/>
        <v>-11.756</v>
      </c>
      <c r="F45" s="2">
        <f t="shared" si="30"/>
        <v>-11.756</v>
      </c>
      <c r="G45" s="2">
        <f t="shared" si="30"/>
        <v>-11.756</v>
      </c>
      <c r="H45" s="2">
        <f t="shared" si="30"/>
        <v>-11.756</v>
      </c>
      <c r="I45" s="2">
        <f t="shared" si="29"/>
        <v>-47.024000000000001</v>
      </c>
    </row>
    <row r="46" spans="1:9" x14ac:dyDescent="0.3">
      <c r="B46" s="5" t="s">
        <v>16</v>
      </c>
      <c r="C46" t="s">
        <v>17</v>
      </c>
      <c r="D46" s="2">
        <f t="shared" si="30"/>
        <v>1942.231</v>
      </c>
      <c r="E46" s="2">
        <f t="shared" si="30"/>
        <v>161.85258333333334</v>
      </c>
      <c r="F46" s="2">
        <f t="shared" si="30"/>
        <v>161.85258333333334</v>
      </c>
      <c r="G46" s="2">
        <f t="shared" si="30"/>
        <v>161.85258333333334</v>
      </c>
      <c r="H46" s="2">
        <f t="shared" si="30"/>
        <v>161.85258333333334</v>
      </c>
      <c r="I46" s="2">
        <f t="shared" si="29"/>
        <v>647.41033333333337</v>
      </c>
    </row>
    <row r="47" spans="1:9" x14ac:dyDescent="0.3">
      <c r="B47" s="5" t="s">
        <v>16</v>
      </c>
      <c r="C47" t="s">
        <v>18</v>
      </c>
      <c r="D47" s="2">
        <f t="shared" si="30"/>
        <v>-117566.65700000001</v>
      </c>
      <c r="E47" s="2">
        <f t="shared" si="30"/>
        <v>-9797.2214166666672</v>
      </c>
      <c r="F47" s="2">
        <f t="shared" si="30"/>
        <v>-9797.2214166666672</v>
      </c>
      <c r="G47" s="2">
        <f t="shared" si="30"/>
        <v>-9797.2214166666672</v>
      </c>
      <c r="H47" s="2">
        <f t="shared" si="30"/>
        <v>-9797.2214166666672</v>
      </c>
      <c r="I47" s="2">
        <f t="shared" si="29"/>
        <v>-39188.885666666669</v>
      </c>
    </row>
    <row r="48" spans="1:9" x14ac:dyDescent="0.3">
      <c r="B48" s="5" t="s">
        <v>16</v>
      </c>
      <c r="C48" t="s">
        <v>19</v>
      </c>
      <c r="D48" s="2">
        <f t="shared" si="30"/>
        <v>-32907.824999999997</v>
      </c>
      <c r="E48" s="2">
        <f t="shared" si="30"/>
        <v>-2742.3187499999999</v>
      </c>
      <c r="F48" s="2">
        <f t="shared" si="30"/>
        <v>-2742.3187499999999</v>
      </c>
      <c r="G48" s="2">
        <f t="shared" si="30"/>
        <v>-2742.3187499999999</v>
      </c>
      <c r="H48" s="2">
        <f t="shared" si="30"/>
        <v>-2742.3187499999999</v>
      </c>
      <c r="I48" s="2">
        <f t="shared" si="29"/>
        <v>-10969.275</v>
      </c>
    </row>
    <row r="49" spans="2:9" x14ac:dyDescent="0.3">
      <c r="B49" s="5"/>
      <c r="C49" t="s">
        <v>20</v>
      </c>
      <c r="D49" s="6">
        <f>D43-D44-D45+SUM(D46:D48)</f>
        <v>-78977.2506632</v>
      </c>
      <c r="E49" s="6">
        <f t="shared" ref="E49:I49" si="31">E43-E44-E45+SUM(E46:E48)</f>
        <v>-6581.4375552666706</v>
      </c>
      <c r="F49" s="6">
        <f t="shared" si="31"/>
        <v>-6581.4375552666706</v>
      </c>
      <c r="G49" s="6">
        <f t="shared" si="31"/>
        <v>-6581.4375552666706</v>
      </c>
      <c r="H49" s="6">
        <f t="shared" si="31"/>
        <v>-6581.4375552666706</v>
      </c>
      <c r="I49" s="6">
        <f t="shared" si="31"/>
        <v>-26325.750221066683</v>
      </c>
    </row>
    <row r="50" spans="2:9" x14ac:dyDescent="0.3">
      <c r="B50" s="5"/>
      <c r="D50" s="2"/>
      <c r="E50" s="2"/>
      <c r="F50" s="2"/>
      <c r="G50" s="2"/>
      <c r="H50" s="2"/>
      <c r="I50" s="2"/>
    </row>
    <row r="51" spans="2:9" x14ac:dyDescent="0.3">
      <c r="B51" s="5" t="s">
        <v>21</v>
      </c>
      <c r="C51" t="s">
        <v>22</v>
      </c>
      <c r="D51" s="7">
        <v>0.35</v>
      </c>
      <c r="E51" s="7">
        <v>0.35</v>
      </c>
      <c r="F51" s="7">
        <v>0.35</v>
      </c>
      <c r="G51" s="7">
        <v>0.35</v>
      </c>
      <c r="H51" s="7">
        <v>0.35</v>
      </c>
      <c r="I51" s="7"/>
    </row>
    <row r="52" spans="2:9" x14ac:dyDescent="0.3">
      <c r="B52" s="5"/>
      <c r="C52" t="s">
        <v>23</v>
      </c>
      <c r="D52" s="2">
        <f>D49*D51</f>
        <v>-27642.037732119999</v>
      </c>
      <c r="E52" s="2">
        <f t="shared" ref="E52:H52" si="32">E49*E51</f>
        <v>-2303.5031443433345</v>
      </c>
      <c r="F52" s="2">
        <f t="shared" si="32"/>
        <v>-2303.5031443433345</v>
      </c>
      <c r="G52" s="2">
        <f t="shared" si="32"/>
        <v>-2303.5031443433345</v>
      </c>
      <c r="H52" s="2">
        <f t="shared" si="32"/>
        <v>-2303.5031443433345</v>
      </c>
      <c r="I52" s="2">
        <f t="shared" ref="I52" si="33">SUM(E52:H52)</f>
        <v>-9214.012577373338</v>
      </c>
    </row>
    <row r="53" spans="2:9" x14ac:dyDescent="0.3">
      <c r="D53" s="2"/>
      <c r="E53" s="2"/>
      <c r="F53" s="2"/>
      <c r="G53" s="2"/>
      <c r="H53" s="2"/>
      <c r="I53" s="2"/>
    </row>
    <row r="54" spans="2:9" x14ac:dyDescent="0.3">
      <c r="C54" t="s">
        <v>24</v>
      </c>
      <c r="D54" s="2">
        <f t="shared" ref="D54:H55" si="34">D24</f>
        <v>0</v>
      </c>
      <c r="E54" s="2">
        <f t="shared" si="34"/>
        <v>0</v>
      </c>
      <c r="F54" s="2">
        <f t="shared" si="34"/>
        <v>0</v>
      </c>
      <c r="G54" s="2">
        <f t="shared" si="34"/>
        <v>0</v>
      </c>
      <c r="H54" s="2">
        <f t="shared" si="34"/>
        <v>0</v>
      </c>
      <c r="I54" s="2">
        <f t="shared" ref="I54:I55" si="35">SUM(E54:H54)</f>
        <v>0</v>
      </c>
    </row>
    <row r="55" spans="2:9" x14ac:dyDescent="0.3">
      <c r="C55" t="s">
        <v>25</v>
      </c>
      <c r="D55" s="2">
        <f t="shared" si="34"/>
        <v>-326</v>
      </c>
      <c r="E55" s="2">
        <f t="shared" si="34"/>
        <v>-27.166666666666668</v>
      </c>
      <c r="F55" s="2">
        <f t="shared" si="34"/>
        <v>-27.166666666666668</v>
      </c>
      <c r="G55" s="2">
        <f t="shared" si="34"/>
        <v>-27.166666666666668</v>
      </c>
      <c r="H55" s="2">
        <f t="shared" si="34"/>
        <v>-27.166666666666668</v>
      </c>
      <c r="I55" s="2">
        <f t="shared" si="35"/>
        <v>-108.66666666666667</v>
      </c>
    </row>
    <row r="56" spans="2:9" x14ac:dyDescent="0.3">
      <c r="D56" s="2"/>
      <c r="E56" s="2"/>
      <c r="F56" s="2"/>
      <c r="G56" s="2"/>
      <c r="H56" s="2"/>
      <c r="I56" s="2"/>
    </row>
    <row r="57" spans="2:9" x14ac:dyDescent="0.3">
      <c r="C57" t="s">
        <v>26</v>
      </c>
      <c r="D57" s="2">
        <f t="shared" ref="D57:H57" si="36">D27</f>
        <v>0</v>
      </c>
      <c r="E57" s="2">
        <f t="shared" si="36"/>
        <v>0</v>
      </c>
      <c r="F57" s="2">
        <f t="shared" si="36"/>
        <v>0</v>
      </c>
      <c r="G57" s="2">
        <f t="shared" si="36"/>
        <v>0</v>
      </c>
      <c r="H57" s="2">
        <f t="shared" si="36"/>
        <v>0</v>
      </c>
      <c r="I57" s="2">
        <f t="shared" ref="I57:I60" si="37">SUM(E57:H57)</f>
        <v>0</v>
      </c>
    </row>
    <row r="58" spans="2:9" x14ac:dyDescent="0.3">
      <c r="C58" t="s">
        <v>27</v>
      </c>
      <c r="D58" s="2">
        <f>D47*-D51</f>
        <v>41148.329949999999</v>
      </c>
      <c r="E58" s="2">
        <f t="shared" ref="E58:H58" si="38">E47*-E51</f>
        <v>3429.0274958333334</v>
      </c>
      <c r="F58" s="2">
        <f t="shared" si="38"/>
        <v>3429.0274958333334</v>
      </c>
      <c r="G58" s="2">
        <f t="shared" si="38"/>
        <v>3429.0274958333334</v>
      </c>
      <c r="H58" s="2">
        <f t="shared" si="38"/>
        <v>3429.0274958333334</v>
      </c>
      <c r="I58" s="2">
        <f t="shared" si="37"/>
        <v>13716.109983333334</v>
      </c>
    </row>
    <row r="59" spans="2:9" x14ac:dyDescent="0.3">
      <c r="C59" t="s">
        <v>28</v>
      </c>
      <c r="D59" s="2">
        <f>D48*-D51</f>
        <v>11517.738749999999</v>
      </c>
      <c r="E59" s="2">
        <f t="shared" ref="E59:H59" si="39">E48*-E51</f>
        <v>959.81156249999992</v>
      </c>
      <c r="F59" s="2">
        <f t="shared" si="39"/>
        <v>959.81156249999992</v>
      </c>
      <c r="G59" s="2">
        <f t="shared" si="39"/>
        <v>959.81156249999992</v>
      </c>
      <c r="H59" s="2">
        <f t="shared" si="39"/>
        <v>959.81156249999992</v>
      </c>
      <c r="I59" s="2">
        <f t="shared" si="37"/>
        <v>3839.2462499999997</v>
      </c>
    </row>
    <row r="60" spans="2:9" x14ac:dyDescent="0.3">
      <c r="C60" t="s">
        <v>29</v>
      </c>
      <c r="D60" s="2">
        <f t="shared" ref="D60:H60" si="40">D30</f>
        <v>967</v>
      </c>
      <c r="E60" s="2">
        <f t="shared" si="40"/>
        <v>80.583333333333329</v>
      </c>
      <c r="F60" s="2">
        <f t="shared" si="40"/>
        <v>80.583333333333329</v>
      </c>
      <c r="G60" s="2">
        <f t="shared" si="40"/>
        <v>80.583333333333329</v>
      </c>
      <c r="H60" s="2">
        <f t="shared" si="40"/>
        <v>80.583333333333329</v>
      </c>
      <c r="I60" s="2">
        <f t="shared" si="37"/>
        <v>322.33333333333331</v>
      </c>
    </row>
    <row r="61" spans="2:9" x14ac:dyDescent="0.3">
      <c r="C61" t="s">
        <v>30</v>
      </c>
      <c r="D61" s="6">
        <f>SUM(D57:D60)</f>
        <v>53633.068699999996</v>
      </c>
      <c r="E61" s="6">
        <f t="shared" ref="E61:I61" si="41">SUM(E57:E60)</f>
        <v>4469.422391666666</v>
      </c>
      <c r="F61" s="6">
        <f t="shared" si="41"/>
        <v>4469.422391666666</v>
      </c>
      <c r="G61" s="6">
        <f t="shared" si="41"/>
        <v>4469.422391666666</v>
      </c>
      <c r="H61" s="6">
        <f t="shared" si="41"/>
        <v>4469.422391666666</v>
      </c>
      <c r="I61" s="6">
        <f t="shared" si="41"/>
        <v>17877.689566666664</v>
      </c>
    </row>
    <row r="62" spans="2:9" x14ac:dyDescent="0.3">
      <c r="D62" s="2"/>
      <c r="E62" s="2"/>
      <c r="F62" s="2"/>
      <c r="G62" s="2"/>
      <c r="H62" s="2"/>
      <c r="I62" s="2"/>
    </row>
    <row r="63" spans="2:9" x14ac:dyDescent="0.3">
      <c r="B63" t="s">
        <v>31</v>
      </c>
      <c r="D63" s="2">
        <f>D52+D61+D54+D55</f>
        <v>25665.030967879997</v>
      </c>
      <c r="E63" s="2">
        <f t="shared" ref="E63:H63" si="42">E52+E61+E54+E55</f>
        <v>2138.752580656665</v>
      </c>
      <c r="F63" s="2">
        <f t="shared" si="42"/>
        <v>2138.752580656665</v>
      </c>
      <c r="G63" s="2">
        <f t="shared" si="42"/>
        <v>2138.752580656665</v>
      </c>
      <c r="H63" s="2">
        <f t="shared" si="42"/>
        <v>2138.752580656665</v>
      </c>
      <c r="I63" s="2">
        <f t="shared" ref="I63" si="43">SUM(E63:H63)</f>
        <v>8555.0103226266601</v>
      </c>
    </row>
    <row r="65" spans="2:9" x14ac:dyDescent="0.3">
      <c r="B65" t="s">
        <v>41</v>
      </c>
      <c r="D65" s="4">
        <f>D33-D63</f>
        <v>-10009.612387151999</v>
      </c>
      <c r="E65" s="4">
        <f t="shared" ref="E65:H65" si="44">E33-E63</f>
        <v>-834.13436559599927</v>
      </c>
      <c r="F65" s="4">
        <f t="shared" si="44"/>
        <v>-834.13436559599927</v>
      </c>
      <c r="G65" s="4">
        <f t="shared" si="44"/>
        <v>-834.13436559599927</v>
      </c>
      <c r="H65" s="4">
        <f t="shared" si="44"/>
        <v>-834.13436559599927</v>
      </c>
      <c r="I65" s="2">
        <f t="shared" ref="I65" si="45">SUM(E65:H65)</f>
        <v>-3336.5374623839971</v>
      </c>
    </row>
    <row r="66" spans="2:9" x14ac:dyDescent="0.3">
      <c r="C66" t="s">
        <v>32</v>
      </c>
      <c r="D66">
        <v>0.75312500000000004</v>
      </c>
      <c r="E66">
        <v>0.75312500000000004</v>
      </c>
      <c r="F66">
        <v>0.75312500000000004</v>
      </c>
      <c r="G66">
        <v>0.75312500000000004</v>
      </c>
      <c r="H66">
        <v>0.75312500000000004</v>
      </c>
    </row>
    <row r="67" spans="2:9" x14ac:dyDescent="0.3">
      <c r="B67" t="s">
        <v>33</v>
      </c>
      <c r="D67" s="4">
        <f>D65/D66</f>
        <v>-13290.771634392695</v>
      </c>
      <c r="E67" s="4">
        <f t="shared" ref="E67:H67" si="46">E65/E66</f>
        <v>-1107.564302866057</v>
      </c>
      <c r="F67" s="4">
        <f t="shared" si="46"/>
        <v>-1107.564302866057</v>
      </c>
      <c r="G67" s="4">
        <f t="shared" si="46"/>
        <v>-1107.564302866057</v>
      </c>
      <c r="H67" s="4">
        <f t="shared" si="46"/>
        <v>-1107.564302866057</v>
      </c>
      <c r="I67" s="2">
        <f t="shared" ref="I67" si="47">SUM(E67:H67)</f>
        <v>-4430.257211464228</v>
      </c>
    </row>
    <row r="68" spans="2:9" x14ac:dyDescent="0.3">
      <c r="D68" s="4"/>
      <c r="E68" s="4"/>
      <c r="F68" s="4"/>
      <c r="G68" s="4"/>
      <c r="H68" s="4"/>
      <c r="I68" s="4"/>
    </row>
    <row r="69" spans="2:9" x14ac:dyDescent="0.3">
      <c r="D69" s="4"/>
      <c r="E69" s="4"/>
      <c r="F69" s="4"/>
      <c r="G69" s="4"/>
      <c r="H69" s="4"/>
      <c r="I69" s="4"/>
    </row>
    <row r="71" spans="2:9" ht="13.8" customHeight="1" x14ac:dyDescent="0.3">
      <c r="B71" s="32"/>
      <c r="C71" s="32"/>
      <c r="D71" s="32"/>
      <c r="E71" s="32"/>
      <c r="F71" s="32"/>
      <c r="G71" s="32"/>
      <c r="H71" s="32"/>
      <c r="I71" s="32"/>
    </row>
  </sheetData>
  <mergeCells count="1">
    <mergeCell ref="B71:I71"/>
  </mergeCells>
  <printOptions horizontalCentered="1"/>
  <pageMargins left="0.45" right="0.45" top="0.5" bottom="0.5" header="0.3" footer="0.3"/>
  <pageSetup scale="65" orientation="portrait" r:id="rId1"/>
  <headerFooter>
    <oddFooter>&amp;L&amp;F /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topLeftCell="A41" zoomScaleNormal="100" workbookViewId="0">
      <selection activeCell="I65" sqref="I65"/>
    </sheetView>
  </sheetViews>
  <sheetFormatPr defaultRowHeight="14.4" x14ac:dyDescent="0.3"/>
  <cols>
    <col min="1" max="1" width="16.5546875" customWidth="1"/>
    <col min="2" max="2" width="6.88671875" customWidth="1"/>
    <col min="3" max="3" width="39.77734375" customWidth="1"/>
    <col min="4" max="4" width="15.77734375" customWidth="1"/>
    <col min="5" max="5" width="14.21875" customWidth="1"/>
    <col min="6" max="6" width="13.77734375" customWidth="1"/>
    <col min="7" max="8" width="14.21875" customWidth="1"/>
    <col min="9" max="9" width="13.21875" customWidth="1"/>
    <col min="10" max="10" width="13.44140625" customWidth="1"/>
  </cols>
  <sheetData>
    <row r="1" spans="1:9" x14ac:dyDescent="0.3">
      <c r="B1" t="s">
        <v>0</v>
      </c>
    </row>
    <row r="2" spans="1:9" x14ac:dyDescent="0.3">
      <c r="B2" t="s">
        <v>1</v>
      </c>
    </row>
    <row r="3" spans="1:9" ht="43.8" customHeight="1" x14ac:dyDescent="0.3">
      <c r="A3" s="1" t="s">
        <v>40</v>
      </c>
      <c r="C3" s="1" t="s">
        <v>3</v>
      </c>
      <c r="D3" s="1" t="s">
        <v>35</v>
      </c>
      <c r="E3" s="1" t="s">
        <v>36</v>
      </c>
      <c r="F3" s="1" t="s">
        <v>37</v>
      </c>
      <c r="G3" s="1" t="s">
        <v>42</v>
      </c>
      <c r="H3" s="1" t="s">
        <v>43</v>
      </c>
      <c r="I3" s="1" t="s">
        <v>38</v>
      </c>
    </row>
    <row r="4" spans="1:9" x14ac:dyDescent="0.3">
      <c r="B4" t="s">
        <v>4</v>
      </c>
    </row>
    <row r="5" spans="1:9" x14ac:dyDescent="0.3">
      <c r="A5" s="8" t="s">
        <v>126</v>
      </c>
      <c r="C5" t="s">
        <v>5</v>
      </c>
      <c r="D5" s="2">
        <v>317577</v>
      </c>
      <c r="E5" s="9">
        <f>D5</f>
        <v>317577</v>
      </c>
      <c r="F5" s="9">
        <f t="shared" ref="F5:H6" si="0">E5</f>
        <v>317577</v>
      </c>
      <c r="G5" s="9">
        <f t="shared" si="0"/>
        <v>317577</v>
      </c>
      <c r="H5" s="9">
        <f t="shared" si="0"/>
        <v>317577</v>
      </c>
      <c r="I5" s="2">
        <f>AVERAGE(E5:H5)</f>
        <v>317577</v>
      </c>
    </row>
    <row r="6" spans="1:9" x14ac:dyDescent="0.3">
      <c r="A6" s="8" t="s">
        <v>127</v>
      </c>
      <c r="C6" t="s">
        <v>6</v>
      </c>
      <c r="D6" s="3">
        <v>2.81E-2</v>
      </c>
      <c r="E6" s="10">
        <f>D6</f>
        <v>2.81E-2</v>
      </c>
      <c r="F6" s="10">
        <f t="shared" si="0"/>
        <v>2.81E-2</v>
      </c>
      <c r="G6" s="10">
        <f t="shared" si="0"/>
        <v>2.81E-2</v>
      </c>
      <c r="H6" s="10">
        <f t="shared" si="0"/>
        <v>2.81E-2</v>
      </c>
    </row>
    <row r="7" spans="1:9" x14ac:dyDescent="0.3">
      <c r="C7" t="s">
        <v>7</v>
      </c>
      <c r="D7" s="4">
        <f>D5*D6</f>
        <v>8923.9136999999992</v>
      </c>
      <c r="E7" s="4">
        <f>E5*E6</f>
        <v>8923.9136999999992</v>
      </c>
      <c r="F7" s="4">
        <f t="shared" ref="F7:G7" si="1">F5*F6</f>
        <v>8923.9136999999992</v>
      </c>
      <c r="G7" s="4">
        <f t="shared" si="1"/>
        <v>8923.9136999999992</v>
      </c>
      <c r="H7" s="4">
        <f>H5*H6</f>
        <v>8923.9136999999992</v>
      </c>
      <c r="I7" s="2">
        <f>AVERAGE(E7:H7)</f>
        <v>8923.9136999999992</v>
      </c>
    </row>
    <row r="9" spans="1:9" x14ac:dyDescent="0.3">
      <c r="B9" t="s">
        <v>8</v>
      </c>
      <c r="D9" s="2">
        <v>89076</v>
      </c>
      <c r="E9" s="9">
        <f>$D9/12</f>
        <v>7423</v>
      </c>
      <c r="F9" s="9">
        <f t="shared" ref="F9:H12" si="2">$D9/12</f>
        <v>7423</v>
      </c>
      <c r="G9" s="9">
        <f t="shared" si="2"/>
        <v>7423</v>
      </c>
      <c r="H9" s="9">
        <f t="shared" si="2"/>
        <v>7423</v>
      </c>
      <c r="I9" s="2">
        <f>SUM(E9:H9)</f>
        <v>29692</v>
      </c>
    </row>
    <row r="10" spans="1:9" x14ac:dyDescent="0.3">
      <c r="A10" s="8" t="s">
        <v>128</v>
      </c>
      <c r="B10" s="5" t="s">
        <v>9</v>
      </c>
      <c r="C10" t="s">
        <v>10</v>
      </c>
      <c r="D10" s="2">
        <f>61641-D11-D12</f>
        <v>36645</v>
      </c>
      <c r="E10" s="9">
        <f>$D10/12</f>
        <v>3053.75</v>
      </c>
      <c r="F10" s="9">
        <f t="shared" si="2"/>
        <v>3053.75</v>
      </c>
      <c r="G10" s="9">
        <f t="shared" si="2"/>
        <v>3053.75</v>
      </c>
      <c r="H10" s="9">
        <f t="shared" si="2"/>
        <v>3053.75</v>
      </c>
      <c r="I10" s="2">
        <f t="shared" ref="I10:I18" si="3">SUM(E10:H10)</f>
        <v>12215</v>
      </c>
    </row>
    <row r="11" spans="1:9" x14ac:dyDescent="0.3">
      <c r="A11" s="8" t="s">
        <v>128</v>
      </c>
      <c r="B11" s="5" t="s">
        <v>9</v>
      </c>
      <c r="C11" t="s">
        <v>11</v>
      </c>
      <c r="D11" s="2">
        <f>524+10553+7563</f>
        <v>18640</v>
      </c>
      <c r="E11" s="9">
        <f>$D11/12</f>
        <v>1553.3333333333333</v>
      </c>
      <c r="F11" s="9">
        <f t="shared" si="2"/>
        <v>1553.3333333333333</v>
      </c>
      <c r="G11" s="9">
        <f t="shared" si="2"/>
        <v>1553.3333333333333</v>
      </c>
      <c r="H11" s="9">
        <f t="shared" si="2"/>
        <v>1553.3333333333333</v>
      </c>
      <c r="I11" s="2">
        <f t="shared" si="3"/>
        <v>6213.333333333333</v>
      </c>
    </row>
    <row r="12" spans="1:9" x14ac:dyDescent="0.3">
      <c r="A12" s="8" t="s">
        <v>128</v>
      </c>
      <c r="B12" s="5" t="s">
        <v>9</v>
      </c>
      <c r="C12" t="s">
        <v>12</v>
      </c>
      <c r="D12" s="2">
        <f>249+6107</f>
        <v>6356</v>
      </c>
      <c r="E12" s="9">
        <f>$D12/12</f>
        <v>529.66666666666663</v>
      </c>
      <c r="F12" s="9">
        <f t="shared" si="2"/>
        <v>529.66666666666663</v>
      </c>
      <c r="G12" s="9">
        <f t="shared" si="2"/>
        <v>529.66666666666663</v>
      </c>
      <c r="H12" s="9">
        <f t="shared" si="2"/>
        <v>529.66666666666663</v>
      </c>
      <c r="I12" s="2">
        <f t="shared" si="3"/>
        <v>2118.6666666666665</v>
      </c>
    </row>
    <row r="13" spans="1:9" x14ac:dyDescent="0.3">
      <c r="B13" s="5"/>
      <c r="C13" t="s">
        <v>13</v>
      </c>
      <c r="D13" s="6">
        <f>D9-SUM(D10:D12)</f>
        <v>27435</v>
      </c>
      <c r="E13" s="6">
        <f t="shared" ref="E13:I13" si="4">E9-SUM(E10:E12)</f>
        <v>2286.25</v>
      </c>
      <c r="F13" s="6">
        <f t="shared" si="4"/>
        <v>2286.25</v>
      </c>
      <c r="G13" s="6">
        <f t="shared" si="4"/>
        <v>2286.25</v>
      </c>
      <c r="H13" s="6">
        <f t="shared" si="4"/>
        <v>2286.25</v>
      </c>
      <c r="I13" s="6">
        <f t="shared" si="4"/>
        <v>9145</v>
      </c>
    </row>
    <row r="14" spans="1:9" x14ac:dyDescent="0.3">
      <c r="A14" s="8" t="s">
        <v>128</v>
      </c>
      <c r="B14" s="5" t="s">
        <v>9</v>
      </c>
      <c r="C14" t="s">
        <v>14</v>
      </c>
      <c r="D14" s="2">
        <f>D7</f>
        <v>8923.9136999999992</v>
      </c>
      <c r="E14" s="2">
        <f t="shared" ref="E14:H14" si="5">E7/12</f>
        <v>743.65947499999993</v>
      </c>
      <c r="F14" s="2">
        <f t="shared" si="5"/>
        <v>743.65947499999993</v>
      </c>
      <c r="G14" s="2">
        <f t="shared" si="5"/>
        <v>743.65947499999993</v>
      </c>
      <c r="H14" s="2">
        <f t="shared" si="5"/>
        <v>743.65947499999993</v>
      </c>
      <c r="I14" s="2">
        <f t="shared" si="3"/>
        <v>2974.6378999999997</v>
      </c>
    </row>
    <row r="15" spans="1:9" x14ac:dyDescent="0.3">
      <c r="A15" s="8" t="s">
        <v>128</v>
      </c>
      <c r="B15" s="5" t="s">
        <v>9</v>
      </c>
      <c r="C15" t="s">
        <v>131</v>
      </c>
      <c r="D15" s="2">
        <v>0</v>
      </c>
      <c r="E15" s="9">
        <f t="shared" ref="E15:H18" si="6">$D15/12</f>
        <v>0</v>
      </c>
      <c r="F15" s="9">
        <f t="shared" si="6"/>
        <v>0</v>
      </c>
      <c r="G15" s="9">
        <f t="shared" si="6"/>
        <v>0</v>
      </c>
      <c r="H15" s="9">
        <f t="shared" si="6"/>
        <v>0</v>
      </c>
      <c r="I15" s="2">
        <f t="shared" ref="I15" si="7">SUM(D15:H15)</f>
        <v>0</v>
      </c>
    </row>
    <row r="16" spans="1:9" x14ac:dyDescent="0.3">
      <c r="A16" s="8" t="s">
        <v>46</v>
      </c>
      <c r="B16" s="5" t="s">
        <v>16</v>
      </c>
      <c r="C16" t="s">
        <v>17</v>
      </c>
      <c r="D16" s="2">
        <v>216</v>
      </c>
      <c r="E16" s="9">
        <f>$D16/12</f>
        <v>18</v>
      </c>
      <c r="F16" s="9">
        <f t="shared" si="6"/>
        <v>18</v>
      </c>
      <c r="G16" s="9">
        <f t="shared" si="6"/>
        <v>18</v>
      </c>
      <c r="H16" s="9">
        <f t="shared" si="6"/>
        <v>18</v>
      </c>
      <c r="I16" s="2">
        <f t="shared" si="3"/>
        <v>72</v>
      </c>
    </row>
    <row r="17" spans="1:9" x14ac:dyDescent="0.3">
      <c r="A17" s="8" t="s">
        <v>46</v>
      </c>
      <c r="B17" s="5" t="s">
        <v>16</v>
      </c>
      <c r="C17" t="s">
        <v>18</v>
      </c>
      <c r="D17" s="2">
        <v>-22659</v>
      </c>
      <c r="E17" s="9">
        <f>$D17/12</f>
        <v>-1888.25</v>
      </c>
      <c r="F17" s="9">
        <f t="shared" si="6"/>
        <v>-1888.25</v>
      </c>
      <c r="G17" s="9">
        <f t="shared" si="6"/>
        <v>-1888.25</v>
      </c>
      <c r="H17" s="9">
        <f t="shared" si="6"/>
        <v>-1888.25</v>
      </c>
      <c r="I17" s="2">
        <f t="shared" si="3"/>
        <v>-7553</v>
      </c>
    </row>
    <row r="18" spans="1:9" x14ac:dyDescent="0.3">
      <c r="A18" s="8" t="s">
        <v>46</v>
      </c>
      <c r="B18" s="5" t="s">
        <v>16</v>
      </c>
      <c r="C18" t="s">
        <v>19</v>
      </c>
      <c r="D18" s="2">
        <v>-4654</v>
      </c>
      <c r="E18" s="9">
        <f>$D18/12</f>
        <v>-387.83333333333331</v>
      </c>
      <c r="F18" s="9">
        <f t="shared" si="6"/>
        <v>-387.83333333333331</v>
      </c>
      <c r="G18" s="9">
        <f t="shared" si="6"/>
        <v>-387.83333333333331</v>
      </c>
      <c r="H18" s="9">
        <f t="shared" si="6"/>
        <v>-387.83333333333331</v>
      </c>
      <c r="I18" s="2">
        <f t="shared" si="3"/>
        <v>-1551.3333333333333</v>
      </c>
    </row>
    <row r="19" spans="1:9" x14ac:dyDescent="0.3">
      <c r="B19" s="5"/>
      <c r="C19" t="s">
        <v>20</v>
      </c>
      <c r="D19" s="6">
        <f>D13-D14-D15+SUM(D16:D18)</f>
        <v>-8585.9136999999973</v>
      </c>
      <c r="E19" s="6">
        <f t="shared" ref="E19:I19" si="8">E13-E14-E15+SUM(E16:E18)</f>
        <v>-715.49280833333341</v>
      </c>
      <c r="F19" s="6">
        <f t="shared" si="8"/>
        <v>-715.49280833333341</v>
      </c>
      <c r="G19" s="6">
        <f t="shared" si="8"/>
        <v>-715.49280833333341</v>
      </c>
      <c r="H19" s="6">
        <f t="shared" si="8"/>
        <v>-715.49280833333341</v>
      </c>
      <c r="I19" s="6">
        <f t="shared" si="8"/>
        <v>-2861.9712333333337</v>
      </c>
    </row>
    <row r="20" spans="1:9" x14ac:dyDescent="0.3">
      <c r="B20" s="5"/>
      <c r="D20" s="2"/>
      <c r="E20" s="2"/>
      <c r="F20" s="2"/>
      <c r="G20" s="2"/>
      <c r="H20" s="2"/>
      <c r="I20" s="2"/>
    </row>
    <row r="21" spans="1:9" x14ac:dyDescent="0.3">
      <c r="B21" s="5" t="s">
        <v>21</v>
      </c>
      <c r="C21" t="s">
        <v>22</v>
      </c>
      <c r="D21" s="7">
        <v>0.21</v>
      </c>
      <c r="E21" s="7">
        <v>0.21</v>
      </c>
      <c r="F21" s="7">
        <v>0.21</v>
      </c>
      <c r="G21" s="7">
        <v>0.21</v>
      </c>
      <c r="H21" s="7">
        <v>0.21</v>
      </c>
      <c r="I21" s="7"/>
    </row>
    <row r="22" spans="1:9" x14ac:dyDescent="0.3">
      <c r="A22" s="8" t="s">
        <v>129</v>
      </c>
      <c r="B22" s="5"/>
      <c r="C22" t="s">
        <v>23</v>
      </c>
      <c r="D22" s="2">
        <f>D19*D21</f>
        <v>-1803.0418769999994</v>
      </c>
      <c r="E22" s="2">
        <f t="shared" ref="E22:H22" si="9">E19*E21</f>
        <v>-150.25348975</v>
      </c>
      <c r="F22" s="2">
        <f t="shared" si="9"/>
        <v>-150.25348975</v>
      </c>
      <c r="G22" s="2">
        <f t="shared" si="9"/>
        <v>-150.25348975</v>
      </c>
      <c r="H22" s="2">
        <f t="shared" si="9"/>
        <v>-150.25348975</v>
      </c>
      <c r="I22" s="2">
        <f t="shared" ref="I22" si="10">SUM(E22:H22)</f>
        <v>-601.013959</v>
      </c>
    </row>
    <row r="23" spans="1:9" x14ac:dyDescent="0.3">
      <c r="D23" s="2"/>
      <c r="E23" s="2"/>
      <c r="F23" s="2"/>
      <c r="G23" s="2"/>
      <c r="H23" s="2"/>
      <c r="I23" s="2"/>
    </row>
    <row r="24" spans="1:9" x14ac:dyDescent="0.3">
      <c r="A24" s="8" t="s">
        <v>128</v>
      </c>
      <c r="C24" t="s">
        <v>132</v>
      </c>
      <c r="D24" s="2">
        <v>0</v>
      </c>
      <c r="E24" s="11">
        <f>$D24/12</f>
        <v>0</v>
      </c>
      <c r="F24" s="11">
        <f t="shared" ref="F24:H25" si="11">$D24/12</f>
        <v>0</v>
      </c>
      <c r="G24" s="11">
        <f t="shared" si="11"/>
        <v>0</v>
      </c>
      <c r="H24" s="11">
        <f t="shared" si="11"/>
        <v>0</v>
      </c>
      <c r="I24" s="2">
        <f t="shared" ref="I24:I25" si="12">SUM(E24:H24)</f>
        <v>0</v>
      </c>
    </row>
    <row r="25" spans="1:9" x14ac:dyDescent="0.3">
      <c r="A25" s="8" t="s">
        <v>128</v>
      </c>
      <c r="C25" t="s">
        <v>25</v>
      </c>
      <c r="D25" s="2">
        <v>-17</v>
      </c>
      <c r="E25" s="9">
        <f>$D25/12</f>
        <v>-1.4166666666666667</v>
      </c>
      <c r="F25" s="9">
        <f t="shared" si="11"/>
        <v>-1.4166666666666667</v>
      </c>
      <c r="G25" s="9">
        <f t="shared" si="11"/>
        <v>-1.4166666666666667</v>
      </c>
      <c r="H25" s="9">
        <f t="shared" si="11"/>
        <v>-1.4166666666666667</v>
      </c>
      <c r="I25" s="2">
        <f t="shared" si="12"/>
        <v>-5.666666666666667</v>
      </c>
    </row>
    <row r="26" spans="1:9" x14ac:dyDescent="0.3">
      <c r="D26" s="2"/>
      <c r="E26" s="2"/>
      <c r="F26" s="2"/>
      <c r="G26" s="2"/>
      <c r="H26" s="2"/>
      <c r="I26" s="2"/>
    </row>
    <row r="27" spans="1:9" x14ac:dyDescent="0.3">
      <c r="A27" s="8" t="s">
        <v>47</v>
      </c>
      <c r="C27" t="s">
        <v>26</v>
      </c>
      <c r="D27" s="2">
        <v>0</v>
      </c>
      <c r="E27" s="9">
        <f>$D27/12</f>
        <v>0</v>
      </c>
      <c r="F27" s="9">
        <f t="shared" ref="F27:H27" si="13">$D27/12</f>
        <v>0</v>
      </c>
      <c r="G27" s="9">
        <f t="shared" si="13"/>
        <v>0</v>
      </c>
      <c r="H27" s="9">
        <f t="shared" si="13"/>
        <v>0</v>
      </c>
      <c r="I27" s="2">
        <f t="shared" ref="I27:I30" si="14">SUM(E27:H27)</f>
        <v>0</v>
      </c>
    </row>
    <row r="28" spans="1:9" x14ac:dyDescent="0.3">
      <c r="A28" s="8" t="s">
        <v>46</v>
      </c>
      <c r="C28" t="s">
        <v>27</v>
      </c>
      <c r="D28" s="2">
        <f>D17*-D21</f>
        <v>4758.3899999999994</v>
      </c>
      <c r="E28" s="2">
        <f t="shared" ref="E28:H28" si="15">E17*-E21</f>
        <v>396.53249999999997</v>
      </c>
      <c r="F28" s="2">
        <f t="shared" si="15"/>
        <v>396.53249999999997</v>
      </c>
      <c r="G28" s="2">
        <f t="shared" si="15"/>
        <v>396.53249999999997</v>
      </c>
      <c r="H28" s="2">
        <f t="shared" si="15"/>
        <v>396.53249999999997</v>
      </c>
      <c r="I28" s="2">
        <f t="shared" si="14"/>
        <v>1586.1299999999999</v>
      </c>
    </row>
    <row r="29" spans="1:9" x14ac:dyDescent="0.3">
      <c r="A29" s="8" t="s">
        <v>46</v>
      </c>
      <c r="C29" t="s">
        <v>28</v>
      </c>
      <c r="D29" s="2">
        <f>D18*-D21</f>
        <v>977.33999999999992</v>
      </c>
      <c r="E29" s="2">
        <f t="shared" ref="E29:H29" si="16">E18*-E21</f>
        <v>81.444999999999993</v>
      </c>
      <c r="F29" s="2">
        <f t="shared" si="16"/>
        <v>81.444999999999993</v>
      </c>
      <c r="G29" s="2">
        <f t="shared" si="16"/>
        <v>81.444999999999993</v>
      </c>
      <c r="H29" s="2">
        <f t="shared" si="16"/>
        <v>81.444999999999993</v>
      </c>
      <c r="I29" s="2">
        <f t="shared" si="14"/>
        <v>325.77999999999997</v>
      </c>
    </row>
    <row r="30" spans="1:9" x14ac:dyDescent="0.3">
      <c r="A30" s="8" t="s">
        <v>46</v>
      </c>
      <c r="C30" t="s">
        <v>29</v>
      </c>
      <c r="D30" s="2">
        <f>409-46</f>
        <v>363</v>
      </c>
      <c r="E30" s="9">
        <f>$D30/12</f>
        <v>30.25</v>
      </c>
      <c r="F30" s="9">
        <f t="shared" ref="F30:H30" si="17">$D30/12</f>
        <v>30.25</v>
      </c>
      <c r="G30" s="9">
        <f t="shared" si="17"/>
        <v>30.25</v>
      </c>
      <c r="H30" s="9">
        <f t="shared" si="17"/>
        <v>30.25</v>
      </c>
      <c r="I30" s="2">
        <f t="shared" si="14"/>
        <v>121</v>
      </c>
    </row>
    <row r="31" spans="1:9" x14ac:dyDescent="0.3">
      <c r="A31" s="8" t="s">
        <v>130</v>
      </c>
      <c r="C31" t="s">
        <v>30</v>
      </c>
      <c r="D31" s="6">
        <f>SUM(D27:D30)</f>
        <v>6098.73</v>
      </c>
      <c r="E31" s="6">
        <f t="shared" ref="E31:H31" si="18">SUM(E27:E30)</f>
        <v>508.22749999999996</v>
      </c>
      <c r="F31" s="6">
        <f t="shared" si="18"/>
        <v>508.22749999999996</v>
      </c>
      <c r="G31" s="6">
        <f t="shared" si="18"/>
        <v>508.22749999999996</v>
      </c>
      <c r="H31" s="6">
        <f t="shared" si="18"/>
        <v>508.22749999999996</v>
      </c>
      <c r="I31" s="6">
        <f>SUM(I27:I30)</f>
        <v>2032.9099999999999</v>
      </c>
    </row>
    <row r="32" spans="1:9" x14ac:dyDescent="0.3">
      <c r="D32" s="2"/>
      <c r="E32" s="2"/>
      <c r="F32" s="2"/>
      <c r="G32" s="2"/>
      <c r="H32" s="2"/>
      <c r="I32" s="2"/>
    </row>
    <row r="33" spans="1:9" x14ac:dyDescent="0.3">
      <c r="A33" s="8" t="s">
        <v>129</v>
      </c>
      <c r="B33" t="s">
        <v>31</v>
      </c>
      <c r="D33" s="2">
        <f>D22+D31+D24+D25</f>
        <v>4278.6881229999999</v>
      </c>
      <c r="E33" s="2">
        <f t="shared" ref="E33:H33" si="19">E22+E31+E24+E25</f>
        <v>356.55734358333331</v>
      </c>
      <c r="F33" s="2">
        <f t="shared" si="19"/>
        <v>356.55734358333331</v>
      </c>
      <c r="G33" s="2">
        <f t="shared" si="19"/>
        <v>356.55734358333331</v>
      </c>
      <c r="H33" s="2">
        <f t="shared" si="19"/>
        <v>356.55734358333331</v>
      </c>
      <c r="I33" s="2">
        <f t="shared" ref="I33" si="20">SUM(E33:H33)</f>
        <v>1426.2293743333332</v>
      </c>
    </row>
    <row r="35" spans="1:9" ht="4.8" customHeight="1" x14ac:dyDescent="0.3"/>
    <row r="36" spans="1:9" ht="42" customHeight="1" x14ac:dyDescent="0.3">
      <c r="D36" s="1" t="str">
        <f>D3</f>
        <v>Annual Estimate based on Rebuttal Pro Forma</v>
      </c>
      <c r="E36" s="1" t="str">
        <f t="shared" ref="E36:I36" si="21">E3</f>
        <v>January 2018 Estimate</v>
      </c>
      <c r="F36" s="1" t="str">
        <f t="shared" si="21"/>
        <v>February 2018 Estimate</v>
      </c>
      <c r="G36" s="1" t="str">
        <f t="shared" si="21"/>
        <v>March 2018 Estimate</v>
      </c>
      <c r="H36" s="1" t="str">
        <f t="shared" si="21"/>
        <v>April 2018 Estimate</v>
      </c>
      <c r="I36" s="1" t="str">
        <f t="shared" si="21"/>
        <v>Deferral Period Estimate</v>
      </c>
    </row>
    <row r="37" spans="1:9" x14ac:dyDescent="0.3">
      <c r="B37" t="s">
        <v>4</v>
      </c>
    </row>
    <row r="39" spans="1:9" x14ac:dyDescent="0.3">
      <c r="B39" t="s">
        <v>8</v>
      </c>
      <c r="D39" s="2">
        <f>D9</f>
        <v>89076</v>
      </c>
      <c r="E39" s="2">
        <f t="shared" ref="E39:H42" si="22">E9</f>
        <v>7423</v>
      </c>
      <c r="F39" s="2">
        <f t="shared" si="22"/>
        <v>7423</v>
      </c>
      <c r="G39" s="2">
        <f t="shared" si="22"/>
        <v>7423</v>
      </c>
      <c r="H39" s="2">
        <f t="shared" si="22"/>
        <v>7423</v>
      </c>
      <c r="I39" s="2">
        <f t="shared" ref="I39:I42" si="23">SUM(E39:H39)</f>
        <v>29692</v>
      </c>
    </row>
    <row r="40" spans="1:9" x14ac:dyDescent="0.3">
      <c r="B40" s="5" t="s">
        <v>9</v>
      </c>
      <c r="C40" t="s">
        <v>10</v>
      </c>
      <c r="D40" s="2">
        <f>D10</f>
        <v>36645</v>
      </c>
      <c r="E40" s="2">
        <f t="shared" si="22"/>
        <v>3053.75</v>
      </c>
      <c r="F40" s="2">
        <f t="shared" si="22"/>
        <v>3053.75</v>
      </c>
      <c r="G40" s="2">
        <f t="shared" si="22"/>
        <v>3053.75</v>
      </c>
      <c r="H40" s="2">
        <f t="shared" si="22"/>
        <v>3053.75</v>
      </c>
      <c r="I40" s="2">
        <f t="shared" si="23"/>
        <v>12215</v>
      </c>
    </row>
    <row r="41" spans="1:9" x14ac:dyDescent="0.3">
      <c r="B41" s="5" t="s">
        <v>9</v>
      </c>
      <c r="C41" t="s">
        <v>11</v>
      </c>
      <c r="D41" s="2">
        <f>D11</f>
        <v>18640</v>
      </c>
      <c r="E41" s="2">
        <f t="shared" si="22"/>
        <v>1553.3333333333333</v>
      </c>
      <c r="F41" s="2">
        <f t="shared" si="22"/>
        <v>1553.3333333333333</v>
      </c>
      <c r="G41" s="2">
        <f t="shared" si="22"/>
        <v>1553.3333333333333</v>
      </c>
      <c r="H41" s="2">
        <f t="shared" si="22"/>
        <v>1553.3333333333333</v>
      </c>
      <c r="I41" s="2">
        <f t="shared" si="23"/>
        <v>6213.333333333333</v>
      </c>
    </row>
    <row r="42" spans="1:9" x14ac:dyDescent="0.3">
      <c r="B42" s="5" t="s">
        <v>9</v>
      </c>
      <c r="C42" t="s">
        <v>12</v>
      </c>
      <c r="D42" s="2">
        <f>D12</f>
        <v>6356</v>
      </c>
      <c r="E42" s="2">
        <f t="shared" si="22"/>
        <v>529.66666666666663</v>
      </c>
      <c r="F42" s="2">
        <f t="shared" si="22"/>
        <v>529.66666666666663</v>
      </c>
      <c r="G42" s="2">
        <f t="shared" si="22"/>
        <v>529.66666666666663</v>
      </c>
      <c r="H42" s="2">
        <f t="shared" si="22"/>
        <v>529.66666666666663</v>
      </c>
      <c r="I42" s="2">
        <f t="shared" si="23"/>
        <v>2118.6666666666665</v>
      </c>
    </row>
    <row r="43" spans="1:9" x14ac:dyDescent="0.3">
      <c r="B43" s="5"/>
      <c r="C43" t="s">
        <v>13</v>
      </c>
      <c r="D43" s="6">
        <f>D39-SUM(D40:D42)</f>
        <v>27435</v>
      </c>
      <c r="E43" s="6">
        <f t="shared" ref="E43" si="24">E39-SUM(E40:E42)</f>
        <v>2286.25</v>
      </c>
      <c r="F43" s="6">
        <f t="shared" ref="F43:I43" si="25">F39-SUM(F40:F42)</f>
        <v>2286.25</v>
      </c>
      <c r="G43" s="6">
        <f t="shared" si="25"/>
        <v>2286.25</v>
      </c>
      <c r="H43" s="6">
        <f t="shared" si="25"/>
        <v>2286.25</v>
      </c>
      <c r="I43" s="6">
        <f t="shared" si="25"/>
        <v>9145</v>
      </c>
    </row>
    <row r="44" spans="1:9" x14ac:dyDescent="0.3">
      <c r="B44" s="5" t="s">
        <v>9</v>
      </c>
      <c r="C44" t="s">
        <v>14</v>
      </c>
      <c r="D44" s="2">
        <f>D14</f>
        <v>8923.9136999999992</v>
      </c>
      <c r="E44" s="2">
        <f t="shared" ref="E44:H44" si="26">E14</f>
        <v>743.65947499999993</v>
      </c>
      <c r="F44" s="2">
        <f t="shared" si="26"/>
        <v>743.65947499999993</v>
      </c>
      <c r="G44" s="2">
        <f t="shared" si="26"/>
        <v>743.65947499999993</v>
      </c>
      <c r="H44" s="2">
        <f t="shared" si="26"/>
        <v>743.65947499999993</v>
      </c>
      <c r="I44" s="2">
        <f t="shared" ref="I44:I48" si="27">SUM(E44:H44)</f>
        <v>2974.6378999999997</v>
      </c>
    </row>
    <row r="45" spans="1:9" x14ac:dyDescent="0.3">
      <c r="B45" s="5" t="s">
        <v>9</v>
      </c>
      <c r="C45" t="s">
        <v>15</v>
      </c>
      <c r="D45" s="2">
        <f t="shared" ref="D45:H48" si="28">D15</f>
        <v>0</v>
      </c>
      <c r="E45" s="2">
        <f t="shared" si="28"/>
        <v>0</v>
      </c>
      <c r="F45" s="2">
        <f t="shared" si="28"/>
        <v>0</v>
      </c>
      <c r="G45" s="2">
        <f t="shared" si="28"/>
        <v>0</v>
      </c>
      <c r="H45" s="2">
        <f t="shared" si="28"/>
        <v>0</v>
      </c>
      <c r="I45" s="2">
        <f t="shared" si="27"/>
        <v>0</v>
      </c>
    </row>
    <row r="46" spans="1:9" x14ac:dyDescent="0.3">
      <c r="B46" s="5" t="s">
        <v>16</v>
      </c>
      <c r="C46" t="s">
        <v>17</v>
      </c>
      <c r="D46" s="2">
        <f t="shared" si="28"/>
        <v>216</v>
      </c>
      <c r="E46" s="2">
        <f t="shared" si="28"/>
        <v>18</v>
      </c>
      <c r="F46" s="2">
        <f t="shared" si="28"/>
        <v>18</v>
      </c>
      <c r="G46" s="2">
        <f t="shared" si="28"/>
        <v>18</v>
      </c>
      <c r="H46" s="2">
        <f t="shared" si="28"/>
        <v>18</v>
      </c>
      <c r="I46" s="2">
        <f t="shared" si="27"/>
        <v>72</v>
      </c>
    </row>
    <row r="47" spans="1:9" x14ac:dyDescent="0.3">
      <c r="B47" s="5" t="s">
        <v>16</v>
      </c>
      <c r="C47" t="s">
        <v>18</v>
      </c>
      <c r="D47" s="2">
        <f t="shared" si="28"/>
        <v>-22659</v>
      </c>
      <c r="E47" s="2">
        <f t="shared" si="28"/>
        <v>-1888.25</v>
      </c>
      <c r="F47" s="2">
        <f t="shared" si="28"/>
        <v>-1888.25</v>
      </c>
      <c r="G47" s="2">
        <f t="shared" si="28"/>
        <v>-1888.25</v>
      </c>
      <c r="H47" s="2">
        <f t="shared" si="28"/>
        <v>-1888.25</v>
      </c>
      <c r="I47" s="2">
        <f t="shared" si="27"/>
        <v>-7553</v>
      </c>
    </row>
    <row r="48" spans="1:9" x14ac:dyDescent="0.3">
      <c r="B48" s="5" t="s">
        <v>16</v>
      </c>
      <c r="C48" t="s">
        <v>19</v>
      </c>
      <c r="D48" s="2">
        <f t="shared" si="28"/>
        <v>-4654</v>
      </c>
      <c r="E48" s="2">
        <f t="shared" si="28"/>
        <v>-387.83333333333331</v>
      </c>
      <c r="F48" s="2">
        <f t="shared" si="28"/>
        <v>-387.83333333333331</v>
      </c>
      <c r="G48" s="2">
        <f t="shared" si="28"/>
        <v>-387.83333333333331</v>
      </c>
      <c r="H48" s="2">
        <f t="shared" si="28"/>
        <v>-387.83333333333331</v>
      </c>
      <c r="I48" s="2">
        <f t="shared" si="27"/>
        <v>-1551.3333333333333</v>
      </c>
    </row>
    <row r="49" spans="2:9" x14ac:dyDescent="0.3">
      <c r="B49" s="5"/>
      <c r="C49" t="s">
        <v>20</v>
      </c>
      <c r="D49" s="6">
        <f>D43-D44-D45+SUM(D46:D48)</f>
        <v>-8585.9136999999973</v>
      </c>
      <c r="E49" s="6">
        <f t="shared" ref="E49:I49" si="29">E43-E44-E45+SUM(E46:E48)</f>
        <v>-715.49280833333341</v>
      </c>
      <c r="F49" s="6">
        <f t="shared" si="29"/>
        <v>-715.49280833333341</v>
      </c>
      <c r="G49" s="6">
        <f t="shared" si="29"/>
        <v>-715.49280833333341</v>
      </c>
      <c r="H49" s="6">
        <f t="shared" si="29"/>
        <v>-715.49280833333341</v>
      </c>
      <c r="I49" s="6">
        <f t="shared" si="29"/>
        <v>-2861.9712333333337</v>
      </c>
    </row>
    <row r="50" spans="2:9" x14ac:dyDescent="0.3">
      <c r="B50" s="5"/>
      <c r="D50" s="2"/>
      <c r="E50" s="2"/>
      <c r="F50" s="2"/>
      <c r="G50" s="2"/>
      <c r="H50" s="2"/>
      <c r="I50" s="2"/>
    </row>
    <row r="51" spans="2:9" x14ac:dyDescent="0.3">
      <c r="B51" s="5" t="s">
        <v>21</v>
      </c>
      <c r="C51" t="s">
        <v>22</v>
      </c>
      <c r="D51" s="7">
        <v>0.35</v>
      </c>
      <c r="E51" s="7">
        <v>0.35</v>
      </c>
      <c r="F51" s="7">
        <v>0.35</v>
      </c>
      <c r="G51" s="7">
        <v>0.35</v>
      </c>
      <c r="H51" s="7">
        <v>0.35</v>
      </c>
      <c r="I51" s="7"/>
    </row>
    <row r="52" spans="2:9" x14ac:dyDescent="0.3">
      <c r="B52" s="5"/>
      <c r="C52" t="s">
        <v>23</v>
      </c>
      <c r="D52" s="2">
        <f>D49*D51</f>
        <v>-3005.069794999999</v>
      </c>
      <c r="E52" s="2">
        <f t="shared" ref="E52:H52" si="30">E49*E51</f>
        <v>-250.42248291666667</v>
      </c>
      <c r="F52" s="2">
        <f t="shared" si="30"/>
        <v>-250.42248291666667</v>
      </c>
      <c r="G52" s="2">
        <f t="shared" si="30"/>
        <v>-250.42248291666667</v>
      </c>
      <c r="H52" s="2">
        <f t="shared" si="30"/>
        <v>-250.42248291666667</v>
      </c>
      <c r="I52" s="2">
        <f t="shared" ref="I52" si="31">SUM(E52:H52)</f>
        <v>-1001.6899316666667</v>
      </c>
    </row>
    <row r="53" spans="2:9" x14ac:dyDescent="0.3">
      <c r="D53" s="2"/>
      <c r="E53" s="2"/>
      <c r="F53" s="2"/>
      <c r="G53" s="2"/>
      <c r="H53" s="2"/>
      <c r="I53" s="2"/>
    </row>
    <row r="54" spans="2:9" x14ac:dyDescent="0.3">
      <c r="C54" t="s">
        <v>24</v>
      </c>
      <c r="D54" s="2">
        <f t="shared" ref="D54:H55" si="32">D24</f>
        <v>0</v>
      </c>
      <c r="E54" s="2">
        <f t="shared" si="32"/>
        <v>0</v>
      </c>
      <c r="F54" s="2">
        <f t="shared" si="32"/>
        <v>0</v>
      </c>
      <c r="G54" s="2">
        <f t="shared" si="32"/>
        <v>0</v>
      </c>
      <c r="H54" s="2">
        <f t="shared" si="32"/>
        <v>0</v>
      </c>
      <c r="I54" s="2">
        <f t="shared" ref="I54:I55" si="33">SUM(E54:H54)</f>
        <v>0</v>
      </c>
    </row>
    <row r="55" spans="2:9" x14ac:dyDescent="0.3">
      <c r="C55" t="s">
        <v>25</v>
      </c>
      <c r="D55" s="2">
        <f t="shared" si="32"/>
        <v>-17</v>
      </c>
      <c r="E55" s="2">
        <f t="shared" si="32"/>
        <v>-1.4166666666666667</v>
      </c>
      <c r="F55" s="2">
        <f t="shared" si="32"/>
        <v>-1.4166666666666667</v>
      </c>
      <c r="G55" s="2">
        <f t="shared" si="32"/>
        <v>-1.4166666666666667</v>
      </c>
      <c r="H55" s="2">
        <f t="shared" si="32"/>
        <v>-1.4166666666666667</v>
      </c>
      <c r="I55" s="2">
        <f t="shared" si="33"/>
        <v>-5.666666666666667</v>
      </c>
    </row>
    <row r="56" spans="2:9" x14ac:dyDescent="0.3">
      <c r="D56" s="2"/>
      <c r="E56" s="2"/>
      <c r="F56" s="2"/>
      <c r="G56" s="2"/>
      <c r="H56" s="2"/>
      <c r="I56" s="2"/>
    </row>
    <row r="57" spans="2:9" x14ac:dyDescent="0.3">
      <c r="C57" t="s">
        <v>26</v>
      </c>
      <c r="D57" s="2">
        <f t="shared" ref="D57:H57" si="34">D27</f>
        <v>0</v>
      </c>
      <c r="E57" s="2">
        <f t="shared" si="34"/>
        <v>0</v>
      </c>
      <c r="F57" s="2">
        <f t="shared" si="34"/>
        <v>0</v>
      </c>
      <c r="G57" s="2">
        <f t="shared" si="34"/>
        <v>0</v>
      </c>
      <c r="H57" s="2">
        <f t="shared" si="34"/>
        <v>0</v>
      </c>
      <c r="I57" s="2">
        <f t="shared" ref="I57:I60" si="35">SUM(E57:H57)</f>
        <v>0</v>
      </c>
    </row>
    <row r="58" spans="2:9" x14ac:dyDescent="0.3">
      <c r="C58" t="s">
        <v>27</v>
      </c>
      <c r="D58" s="2">
        <f>D47*-D51</f>
        <v>7930.65</v>
      </c>
      <c r="E58" s="2">
        <f t="shared" ref="E58:H58" si="36">E47*-E51</f>
        <v>660.88749999999993</v>
      </c>
      <c r="F58" s="2">
        <f t="shared" si="36"/>
        <v>660.88749999999993</v>
      </c>
      <c r="G58" s="2">
        <f t="shared" si="36"/>
        <v>660.88749999999993</v>
      </c>
      <c r="H58" s="2">
        <f t="shared" si="36"/>
        <v>660.88749999999993</v>
      </c>
      <c r="I58" s="2">
        <f t="shared" si="35"/>
        <v>2643.5499999999997</v>
      </c>
    </row>
    <row r="59" spans="2:9" x14ac:dyDescent="0.3">
      <c r="C59" t="s">
        <v>28</v>
      </c>
      <c r="D59" s="2">
        <f>D48*-D51</f>
        <v>1628.8999999999999</v>
      </c>
      <c r="E59" s="2">
        <f t="shared" ref="E59:H59" si="37">E48*-E51</f>
        <v>135.74166666666665</v>
      </c>
      <c r="F59" s="2">
        <f t="shared" si="37"/>
        <v>135.74166666666665</v>
      </c>
      <c r="G59" s="2">
        <f t="shared" si="37"/>
        <v>135.74166666666665</v>
      </c>
      <c r="H59" s="2">
        <f t="shared" si="37"/>
        <v>135.74166666666665</v>
      </c>
      <c r="I59" s="2">
        <f t="shared" si="35"/>
        <v>542.96666666666658</v>
      </c>
    </row>
    <row r="60" spans="2:9" x14ac:dyDescent="0.3">
      <c r="C60" t="s">
        <v>29</v>
      </c>
      <c r="D60" s="2">
        <f t="shared" ref="D60:H60" si="38">D30</f>
        <v>363</v>
      </c>
      <c r="E60" s="2">
        <f t="shared" si="38"/>
        <v>30.25</v>
      </c>
      <c r="F60" s="2">
        <f t="shared" si="38"/>
        <v>30.25</v>
      </c>
      <c r="G60" s="2">
        <f t="shared" si="38"/>
        <v>30.25</v>
      </c>
      <c r="H60" s="2">
        <f t="shared" si="38"/>
        <v>30.25</v>
      </c>
      <c r="I60" s="2">
        <f t="shared" si="35"/>
        <v>121</v>
      </c>
    </row>
    <row r="61" spans="2:9" x14ac:dyDescent="0.3">
      <c r="C61" t="s">
        <v>30</v>
      </c>
      <c r="D61" s="6">
        <f>SUM(D57:D60)</f>
        <v>9922.5499999999993</v>
      </c>
      <c r="E61" s="6">
        <f t="shared" ref="E61:I61" si="39">SUM(E57:E60)</f>
        <v>826.87916666666661</v>
      </c>
      <c r="F61" s="6">
        <f t="shared" si="39"/>
        <v>826.87916666666661</v>
      </c>
      <c r="G61" s="6">
        <f t="shared" si="39"/>
        <v>826.87916666666661</v>
      </c>
      <c r="H61" s="6">
        <f t="shared" si="39"/>
        <v>826.87916666666661</v>
      </c>
      <c r="I61" s="6">
        <f t="shared" si="39"/>
        <v>3307.5166666666664</v>
      </c>
    </row>
    <row r="62" spans="2:9" x14ac:dyDescent="0.3">
      <c r="D62" s="2"/>
      <c r="E62" s="2"/>
      <c r="F62" s="2"/>
      <c r="G62" s="2"/>
      <c r="H62" s="2"/>
      <c r="I62" s="2"/>
    </row>
    <row r="63" spans="2:9" x14ac:dyDescent="0.3">
      <c r="B63" t="s">
        <v>31</v>
      </c>
      <c r="D63" s="2">
        <f>D52+D61+D54+D55</f>
        <v>6900.4802049999998</v>
      </c>
      <c r="E63" s="2">
        <f t="shared" ref="E63:H63" si="40">E52+E61+E54+E55</f>
        <v>575.04001708333328</v>
      </c>
      <c r="F63" s="2">
        <f t="shared" si="40"/>
        <v>575.04001708333328</v>
      </c>
      <c r="G63" s="2">
        <f t="shared" si="40"/>
        <v>575.04001708333328</v>
      </c>
      <c r="H63" s="2">
        <f t="shared" si="40"/>
        <v>575.04001708333328</v>
      </c>
      <c r="I63" s="2">
        <f t="shared" ref="I63" si="41">SUM(E63:H63)</f>
        <v>2300.1600683333331</v>
      </c>
    </row>
    <row r="65" spans="2:9" x14ac:dyDescent="0.3">
      <c r="B65" t="s">
        <v>41</v>
      </c>
      <c r="D65" s="4">
        <f>D33-D63</f>
        <v>-2621.7920819999999</v>
      </c>
      <c r="E65" s="4">
        <f t="shared" ref="E65:H65" si="42">E33-E63</f>
        <v>-218.48267349999998</v>
      </c>
      <c r="F65" s="4">
        <f t="shared" si="42"/>
        <v>-218.48267349999998</v>
      </c>
      <c r="G65" s="4">
        <f t="shared" si="42"/>
        <v>-218.48267349999998</v>
      </c>
      <c r="H65" s="4">
        <f t="shared" si="42"/>
        <v>-218.48267349999998</v>
      </c>
      <c r="I65" s="2">
        <f t="shared" ref="I65" si="43">SUM(E65:H65)</f>
        <v>-873.9306939999999</v>
      </c>
    </row>
    <row r="66" spans="2:9" x14ac:dyDescent="0.3">
      <c r="C66" t="s">
        <v>32</v>
      </c>
      <c r="D66">
        <v>0.75329299999999999</v>
      </c>
      <c r="E66">
        <v>0.75329299999999999</v>
      </c>
      <c r="F66">
        <v>0.75329299999999999</v>
      </c>
      <c r="G66">
        <v>0.75329299999999999</v>
      </c>
      <c r="H66">
        <v>0.75329299999999999</v>
      </c>
    </row>
    <row r="67" spans="2:9" x14ac:dyDescent="0.3">
      <c r="B67" t="s">
        <v>33</v>
      </c>
      <c r="D67" s="4">
        <f>D65/D66</f>
        <v>-3480.4413183183701</v>
      </c>
      <c r="E67" s="4">
        <f t="shared" ref="E67:H67" si="44">E65/E66</f>
        <v>-290.03677652653084</v>
      </c>
      <c r="F67" s="4">
        <f t="shared" si="44"/>
        <v>-290.03677652653084</v>
      </c>
      <c r="G67" s="4">
        <f t="shared" si="44"/>
        <v>-290.03677652653084</v>
      </c>
      <c r="H67" s="4">
        <f t="shared" si="44"/>
        <v>-290.03677652653084</v>
      </c>
      <c r="I67" s="2">
        <f t="shared" ref="I67" si="45">SUM(E67:H67)</f>
        <v>-1160.1471061061234</v>
      </c>
    </row>
    <row r="68" spans="2:9" x14ac:dyDescent="0.3">
      <c r="D68" s="4"/>
      <c r="E68" s="4"/>
      <c r="F68" s="4"/>
      <c r="G68" s="4"/>
      <c r="H68" s="4"/>
      <c r="I68" s="4"/>
    </row>
    <row r="69" spans="2:9" x14ac:dyDescent="0.3">
      <c r="D69" s="4"/>
      <c r="E69" s="4"/>
      <c r="F69" s="4"/>
      <c r="G69" s="4"/>
      <c r="H69" s="4"/>
      <c r="I69" s="4"/>
    </row>
    <row r="71" spans="2:9" ht="13.8" customHeight="1" x14ac:dyDescent="0.3">
      <c r="B71" s="32"/>
      <c r="C71" s="32"/>
      <c r="D71" s="32"/>
      <c r="E71" s="32"/>
      <c r="F71" s="32"/>
      <c r="G71" s="32"/>
      <c r="H71" s="32"/>
      <c r="I71" s="32"/>
    </row>
  </sheetData>
  <mergeCells count="1">
    <mergeCell ref="B71:I71"/>
  </mergeCells>
  <printOptions horizontalCentered="1"/>
  <pageMargins left="0.45" right="0.45" top="0.5" bottom="0.5" header="0.3" footer="0.3"/>
  <pageSetup scale="65" orientation="portrait" r:id="rId1"/>
  <headerFooter>
    <oddFooter>&amp;L&amp;F /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81"/>
  <sheetViews>
    <sheetView topLeftCell="A50" workbookViewId="0">
      <selection sqref="A1:A2"/>
    </sheetView>
  </sheetViews>
  <sheetFormatPr defaultRowHeight="14.4" x14ac:dyDescent="0.3"/>
  <cols>
    <col min="1" max="1" width="24.5546875" customWidth="1"/>
    <col min="2" max="2" width="6.88671875" customWidth="1"/>
    <col min="3" max="3" width="29" customWidth="1"/>
    <col min="4" max="4" width="6.21875" customWidth="1"/>
    <col min="5" max="5" width="17.6640625" customWidth="1"/>
    <col min="6" max="6" width="14.88671875" customWidth="1"/>
  </cols>
  <sheetData>
    <row r="1" spans="1:6" x14ac:dyDescent="0.3">
      <c r="A1" s="34" t="s">
        <v>40</v>
      </c>
      <c r="E1" t="s">
        <v>118</v>
      </c>
      <c r="F1" t="s">
        <v>121</v>
      </c>
    </row>
    <row r="2" spans="1:6" x14ac:dyDescent="0.3">
      <c r="A2" s="34"/>
      <c r="B2" s="12"/>
      <c r="C2" s="13"/>
      <c r="D2" s="13"/>
      <c r="E2" s="31" t="s">
        <v>2</v>
      </c>
      <c r="F2" s="14" t="s">
        <v>122</v>
      </c>
    </row>
    <row r="3" spans="1:6" x14ac:dyDescent="0.3">
      <c r="A3" s="8" t="s">
        <v>124</v>
      </c>
      <c r="B3" s="12"/>
      <c r="C3" s="13"/>
      <c r="D3" s="13"/>
      <c r="E3" s="14"/>
      <c r="F3" s="14"/>
    </row>
    <row r="4" spans="1:6" x14ac:dyDescent="0.3">
      <c r="A4" s="8" t="s">
        <v>123</v>
      </c>
      <c r="B4" s="15">
        <v>997015</v>
      </c>
      <c r="C4" s="16" t="s">
        <v>50</v>
      </c>
      <c r="D4" s="16" t="s">
        <v>51</v>
      </c>
      <c r="E4" s="17">
        <v>424452</v>
      </c>
      <c r="F4" s="17">
        <v>122276</v>
      </c>
    </row>
    <row r="5" spans="1:6" x14ac:dyDescent="0.3">
      <c r="A5" s="8" t="s">
        <v>123</v>
      </c>
      <c r="B5" s="15">
        <v>997017</v>
      </c>
      <c r="C5" s="16" t="s">
        <v>52</v>
      </c>
      <c r="D5" s="16" t="s">
        <v>51</v>
      </c>
      <c r="E5" s="18">
        <v>1192020</v>
      </c>
      <c r="F5" s="17">
        <v>0</v>
      </c>
    </row>
    <row r="6" spans="1:6" x14ac:dyDescent="0.3">
      <c r="A6" s="8" t="s">
        <v>123</v>
      </c>
      <c r="B6" s="15">
        <v>997045</v>
      </c>
      <c r="C6" s="16" t="s">
        <v>53</v>
      </c>
      <c r="D6" s="16" t="s">
        <v>51</v>
      </c>
      <c r="E6" s="17">
        <v>0</v>
      </c>
      <c r="F6" s="17">
        <v>0</v>
      </c>
    </row>
    <row r="7" spans="1:6" x14ac:dyDescent="0.3">
      <c r="A7" s="8" t="s">
        <v>123</v>
      </c>
      <c r="B7" s="15">
        <v>997082</v>
      </c>
      <c r="C7" s="16" t="s">
        <v>54</v>
      </c>
      <c r="D7" s="16" t="s">
        <v>51</v>
      </c>
      <c r="E7" s="17">
        <f>325759</f>
        <v>325759</v>
      </c>
      <c r="F7" s="17">
        <v>93845</v>
      </c>
    </row>
    <row r="8" spans="1:6" x14ac:dyDescent="0.3">
      <c r="A8" s="8"/>
      <c r="B8" s="15"/>
      <c r="C8" s="16"/>
      <c r="D8" s="16"/>
      <c r="E8" s="19">
        <f>SUM(E4:E7)</f>
        <v>1942231</v>
      </c>
      <c r="F8" s="19">
        <f t="shared" ref="F8" si="0">SUM(F4:F7)</f>
        <v>216121</v>
      </c>
    </row>
    <row r="9" spans="1:6" ht="9" customHeight="1" x14ac:dyDescent="0.3">
      <c r="A9" s="8"/>
      <c r="B9" s="15"/>
      <c r="C9" s="16"/>
      <c r="D9" s="16"/>
      <c r="E9" s="17"/>
      <c r="F9" s="17"/>
    </row>
    <row r="10" spans="1:6" x14ac:dyDescent="0.3">
      <c r="A10" s="8" t="s">
        <v>123</v>
      </c>
      <c r="B10" s="15">
        <v>997000</v>
      </c>
      <c r="C10" s="16" t="s">
        <v>55</v>
      </c>
      <c r="D10" s="16" t="s">
        <v>56</v>
      </c>
      <c r="E10" s="17">
        <v>78607777</v>
      </c>
      <c r="F10" s="17">
        <v>16618049</v>
      </c>
    </row>
    <row r="11" spans="1:6" x14ac:dyDescent="0.3">
      <c r="A11" s="8" t="s">
        <v>123</v>
      </c>
      <c r="B11" s="15">
        <v>997001</v>
      </c>
      <c r="C11" s="16" t="s">
        <v>57</v>
      </c>
      <c r="D11" s="16" t="s">
        <v>56</v>
      </c>
      <c r="E11" s="17">
        <v>3284641</v>
      </c>
      <c r="F11" s="17">
        <v>228307</v>
      </c>
    </row>
    <row r="12" spans="1:6" x14ac:dyDescent="0.3">
      <c r="A12" s="8" t="s">
        <v>123</v>
      </c>
      <c r="B12" s="15">
        <v>997012</v>
      </c>
      <c r="C12" s="16" t="s">
        <v>58</v>
      </c>
      <c r="D12" s="16" t="s">
        <v>56</v>
      </c>
      <c r="E12" s="17">
        <v>0</v>
      </c>
      <c r="F12" s="17">
        <v>0</v>
      </c>
    </row>
    <row r="13" spans="1:6" x14ac:dyDescent="0.3">
      <c r="A13" s="8" t="s">
        <v>123</v>
      </c>
      <c r="B13" s="15">
        <v>997041</v>
      </c>
      <c r="C13" s="16" t="s">
        <v>59</v>
      </c>
      <c r="D13" s="16" t="s">
        <v>56</v>
      </c>
      <c r="E13" s="17">
        <v>-189124</v>
      </c>
      <c r="F13" s="17">
        <v>0</v>
      </c>
    </row>
    <row r="14" spans="1:6" x14ac:dyDescent="0.3">
      <c r="A14" s="8" t="s">
        <v>123</v>
      </c>
      <c r="B14" s="15">
        <v>997048</v>
      </c>
      <c r="C14" s="16" t="s">
        <v>60</v>
      </c>
      <c r="D14" s="16" t="s">
        <v>56</v>
      </c>
      <c r="E14" s="17">
        <v>-2615962</v>
      </c>
      <c r="F14" s="17">
        <v>-447948</v>
      </c>
    </row>
    <row r="15" spans="1:6" x14ac:dyDescent="0.3">
      <c r="A15" s="8" t="s">
        <v>123</v>
      </c>
      <c r="B15" s="15">
        <v>997049</v>
      </c>
      <c r="C15" s="16" t="s">
        <v>61</v>
      </c>
      <c r="D15" s="16" t="s">
        <v>56</v>
      </c>
      <c r="E15" s="17">
        <v>-190199006</v>
      </c>
      <c r="F15" s="17">
        <v>-33811370</v>
      </c>
    </row>
    <row r="16" spans="1:6" x14ac:dyDescent="0.3">
      <c r="A16" s="8" t="s">
        <v>123</v>
      </c>
      <c r="B16" s="15">
        <v>997080</v>
      </c>
      <c r="C16" s="16" t="s">
        <v>62</v>
      </c>
      <c r="D16" s="16" t="s">
        <v>56</v>
      </c>
      <c r="E16" s="17">
        <v>5604546</v>
      </c>
      <c r="F16" s="17">
        <v>-362101</v>
      </c>
    </row>
    <row r="17" spans="1:6" x14ac:dyDescent="0.3">
      <c r="A17" s="8" t="s">
        <v>123</v>
      </c>
      <c r="B17" s="15">
        <v>997101</v>
      </c>
      <c r="C17" s="16" t="s">
        <v>63</v>
      </c>
      <c r="D17" s="16" t="s">
        <v>56</v>
      </c>
      <c r="E17" s="17">
        <v>-12059529</v>
      </c>
      <c r="F17" s="17">
        <v>-4884287</v>
      </c>
    </row>
    <row r="18" spans="1:6" x14ac:dyDescent="0.3">
      <c r="A18" s="8"/>
      <c r="B18" s="15"/>
      <c r="C18" s="16"/>
      <c r="D18" s="16"/>
      <c r="E18" s="19">
        <f t="shared" ref="E18" si="1">SUM(E10:E17)</f>
        <v>-117566657</v>
      </c>
      <c r="F18" s="19">
        <f t="shared" ref="F18" si="2">SUM(F10:F17)</f>
        <v>-22659350</v>
      </c>
    </row>
    <row r="19" spans="1:6" ht="7.2" customHeight="1" x14ac:dyDescent="0.3">
      <c r="A19" s="8"/>
      <c r="B19" s="15"/>
      <c r="C19" s="16"/>
      <c r="D19" s="16"/>
      <c r="E19" s="20"/>
      <c r="F19" s="20"/>
    </row>
    <row r="20" spans="1:6" x14ac:dyDescent="0.3">
      <c r="A20" s="8" t="s">
        <v>123</v>
      </c>
      <c r="B20" s="15">
        <v>997002</v>
      </c>
      <c r="C20" s="16" t="s">
        <v>64</v>
      </c>
      <c r="D20" s="16" t="s">
        <v>65</v>
      </c>
      <c r="E20" s="17">
        <v>13061</v>
      </c>
      <c r="F20" s="17">
        <v>4502</v>
      </c>
    </row>
    <row r="21" spans="1:6" x14ac:dyDescent="0.3">
      <c r="A21" s="8" t="s">
        <v>123</v>
      </c>
      <c r="B21" s="15">
        <v>997004</v>
      </c>
      <c r="C21" s="16" t="s">
        <v>66</v>
      </c>
      <c r="D21" s="16" t="s">
        <v>65</v>
      </c>
      <c r="E21" s="17">
        <v>0</v>
      </c>
      <c r="F21" s="17">
        <v>0</v>
      </c>
    </row>
    <row r="22" spans="1:6" x14ac:dyDescent="0.3">
      <c r="A22" s="8" t="s">
        <v>123</v>
      </c>
      <c r="B22" s="15">
        <v>997005</v>
      </c>
      <c r="C22" s="16" t="s">
        <v>67</v>
      </c>
      <c r="D22" s="16" t="s">
        <v>65</v>
      </c>
      <c r="E22" s="17">
        <v>1633285</v>
      </c>
      <c r="F22" s="17">
        <v>470518</v>
      </c>
    </row>
    <row r="23" spans="1:6" x14ac:dyDescent="0.3">
      <c r="A23" s="8" t="s">
        <v>123</v>
      </c>
      <c r="B23" s="15">
        <v>997007</v>
      </c>
      <c r="C23" s="16" t="s">
        <v>68</v>
      </c>
      <c r="D23" s="16" t="s">
        <v>65</v>
      </c>
      <c r="E23" s="17">
        <v>0</v>
      </c>
      <c r="F23" s="17">
        <v>0</v>
      </c>
    </row>
    <row r="24" spans="1:6" x14ac:dyDescent="0.3">
      <c r="A24" s="8" t="s">
        <v>123</v>
      </c>
      <c r="B24" s="15">
        <v>997008</v>
      </c>
      <c r="C24" s="16" t="s">
        <v>69</v>
      </c>
      <c r="D24" s="16" t="s">
        <v>65</v>
      </c>
      <c r="E24" s="17">
        <v>0</v>
      </c>
      <c r="F24" s="17">
        <v>0</v>
      </c>
    </row>
    <row r="25" spans="1:6" x14ac:dyDescent="0.3">
      <c r="A25" s="8" t="s">
        <v>123</v>
      </c>
      <c r="B25" s="15">
        <v>997010</v>
      </c>
      <c r="C25" s="16" t="s">
        <v>70</v>
      </c>
      <c r="D25" s="16" t="s">
        <v>65</v>
      </c>
      <c r="E25" s="17">
        <v>0</v>
      </c>
      <c r="F25" s="17">
        <v>7405819</v>
      </c>
    </row>
    <row r="26" spans="1:6" x14ac:dyDescent="0.3">
      <c r="A26" s="8" t="s">
        <v>123</v>
      </c>
      <c r="B26" s="15">
        <v>997016</v>
      </c>
      <c r="C26" s="16" t="s">
        <v>71</v>
      </c>
      <c r="D26" s="16" t="s">
        <v>65</v>
      </c>
      <c r="E26" s="17">
        <v>840773</v>
      </c>
      <c r="F26" s="17">
        <v>195518</v>
      </c>
    </row>
    <row r="27" spans="1:6" x14ac:dyDescent="0.3">
      <c r="A27" s="8" t="s">
        <v>123</v>
      </c>
      <c r="B27" s="15">
        <v>997017</v>
      </c>
      <c r="C27" s="16" t="s">
        <v>52</v>
      </c>
      <c r="D27" s="16" t="s">
        <v>65</v>
      </c>
      <c r="E27" s="18">
        <f>2450031-E5</f>
        <v>1258011</v>
      </c>
      <c r="F27" s="17">
        <v>0</v>
      </c>
    </row>
    <row r="28" spans="1:6" x14ac:dyDescent="0.3">
      <c r="A28" s="8" t="s">
        <v>123</v>
      </c>
      <c r="B28" s="15">
        <v>997018</v>
      </c>
      <c r="C28" s="16" t="s">
        <v>72</v>
      </c>
      <c r="D28" s="16" t="s">
        <v>65</v>
      </c>
      <c r="E28" s="17">
        <v>-7628074</v>
      </c>
      <c r="F28" s="17">
        <v>0</v>
      </c>
    </row>
    <row r="29" spans="1:6" x14ac:dyDescent="0.3">
      <c r="A29" s="8" t="s">
        <v>123</v>
      </c>
      <c r="B29" s="15">
        <v>997020</v>
      </c>
      <c r="C29" s="16" t="s">
        <v>73</v>
      </c>
      <c r="D29" s="16" t="s">
        <v>65</v>
      </c>
      <c r="E29" s="17">
        <v>1023830</v>
      </c>
      <c r="F29" s="17">
        <v>294946</v>
      </c>
    </row>
    <row r="30" spans="1:6" x14ac:dyDescent="0.3">
      <c r="A30" s="8" t="s">
        <v>123</v>
      </c>
      <c r="B30" s="15">
        <v>997024</v>
      </c>
      <c r="C30" s="16" t="s">
        <v>74</v>
      </c>
      <c r="D30" s="16" t="s">
        <v>65</v>
      </c>
      <c r="E30" s="17">
        <v>-134592</v>
      </c>
      <c r="F30" s="17">
        <v>0</v>
      </c>
    </row>
    <row r="31" spans="1:6" x14ac:dyDescent="0.3">
      <c r="A31" s="8" t="s">
        <v>123</v>
      </c>
      <c r="B31" s="15">
        <v>997027</v>
      </c>
      <c r="C31" s="16" t="s">
        <v>75</v>
      </c>
      <c r="D31" s="16" t="s">
        <v>65</v>
      </c>
      <c r="E31" s="17">
        <v>0</v>
      </c>
      <c r="F31" s="17">
        <v>0</v>
      </c>
    </row>
    <row r="32" spans="1:6" x14ac:dyDescent="0.3">
      <c r="A32" s="8" t="s">
        <v>123</v>
      </c>
      <c r="B32" s="15">
        <v>997030</v>
      </c>
      <c r="C32" s="16" t="s">
        <v>76</v>
      </c>
      <c r="D32" s="16" t="s">
        <v>65</v>
      </c>
      <c r="E32" s="17">
        <v>0</v>
      </c>
      <c r="F32" s="17">
        <v>0</v>
      </c>
    </row>
    <row r="33" spans="1:6" x14ac:dyDescent="0.3">
      <c r="A33" s="8" t="s">
        <v>123</v>
      </c>
      <c r="B33" s="15">
        <v>997031</v>
      </c>
      <c r="C33" s="16" t="s">
        <v>77</v>
      </c>
      <c r="D33" s="16" t="s">
        <v>65</v>
      </c>
      <c r="E33" s="17">
        <v>-11366615</v>
      </c>
      <c r="F33" s="17">
        <v>-8191427</v>
      </c>
    </row>
    <row r="34" spans="1:6" x14ac:dyDescent="0.3">
      <c r="A34" s="8" t="s">
        <v>123</v>
      </c>
      <c r="B34" s="15">
        <v>997032</v>
      </c>
      <c r="C34" s="16" t="s">
        <v>78</v>
      </c>
      <c r="D34" s="16" t="s">
        <v>65</v>
      </c>
      <c r="E34" s="17">
        <v>-24919820</v>
      </c>
      <c r="F34" s="17">
        <v>-7108950</v>
      </c>
    </row>
    <row r="35" spans="1:6" x14ac:dyDescent="0.3">
      <c r="A35" s="8" t="s">
        <v>123</v>
      </c>
      <c r="B35" s="15">
        <v>997033</v>
      </c>
      <c r="C35" s="16" t="s">
        <v>79</v>
      </c>
      <c r="D35" s="16" t="s">
        <v>65</v>
      </c>
      <c r="E35" s="17">
        <v>167169</v>
      </c>
      <c r="F35" s="17"/>
    </row>
    <row r="36" spans="1:6" x14ac:dyDescent="0.3">
      <c r="A36" s="8" t="s">
        <v>123</v>
      </c>
      <c r="B36" s="15">
        <v>997033</v>
      </c>
      <c r="C36" s="16" t="s">
        <v>80</v>
      </c>
      <c r="D36" s="16" t="s">
        <v>65</v>
      </c>
      <c r="E36" s="17"/>
      <c r="F36" s="17">
        <v>656453</v>
      </c>
    </row>
    <row r="37" spans="1:6" x14ac:dyDescent="0.3">
      <c r="A37" s="8" t="s">
        <v>123</v>
      </c>
      <c r="B37" s="15">
        <v>997034</v>
      </c>
      <c r="C37" s="16" t="s">
        <v>81</v>
      </c>
      <c r="D37" s="16" t="s">
        <v>65</v>
      </c>
      <c r="E37" s="17">
        <v>676584</v>
      </c>
      <c r="F37" s="17">
        <v>0</v>
      </c>
    </row>
    <row r="38" spans="1:6" x14ac:dyDescent="0.3">
      <c r="A38" s="8" t="s">
        <v>123</v>
      </c>
      <c r="B38" s="15">
        <v>997043</v>
      </c>
      <c r="C38" s="16" t="s">
        <v>82</v>
      </c>
      <c r="D38" s="16" t="s">
        <v>65</v>
      </c>
      <c r="E38" s="17">
        <v>2898974</v>
      </c>
      <c r="F38" s="17">
        <v>0</v>
      </c>
    </row>
    <row r="39" spans="1:6" x14ac:dyDescent="0.3">
      <c r="A39" s="8" t="s">
        <v>123</v>
      </c>
      <c r="B39" s="15">
        <v>997044</v>
      </c>
      <c r="C39" s="16" t="s">
        <v>83</v>
      </c>
      <c r="D39" s="16" t="s">
        <v>65</v>
      </c>
      <c r="E39" s="17">
        <v>14039</v>
      </c>
      <c r="F39" s="17">
        <v>0</v>
      </c>
    </row>
    <row r="40" spans="1:6" x14ac:dyDescent="0.3">
      <c r="A40" s="8" t="s">
        <v>123</v>
      </c>
      <c r="B40" s="15">
        <v>997046</v>
      </c>
      <c r="C40" s="16" t="s">
        <v>84</v>
      </c>
      <c r="D40" s="16" t="s">
        <v>65</v>
      </c>
      <c r="E40" s="17">
        <v>-22008</v>
      </c>
      <c r="F40" s="17">
        <v>0</v>
      </c>
    </row>
    <row r="41" spans="1:6" x14ac:dyDescent="0.3">
      <c r="A41" s="8" t="s">
        <v>123</v>
      </c>
      <c r="B41" s="15">
        <v>997053</v>
      </c>
      <c r="C41" s="16" t="s">
        <v>85</v>
      </c>
      <c r="D41" s="16" t="s">
        <v>65</v>
      </c>
      <c r="E41" s="17">
        <v>14849</v>
      </c>
      <c r="F41" s="17">
        <v>0</v>
      </c>
    </row>
    <row r="42" spans="1:6" x14ac:dyDescent="0.3">
      <c r="A42" s="8" t="s">
        <v>123</v>
      </c>
      <c r="B42" s="15">
        <v>997054</v>
      </c>
      <c r="C42" s="16" t="s">
        <v>86</v>
      </c>
      <c r="D42" s="16" t="s">
        <v>65</v>
      </c>
      <c r="E42" s="17">
        <v>72939</v>
      </c>
      <c r="F42" s="17">
        <v>0</v>
      </c>
    </row>
    <row r="43" spans="1:6" x14ac:dyDescent="0.3">
      <c r="A43" s="8" t="s">
        <v>123</v>
      </c>
      <c r="B43" s="15">
        <v>997058</v>
      </c>
      <c r="C43" s="16" t="s">
        <v>87</v>
      </c>
      <c r="D43" s="16" t="s">
        <v>65</v>
      </c>
      <c r="E43" s="17">
        <v>0</v>
      </c>
      <c r="F43" s="17"/>
    </row>
    <row r="44" spans="1:6" x14ac:dyDescent="0.3">
      <c r="A44" s="8" t="s">
        <v>123</v>
      </c>
      <c r="B44" s="15">
        <v>997059</v>
      </c>
      <c r="C44" s="16" t="s">
        <v>88</v>
      </c>
      <c r="D44" s="16" t="s">
        <v>65</v>
      </c>
      <c r="E44" s="17">
        <v>46316</v>
      </c>
      <c r="F44" s="17">
        <v>0</v>
      </c>
    </row>
    <row r="45" spans="1:6" x14ac:dyDescent="0.3">
      <c r="A45" s="8" t="s">
        <v>123</v>
      </c>
      <c r="B45" s="15">
        <v>997063</v>
      </c>
      <c r="C45" s="16" t="s">
        <v>89</v>
      </c>
      <c r="D45" s="16" t="s">
        <v>65</v>
      </c>
      <c r="E45" s="17">
        <v>733228</v>
      </c>
      <c r="F45" s="17">
        <v>0</v>
      </c>
    </row>
    <row r="46" spans="1:6" x14ac:dyDescent="0.3">
      <c r="A46" s="8" t="s">
        <v>123</v>
      </c>
      <c r="B46" s="15">
        <v>997065</v>
      </c>
      <c r="C46" s="16" t="s">
        <v>90</v>
      </c>
      <c r="D46" s="16" t="s">
        <v>65</v>
      </c>
      <c r="E46" s="17">
        <v>786607</v>
      </c>
      <c r="F46" s="17">
        <v>229962</v>
      </c>
    </row>
    <row r="47" spans="1:6" x14ac:dyDescent="0.3">
      <c r="A47" s="8" t="s">
        <v>123</v>
      </c>
      <c r="B47" s="21">
        <v>997071</v>
      </c>
      <c r="C47" s="22" t="s">
        <v>91</v>
      </c>
      <c r="D47" s="22" t="s">
        <v>65</v>
      </c>
      <c r="E47" s="18">
        <v>0</v>
      </c>
      <c r="F47" s="18">
        <v>0</v>
      </c>
    </row>
    <row r="48" spans="1:6" x14ac:dyDescent="0.3">
      <c r="A48" s="8" t="s">
        <v>123</v>
      </c>
      <c r="B48" s="15">
        <v>997081</v>
      </c>
      <c r="C48" s="16" t="s">
        <v>92</v>
      </c>
      <c r="D48" s="16" t="s">
        <v>65</v>
      </c>
      <c r="E48" s="17">
        <v>-161458</v>
      </c>
      <c r="F48" s="17">
        <v>-46513</v>
      </c>
    </row>
    <row r="49" spans="1:6" x14ac:dyDescent="0.3">
      <c r="A49" s="8" t="s">
        <v>123</v>
      </c>
      <c r="B49" s="15">
        <v>997083</v>
      </c>
      <c r="C49" s="16" t="s">
        <v>93</v>
      </c>
      <c r="D49" s="16" t="s">
        <v>65</v>
      </c>
      <c r="E49" s="17">
        <v>163765</v>
      </c>
      <c r="F49" s="17">
        <v>47177</v>
      </c>
    </row>
    <row r="50" spans="1:6" x14ac:dyDescent="0.3">
      <c r="A50" s="8" t="s">
        <v>123</v>
      </c>
      <c r="B50" s="15">
        <v>997084</v>
      </c>
      <c r="C50" s="16" t="s">
        <v>94</v>
      </c>
      <c r="D50" s="16" t="s">
        <v>65</v>
      </c>
      <c r="E50" s="17">
        <v>230497</v>
      </c>
      <c r="F50" s="17">
        <v>65027</v>
      </c>
    </row>
    <row r="51" spans="1:6" x14ac:dyDescent="0.3">
      <c r="A51" s="8" t="s">
        <v>123</v>
      </c>
      <c r="B51" s="15">
        <v>997085</v>
      </c>
      <c r="C51" s="16" t="s">
        <v>95</v>
      </c>
      <c r="D51" s="16" t="s">
        <v>65</v>
      </c>
      <c r="E51" s="17">
        <v>0</v>
      </c>
      <c r="F51" s="17">
        <v>0</v>
      </c>
    </row>
    <row r="52" spans="1:6" x14ac:dyDescent="0.3">
      <c r="A52" s="8" t="s">
        <v>123</v>
      </c>
      <c r="B52" s="15">
        <v>997086</v>
      </c>
      <c r="C52" s="16" t="s">
        <v>96</v>
      </c>
      <c r="D52" s="16" t="s">
        <v>65</v>
      </c>
      <c r="E52" s="17">
        <v>0</v>
      </c>
      <c r="F52" s="17">
        <v>0</v>
      </c>
    </row>
    <row r="53" spans="1:6" x14ac:dyDescent="0.3">
      <c r="A53" s="8" t="s">
        <v>123</v>
      </c>
      <c r="B53" s="15">
        <v>997087</v>
      </c>
      <c r="C53" s="16" t="s">
        <v>97</v>
      </c>
      <c r="D53" s="16" t="s">
        <v>65</v>
      </c>
      <c r="E53" s="17">
        <v>0</v>
      </c>
      <c r="F53" s="17">
        <v>0</v>
      </c>
    </row>
    <row r="54" spans="1:6" x14ac:dyDescent="0.3">
      <c r="A54" s="8" t="s">
        <v>123</v>
      </c>
      <c r="B54" s="15">
        <v>997088</v>
      </c>
      <c r="C54" s="16" t="s">
        <v>98</v>
      </c>
      <c r="D54" s="16" t="s">
        <v>65</v>
      </c>
      <c r="E54" s="17">
        <v>1102752</v>
      </c>
      <c r="F54" s="17">
        <v>0</v>
      </c>
    </row>
    <row r="55" spans="1:6" x14ac:dyDescent="0.3">
      <c r="A55" s="8" t="s">
        <v>123</v>
      </c>
      <c r="B55" s="15">
        <v>997095</v>
      </c>
      <c r="C55" s="16" t="s">
        <v>99</v>
      </c>
      <c r="D55" s="16" t="s">
        <v>65</v>
      </c>
      <c r="E55" s="17">
        <v>-609868</v>
      </c>
      <c r="F55" s="17">
        <v>0</v>
      </c>
    </row>
    <row r="56" spans="1:6" x14ac:dyDescent="0.3">
      <c r="A56" s="8" t="s">
        <v>123</v>
      </c>
      <c r="B56" s="15">
        <v>997096</v>
      </c>
      <c r="C56" s="16" t="s">
        <v>100</v>
      </c>
      <c r="D56" s="16" t="s">
        <v>65</v>
      </c>
      <c r="E56" s="17">
        <v>21508</v>
      </c>
      <c r="F56" s="17">
        <v>0</v>
      </c>
    </row>
    <row r="57" spans="1:6" x14ac:dyDescent="0.3">
      <c r="A57" s="8" t="s">
        <v>123</v>
      </c>
      <c r="B57" s="15">
        <v>997098</v>
      </c>
      <c r="C57" s="16" t="s">
        <v>34</v>
      </c>
      <c r="D57" s="16" t="s">
        <v>65</v>
      </c>
      <c r="E57" s="17">
        <v>-178023</v>
      </c>
      <c r="F57" s="17">
        <v>2767455</v>
      </c>
    </row>
    <row r="58" spans="1:6" x14ac:dyDescent="0.3">
      <c r="A58" s="8" t="s">
        <v>123</v>
      </c>
      <c r="B58" s="15">
        <v>997099</v>
      </c>
      <c r="C58" s="16" t="s">
        <v>101</v>
      </c>
      <c r="D58" s="16" t="s">
        <v>65</v>
      </c>
      <c r="E58" s="17">
        <v>91996</v>
      </c>
      <c r="F58" s="17">
        <v>0</v>
      </c>
    </row>
    <row r="59" spans="1:6" x14ac:dyDescent="0.3">
      <c r="A59" s="8" t="s">
        <v>123</v>
      </c>
      <c r="B59" s="15">
        <v>997100</v>
      </c>
      <c r="C59" s="16" t="s">
        <v>102</v>
      </c>
      <c r="D59" s="16" t="s">
        <v>65</v>
      </c>
      <c r="E59" s="17">
        <v>32055</v>
      </c>
      <c r="F59" s="17">
        <v>0</v>
      </c>
    </row>
    <row r="60" spans="1:6" x14ac:dyDescent="0.3">
      <c r="A60" s="8" t="s">
        <v>123</v>
      </c>
      <c r="B60" s="15">
        <v>997102</v>
      </c>
      <c r="C60" s="16" t="s">
        <v>103</v>
      </c>
      <c r="D60" s="16" t="s">
        <v>65</v>
      </c>
      <c r="E60" s="17">
        <v>0</v>
      </c>
      <c r="F60" s="17">
        <v>0</v>
      </c>
    </row>
    <row r="61" spans="1:6" x14ac:dyDescent="0.3">
      <c r="A61" s="8" t="s">
        <v>123</v>
      </c>
      <c r="B61" s="15">
        <v>997103</v>
      </c>
      <c r="C61" s="16" t="s">
        <v>104</v>
      </c>
      <c r="D61" s="16" t="s">
        <v>65</v>
      </c>
      <c r="E61" s="17">
        <v>0</v>
      </c>
      <c r="F61" s="17">
        <v>0</v>
      </c>
    </row>
    <row r="62" spans="1:6" x14ac:dyDescent="0.3">
      <c r="A62" s="8" t="s">
        <v>123</v>
      </c>
      <c r="B62" s="15">
        <v>997104</v>
      </c>
      <c r="C62" s="16" t="s">
        <v>105</v>
      </c>
      <c r="D62" s="16" t="s">
        <v>65</v>
      </c>
      <c r="E62" s="17">
        <v>290395</v>
      </c>
      <c r="F62" s="17">
        <v>0</v>
      </c>
    </row>
    <row r="63" spans="1:6" x14ac:dyDescent="0.3">
      <c r="A63" s="8" t="s">
        <v>123</v>
      </c>
      <c r="B63" s="15">
        <v>997105</v>
      </c>
      <c r="C63" s="16" t="s">
        <v>106</v>
      </c>
      <c r="D63" s="16" t="s">
        <v>65</v>
      </c>
      <c r="E63" s="17">
        <v>0</v>
      </c>
      <c r="F63" s="17">
        <v>-1444028</v>
      </c>
    </row>
    <row r="64" spans="1:6" x14ac:dyDescent="0.3">
      <c r="A64" s="8"/>
      <c r="B64" s="15"/>
      <c r="C64" s="16"/>
      <c r="D64" s="16"/>
      <c r="E64" s="19">
        <f t="shared" ref="E64" si="3">SUM(E20:E63)</f>
        <v>-32907825</v>
      </c>
      <c r="F64" s="19">
        <f t="shared" ref="F64" si="4">SUM(F20:F63)</f>
        <v>-4653541</v>
      </c>
    </row>
    <row r="65" spans="1:6" ht="6.6" customHeight="1" x14ac:dyDescent="0.3">
      <c r="A65" s="8"/>
      <c r="B65" s="15"/>
      <c r="C65" s="16"/>
      <c r="D65" s="16"/>
      <c r="E65" s="17"/>
      <c r="F65" s="17"/>
    </row>
    <row r="66" spans="1:6" x14ac:dyDescent="0.3">
      <c r="A66" s="8"/>
      <c r="B66" s="23" t="s">
        <v>107</v>
      </c>
      <c r="C66" s="16"/>
      <c r="D66" s="16"/>
      <c r="E66" s="17">
        <f>SUM(E64,E18,E8)</f>
        <v>-148532251</v>
      </c>
      <c r="F66" s="17">
        <f>SUM(F64,F18,F8)</f>
        <v>-27096770</v>
      </c>
    </row>
    <row r="67" spans="1:6" ht="7.2" customHeight="1" x14ac:dyDescent="0.3">
      <c r="A67" s="8"/>
      <c r="B67" s="23"/>
      <c r="C67" s="24"/>
      <c r="D67" s="24"/>
      <c r="E67" s="25"/>
      <c r="F67" s="25"/>
    </row>
    <row r="68" spans="1:6" x14ac:dyDescent="0.3">
      <c r="A68" s="8"/>
      <c r="B68" s="15"/>
      <c r="C68" s="26" t="s">
        <v>115</v>
      </c>
      <c r="D68" s="26"/>
      <c r="E68" s="29">
        <f>E18*-0.35</f>
        <v>41148329.949999996</v>
      </c>
      <c r="F68" s="27">
        <f>F18*-0.35</f>
        <v>7930772.4999999991</v>
      </c>
    </row>
    <row r="69" spans="1:6" x14ac:dyDescent="0.3">
      <c r="A69" s="8" t="s">
        <v>112</v>
      </c>
      <c r="B69" s="15"/>
      <c r="C69" s="26" t="s">
        <v>108</v>
      </c>
      <c r="D69" s="26"/>
      <c r="E69" s="27">
        <f>((10192*0.71326)+1807206)*0.6475</f>
        <v>1174872.9159831998</v>
      </c>
      <c r="F69" s="27">
        <f>((10192*0.19958)+607590)*0.67091</f>
        <v>409002.91791981761</v>
      </c>
    </row>
    <row r="70" spans="1:6" ht="7.8" hidden="1" customHeight="1" x14ac:dyDescent="0.3">
      <c r="A70" s="8"/>
      <c r="B70" s="15"/>
      <c r="C70" s="26" t="s">
        <v>109</v>
      </c>
      <c r="D70" s="26"/>
      <c r="E70" s="28">
        <v>0</v>
      </c>
      <c r="F70" s="28">
        <f t="shared" ref="F70" si="5">F71-F68-F69</f>
        <v>0</v>
      </c>
    </row>
    <row r="71" spans="1:6" x14ac:dyDescent="0.3">
      <c r="A71" s="8"/>
      <c r="B71" s="15"/>
      <c r="C71" s="26" t="s">
        <v>110</v>
      </c>
      <c r="D71" s="26"/>
      <c r="E71" s="33">
        <f>E68+E69+E70</f>
        <v>42323202.865983196</v>
      </c>
      <c r="F71" s="33">
        <f t="shared" ref="F71" si="6">F68+F69</f>
        <v>8339775.4179198164</v>
      </c>
    </row>
    <row r="72" spans="1:6" ht="8.4" customHeight="1" x14ac:dyDescent="0.3">
      <c r="A72" s="8"/>
      <c r="B72" s="15"/>
      <c r="C72" s="26"/>
      <c r="D72" s="26"/>
      <c r="E72" s="29"/>
      <c r="F72" s="29"/>
    </row>
    <row r="73" spans="1:6" x14ac:dyDescent="0.3">
      <c r="A73" s="8" t="s">
        <v>113</v>
      </c>
      <c r="B73" s="15"/>
      <c r="C73" s="26" t="s">
        <v>114</v>
      </c>
      <c r="D73" s="26"/>
      <c r="E73" s="29">
        <v>12763753</v>
      </c>
      <c r="F73" s="29"/>
    </row>
    <row r="74" spans="1:6" ht="7.8" customHeight="1" x14ac:dyDescent="0.3">
      <c r="A74" s="8"/>
      <c r="B74" s="15"/>
      <c r="C74" s="26"/>
      <c r="D74" s="26"/>
      <c r="E74" s="27"/>
      <c r="F74" s="27"/>
    </row>
    <row r="75" spans="1:6" x14ac:dyDescent="0.3">
      <c r="A75" s="8"/>
      <c r="B75" s="15"/>
      <c r="C75" s="26" t="s">
        <v>116</v>
      </c>
      <c r="D75" s="26"/>
      <c r="E75" s="29">
        <f>E64*-0.35</f>
        <v>11517738.75</v>
      </c>
      <c r="F75" s="27">
        <f>F64*-0.35</f>
        <v>1628739.3499999999</v>
      </c>
    </row>
    <row r="76" spans="1:6" ht="6.6" customHeight="1" x14ac:dyDescent="0.3">
      <c r="A76" s="8"/>
      <c r="B76" s="15"/>
      <c r="C76" s="26"/>
      <c r="D76" s="26"/>
      <c r="E76" s="27"/>
      <c r="F76" s="27"/>
    </row>
    <row r="77" spans="1:6" ht="15" thickBot="1" x14ac:dyDescent="0.35">
      <c r="A77" s="8"/>
      <c r="B77" s="15"/>
      <c r="C77" s="26" t="s">
        <v>111</v>
      </c>
      <c r="D77" s="26"/>
      <c r="E77" s="30">
        <f>SUM(E71:E76)</f>
        <v>66604694.615983196</v>
      </c>
      <c r="F77" s="30">
        <f>SUM(F71:F76)</f>
        <v>9968514.7679198161</v>
      </c>
    </row>
    <row r="78" spans="1:6" ht="9.6" customHeight="1" x14ac:dyDescent="0.3">
      <c r="A78" s="8"/>
      <c r="B78" s="15"/>
      <c r="C78" s="26"/>
      <c r="D78" s="26"/>
      <c r="E78" s="27"/>
      <c r="F78" s="27"/>
    </row>
    <row r="79" spans="1:6" x14ac:dyDescent="0.3">
      <c r="A79" s="8" t="s">
        <v>125</v>
      </c>
      <c r="B79" s="15"/>
      <c r="C79" s="26" t="s">
        <v>117</v>
      </c>
      <c r="D79" s="26"/>
      <c r="E79" s="29">
        <f>66436097</f>
        <v>66436097</v>
      </c>
      <c r="F79" s="29">
        <v>9922880</v>
      </c>
    </row>
    <row r="80" spans="1:6" x14ac:dyDescent="0.3">
      <c r="C80" s="26" t="s">
        <v>120</v>
      </c>
      <c r="E80" s="27">
        <f>E79-E77</f>
        <v>-168597.6159831956</v>
      </c>
      <c r="F80" s="29">
        <f>F79-F77</f>
        <v>-45634.767919816077</v>
      </c>
    </row>
    <row r="81" spans="3:5" x14ac:dyDescent="0.3">
      <c r="C81" s="26" t="s">
        <v>119</v>
      </c>
      <c r="E81" s="27">
        <v>-40115</v>
      </c>
    </row>
  </sheetData>
  <mergeCells count="1">
    <mergeCell ref="A1:A2"/>
  </mergeCells>
  <pageMargins left="0.7" right="0.7" top="0.56000000000000005" bottom="0.6" header="0.3" footer="0.3"/>
  <pageSetup scale="64" orientation="portrait" r:id="rId1"/>
  <headerFooter>
    <oddFooter>&amp;L&amp;F /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SignificantOrder xmlns="dc463f71-b30c-4ab2-9473-d307f9d35888">false</SignificantOrder>
    <Date1 xmlns="dc463f71-b30c-4ab2-9473-d307f9d35888">2018-02-27T08:00:00+00:00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D4004A0-F96F-472F-8103-232B181FAC1B}"/>
</file>

<file path=customXml/itemProps2.xml><?xml version="1.0" encoding="utf-8"?>
<ds:datastoreItem xmlns:ds="http://schemas.openxmlformats.org/officeDocument/2006/customXml" ds:itemID="{72561189-4162-4B00-ABD9-FDB5D00E3069}"/>
</file>

<file path=customXml/itemProps3.xml><?xml version="1.0" encoding="utf-8"?>
<ds:datastoreItem xmlns:ds="http://schemas.openxmlformats.org/officeDocument/2006/customXml" ds:itemID="{243D9F2B-812A-4C2E-BA44-AD47C6653887}"/>
</file>

<file path=customXml/itemProps4.xml><?xml version="1.0" encoding="utf-8"?>
<ds:datastoreItem xmlns:ds="http://schemas.openxmlformats.org/officeDocument/2006/customXml" ds:itemID="{5D31F61C-6BF5-4922-8ECF-20DD11CA2B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Electric</vt:lpstr>
      <vt:lpstr>Natural Gas</vt:lpstr>
      <vt:lpstr>Sch M Recon</vt:lpstr>
      <vt:lpstr>Electric!Print_Area</vt:lpstr>
      <vt:lpstr>'Natural Gas'!Print_Area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gzhkw6</dc:creator>
  <cp:lastModifiedBy>gzhkw6</cp:lastModifiedBy>
  <cp:lastPrinted>2018-02-20T22:44:58Z</cp:lastPrinted>
  <dcterms:created xsi:type="dcterms:W3CDTF">2018-02-19T23:52:56Z</dcterms:created>
  <dcterms:modified xsi:type="dcterms:W3CDTF">2018-02-20T23:22:18Z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