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80" yWindow="-30" windowWidth="24810" windowHeight="12480" activeTab="1"/>
  </bookViews>
  <sheets>
    <sheet name="Attachment A - Elec" sheetId="1" r:id="rId1"/>
    <sheet name="Attachment A -Gas" sheetId="4" r:id="rId2"/>
    <sheet name="Sheet2" sheetId="2" r:id="rId3"/>
    <sheet name="Sheet3" sheetId="3" r:id="rId4"/>
  </sheets>
  <definedNames>
    <definedName name="_xlnm.Print_Area" localSheetId="0">'Attachment A - Elec'!$A$1:$AC$43</definedName>
    <definedName name="_xlnm.Print_Area" localSheetId="1">'Attachment A -Gas'!$A$1:$AC$44</definedName>
  </definedNames>
  <calcPr calcId="125725"/>
</workbook>
</file>

<file path=xl/calcChain.xml><?xml version="1.0" encoding="utf-8"?>
<calcChain xmlns="http://schemas.openxmlformats.org/spreadsheetml/2006/main">
  <c r="J20" i="4"/>
  <c r="D29" i="1"/>
  <c r="H13"/>
  <c r="X13" l="1"/>
  <c r="V13"/>
  <c r="T13"/>
  <c r="N13"/>
  <c r="T17" i="4"/>
  <c r="T18" i="1"/>
  <c r="T19" l="1"/>
  <c r="T18" i="4"/>
  <c r="D30" i="1" l="1"/>
  <c r="J11"/>
  <c r="N30" i="4" l="1"/>
  <c r="D28" l="1"/>
  <c r="D27"/>
  <c r="X32" i="1"/>
  <c r="N30"/>
  <c r="N32" s="1"/>
  <c r="D31"/>
  <c r="Z18"/>
  <c r="R18"/>
  <c r="Z10" i="4"/>
  <c r="X30" s="1"/>
  <c r="X32" s="1"/>
  <c r="Z17"/>
  <c r="Z16"/>
  <c r="R18"/>
  <c r="R17"/>
  <c r="D29" l="1"/>
  <c r="D30" s="1"/>
  <c r="P19"/>
  <c r="N38" s="1"/>
  <c r="R19"/>
  <c r="V11"/>
  <c r="N32" s="1"/>
  <c r="X11"/>
  <c r="Z11"/>
  <c r="P11"/>
  <c r="P13" s="1"/>
  <c r="R11"/>
  <c r="R13" s="1"/>
  <c r="P21" l="1"/>
  <c r="P12" s="1"/>
  <c r="P14" s="1"/>
  <c r="R21"/>
  <c r="R12" s="1"/>
  <c r="N39"/>
  <c r="R14"/>
  <c r="J10"/>
  <c r="J11" s="1"/>
  <c r="F11"/>
  <c r="H11"/>
  <c r="H13" s="1"/>
  <c r="F19"/>
  <c r="J18"/>
  <c r="J17"/>
  <c r="J16"/>
  <c r="F13"/>
  <c r="V19"/>
  <c r="X19"/>
  <c r="X39" s="1"/>
  <c r="Z19"/>
  <c r="X21"/>
  <c r="X12" s="1"/>
  <c r="V13"/>
  <c r="X13"/>
  <c r="Z13"/>
  <c r="H19"/>
  <c r="Z21" l="1"/>
  <c r="Z12" s="1"/>
  <c r="Z14" s="1"/>
  <c r="X40"/>
  <c r="V21"/>
  <c r="V12" s="1"/>
  <c r="V14" s="1"/>
  <c r="X38"/>
  <c r="F21"/>
  <c r="F12" s="1"/>
  <c r="F14" s="1"/>
  <c r="D35"/>
  <c r="J19"/>
  <c r="H21"/>
  <c r="H12" s="1"/>
  <c r="D36"/>
  <c r="X14"/>
  <c r="H14"/>
  <c r="R19" i="1"/>
  <c r="R20" l="1"/>
  <c r="N37" s="1"/>
  <c r="H20" l="1"/>
  <c r="D36" s="1"/>
  <c r="N19"/>
  <c r="H22" l="1"/>
  <c r="F12" l="1"/>
  <c r="H12"/>
  <c r="T12"/>
  <c r="T15" s="1"/>
  <c r="V12"/>
  <c r="V15" s="1"/>
  <c r="X12"/>
  <c r="X15" s="1"/>
  <c r="T20"/>
  <c r="V20"/>
  <c r="X20"/>
  <c r="N20"/>
  <c r="P20"/>
  <c r="N12"/>
  <c r="P12"/>
  <c r="P14" s="1"/>
  <c r="N14"/>
  <c r="N22" l="1"/>
  <c r="N15" s="1"/>
  <c r="N35"/>
  <c r="N38" s="1"/>
  <c r="N40" s="1"/>
  <c r="P22"/>
  <c r="P13" s="1"/>
  <c r="P15" s="1"/>
  <c r="N36"/>
  <c r="X22"/>
  <c r="X37"/>
  <c r="V22"/>
  <c r="X36"/>
  <c r="T22"/>
  <c r="X35"/>
  <c r="F19"/>
  <c r="F18"/>
  <c r="D19"/>
  <c r="D18"/>
  <c r="D17"/>
  <c r="D12"/>
  <c r="D14" s="1"/>
  <c r="F14"/>
  <c r="D20" l="1"/>
  <c r="D22" s="1"/>
  <c r="D13" s="1"/>
  <c r="D15" s="1"/>
  <c r="F20"/>
  <c r="D34" l="1"/>
  <c r="D35"/>
  <c r="F22"/>
  <c r="F13" s="1"/>
  <c r="F15" s="1"/>
  <c r="C19" i="4"/>
  <c r="C21" s="1"/>
  <c r="N19"/>
  <c r="T19"/>
  <c r="D37" i="1" l="1"/>
  <c r="D39" s="1"/>
  <c r="N21" i="4"/>
  <c r="N37"/>
  <c r="N40" s="1"/>
  <c r="N42" s="1"/>
  <c r="T21"/>
  <c r="X37"/>
  <c r="X41" s="1"/>
  <c r="X43" s="1"/>
  <c r="D19"/>
  <c r="D21" s="1"/>
  <c r="D34" l="1"/>
  <c r="D37" s="1"/>
  <c r="D39" s="1"/>
  <c r="R22" i="1"/>
  <c r="Z20"/>
  <c r="C20"/>
  <c r="C22" s="1"/>
  <c r="Z22" l="1"/>
  <c r="X38"/>
  <c r="X39" s="1"/>
  <c r="X41" s="1"/>
  <c r="J21"/>
  <c r="M11" l="1"/>
  <c r="AB11" s="1"/>
  <c r="J12"/>
  <c r="M10" i="4"/>
  <c r="AB10" s="1"/>
  <c r="M20" l="1"/>
  <c r="AB20" s="1"/>
  <c r="M21" i="1" l="1"/>
  <c r="AB21" s="1"/>
  <c r="N11" i="4" l="1"/>
  <c r="T11"/>
  <c r="T13" s="1"/>
  <c r="AB11"/>
  <c r="AB13" s="1"/>
  <c r="N12"/>
  <c r="T12"/>
  <c r="M11"/>
  <c r="M13" s="1"/>
  <c r="D11"/>
  <c r="D13" s="1"/>
  <c r="J13"/>
  <c r="C11"/>
  <c r="C13" s="1"/>
  <c r="Z13" i="1"/>
  <c r="C13"/>
  <c r="T14" i="4" l="1"/>
  <c r="N13"/>
  <c r="N14" s="1"/>
  <c r="R12" i="1"/>
  <c r="R14" s="1"/>
  <c r="Z12"/>
  <c r="Z14" s="1"/>
  <c r="Z15" s="1"/>
  <c r="AB12"/>
  <c r="AB14" s="1"/>
  <c r="M12"/>
  <c r="M14" s="1"/>
  <c r="J14"/>
  <c r="H14"/>
  <c r="H15" s="1"/>
  <c r="C12"/>
  <c r="C14" s="1"/>
  <c r="M8" i="4" l="1"/>
  <c r="J21" l="1"/>
  <c r="D12"/>
  <c r="D14" s="1"/>
  <c r="R13" i="1" l="1"/>
  <c r="R15" s="1"/>
  <c r="J19"/>
  <c r="J18"/>
  <c r="M18" s="1"/>
  <c r="AB18" s="1"/>
  <c r="J17"/>
  <c r="J20" s="1"/>
  <c r="M9"/>
  <c r="J22" l="1"/>
  <c r="J13" s="1"/>
  <c r="C15"/>
  <c r="M19"/>
  <c r="AB19" s="1"/>
  <c r="J15" l="1"/>
  <c r="M17"/>
  <c r="M20" l="1"/>
  <c r="M22" s="1"/>
  <c r="M13" s="1"/>
  <c r="M15" s="1"/>
  <c r="AB17"/>
  <c r="AB20" l="1"/>
  <c r="AB22" s="1"/>
  <c r="AB13" s="1"/>
  <c r="AB15" s="1"/>
  <c r="M18" i="4"/>
  <c r="AB18" s="1"/>
  <c r="C12"/>
  <c r="C14" s="1"/>
  <c r="M17"/>
  <c r="AB17" s="1"/>
  <c r="J12" l="1"/>
  <c r="J14" s="1"/>
  <c r="M16"/>
  <c r="AB16" s="1"/>
  <c r="M19" l="1"/>
  <c r="M21" s="1"/>
  <c r="M12" s="1"/>
  <c r="M14" s="1"/>
  <c r="AB19"/>
  <c r="AB21" s="1"/>
  <c r="AB12" l="1"/>
  <c r="AB14" s="1"/>
</calcChain>
</file>

<file path=xl/sharedStrings.xml><?xml version="1.0" encoding="utf-8"?>
<sst xmlns="http://schemas.openxmlformats.org/spreadsheetml/2006/main" count="244" uniqueCount="93">
  <si>
    <t>Plant</t>
  </si>
  <si>
    <t>DFIT</t>
  </si>
  <si>
    <t>Rate Base</t>
  </si>
  <si>
    <t>A/D</t>
  </si>
  <si>
    <t>Rate Base 9.30.2014 AMA</t>
  </si>
  <si>
    <t>Rate Base 2016 AMA</t>
  </si>
  <si>
    <t>Restating Natural Gas Adjustment (000's)</t>
  </si>
  <si>
    <t>Restating Electric Adjustment (000's)</t>
  </si>
  <si>
    <t>TABLE NO. 12</t>
  </si>
  <si>
    <t>Rate Base 12.31.14 EOP</t>
  </si>
  <si>
    <t>TABLE NO. 9</t>
  </si>
  <si>
    <t>TABLE NO. 10</t>
  </si>
  <si>
    <t>TABLE NO. 11</t>
  </si>
  <si>
    <t>2015/2016 Planned Electric Investment in (000's)</t>
  </si>
  <si>
    <t>2015/2016 Planned Natural Gas Investment in (000's)</t>
  </si>
  <si>
    <t xml:space="preserve">Depreciation </t>
  </si>
  <si>
    <t xml:space="preserve">Debt Interest </t>
  </si>
  <si>
    <t xml:space="preserve">Taxes </t>
  </si>
  <si>
    <t>NOI</t>
  </si>
  <si>
    <t>Income before FIT</t>
  </si>
  <si>
    <t>Adjust ADFIT</t>
  </si>
  <si>
    <t>Rate Base After DFIT Adj.</t>
  </si>
  <si>
    <t xml:space="preserve">Avista Corp </t>
  </si>
  <si>
    <t>(See note on page 1.)</t>
  </si>
  <si>
    <t xml:space="preserve">Note: In 2014 Avista filed for a “Change of Accounting” to implement certain IRS Tangible Property Regulations associated with revised rules on property capitalization versus repair requirements.  The study to implement this tax accounting change is commonly referred to as a “Repairs Study.”
In Avista’s direct filed case the Company included an estimate of the “Repairs Study” deduction or impact to associated taxes/ADFIT recorded in September 2014.   This repairs deduction was the result of Avista recording in the test period an estimate of the impact of the tax deduction the Company intended to file in its 2014 federal income tax return in September 2015.   
For December 2014 final results, the Company revised the estimated Repairs Study amount and allocations between service and jurisdiction.  These revised estimated amounts were reflected within updated information provided to all parties in this proceeding in response to Staff Data Request 130 (see Exhibit Nos. (CRM-4) and (CRM-5)), and was included in the Company’s rebuttal filing within the electric and natural gas Cross Check Studies provided as Exhibit Nos. (JSS-5) and (JSS-6).  This revised information is the same information as shown in Attachment A of cross examination Exhibit No. KKS-12 as “Preliminary Estimate – For December 31, 2014 Accrual” (upper portion).  
The “Repairs Study” was finalized in September 2015, and the final “Repairs Study” information was provided in cross examination Exhibit No. KKS-12 as “Final Repairs Study – For 2014 Federal Tax Return" (lower portion).   
Included in Tables 9 – 12 of this response are the final “Repairs Study” results, along with all other true-up adjustments related to bonus and tax depreciation included in the Company’s 2014 Federal tax return filed on September 15, 2015.  See Avista’s response to Bench Request No. 12 Attachment A for more information.
</t>
  </si>
  <si>
    <t>(1)</t>
  </si>
  <si>
    <t>(2)</t>
  </si>
  <si>
    <t>(1) Sum of (1) = ($66,130).  See also Bench Request No. 12 Attachment A.</t>
  </si>
  <si>
    <t>(1) Sum of (1) = ($318,759).  See also Bench Request No. 12 Attachment A.</t>
  </si>
  <si>
    <t>Adjust 9.30.14 Vintage to 12.31.14 EOP</t>
  </si>
  <si>
    <t>Oct-Dec 2014 Capital Additions to 12.31.14 EOP</t>
  </si>
  <si>
    <t>Adjust 9.30.14 to EOP Basis</t>
  </si>
  <si>
    <t>Adjust 9.30.14 Vintage to 12.31.15 EOP</t>
  </si>
  <si>
    <t>Oct-Dec 2014 Capital Additions to 12.31.15 EOP</t>
  </si>
  <si>
    <t>2015 Capital Additions to 2015 EOP</t>
  </si>
  <si>
    <t>Adjust 9.30.14 Vintage to 2016 AMA</t>
  </si>
  <si>
    <t xml:space="preserve">Oct-Dec 2014 Capital Additions to 2016 AMA </t>
  </si>
  <si>
    <t>2015 Capital Additions to 2016 AMA</t>
  </si>
  <si>
    <t>2016 Capital Additions to 2016 AMA</t>
  </si>
  <si>
    <t>(a)</t>
  </si>
  <si>
    <t>Rounding</t>
  </si>
  <si>
    <t>Total Rate base after DFIT Activity</t>
  </si>
  <si>
    <t>9.30.14 to EOP Basis</t>
  </si>
  <si>
    <r>
      <t xml:space="preserve">Sum of </t>
    </r>
    <r>
      <rPr>
        <b/>
        <sz val="9.9"/>
        <color rgb="FFFF0000"/>
        <rFont val="Times New Roman"/>
        <family val="1"/>
      </rPr>
      <t>(a)</t>
    </r>
    <r>
      <rPr>
        <b/>
        <sz val="11"/>
        <color theme="1"/>
        <rFont val="Times New Roman"/>
        <family val="1"/>
      </rPr>
      <t xml:space="preserve"> above </t>
    </r>
  </si>
  <si>
    <t>(b)</t>
  </si>
  <si>
    <r>
      <t xml:space="preserve">Sum of </t>
    </r>
    <r>
      <rPr>
        <b/>
        <sz val="9.9"/>
        <color rgb="FFFF0000"/>
        <rFont val="Times New Roman"/>
        <family val="1"/>
      </rPr>
      <t>(b)</t>
    </r>
    <r>
      <rPr>
        <b/>
        <sz val="11"/>
        <color theme="1"/>
        <rFont val="Times New Roman"/>
        <family val="1"/>
      </rPr>
      <t xml:space="preserve"> above </t>
    </r>
  </si>
  <si>
    <t>Rate base after DFIT adj 4.01</t>
  </si>
  <si>
    <t xml:space="preserve">Rounding </t>
  </si>
  <si>
    <t>Depreciation adj 4.01</t>
  </si>
  <si>
    <t>Depreciation adj 4.02</t>
  </si>
  <si>
    <t>Rate base after DFIT adj 4.02</t>
  </si>
  <si>
    <r>
      <t xml:space="preserve">Sum of </t>
    </r>
    <r>
      <rPr>
        <b/>
        <sz val="9.9"/>
        <color rgb="FFFF0000"/>
        <rFont val="Times New Roman"/>
        <family val="1"/>
      </rPr>
      <t>(c)</t>
    </r>
    <r>
      <rPr>
        <b/>
        <sz val="11"/>
        <color theme="1"/>
        <rFont val="Times New Roman"/>
        <family val="1"/>
      </rPr>
      <t xml:space="preserve"> above </t>
    </r>
  </si>
  <si>
    <t>Depreciation adj 3.11 and 3.12U</t>
  </si>
  <si>
    <t>Depreciation adj 3.07 and 3.07U</t>
  </si>
  <si>
    <t xml:space="preserve">Depreciation Above </t>
  </si>
  <si>
    <t>Rate base after DFIT total of  3.07 and 3.07U</t>
  </si>
  <si>
    <t xml:space="preserve">Reconcilliation with JSS-6, Adjustment 3.07 and 3.07U : </t>
  </si>
  <si>
    <t xml:space="preserve">Reconcilliation with JSS-5, Adjustment 4.01 and 4.02 : </t>
  </si>
  <si>
    <t>Natural Gas Updated Schuh Tables - EOP</t>
  </si>
  <si>
    <t>Electric Updated Schuh Tables - EOP</t>
  </si>
  <si>
    <t xml:space="preserve">(b) </t>
  </si>
  <si>
    <t>(c)</t>
  </si>
  <si>
    <t>Adjust 9.30.14 Vintage to 12.31.14 EOP (Adj 3.11)</t>
  </si>
  <si>
    <t>Oct-Dec 2014 Capital Additions to 12.31.14 EOP (Adj. 3.12U)</t>
  </si>
  <si>
    <t>Rate base after DFIT total of  3.11 ($35,089) and 3.12U (-$39,469)</t>
  </si>
  <si>
    <t>(000s)</t>
  </si>
  <si>
    <t>(Net Plant After DFIT per JSS-5, line 45)</t>
  </si>
  <si>
    <t>DFIT Update, not included with JSS-5</t>
  </si>
  <si>
    <t>(2) Agrees to Bench_DR_15 Attachment E, page 3.  See Bench_DR_15 Attachment E for supporting workpapers.</t>
  </si>
  <si>
    <t>Adj. 4.01</t>
  </si>
  <si>
    <t>Adj. 4.02</t>
  </si>
  <si>
    <t>See JSS-5, line 36, page 9</t>
  </si>
  <si>
    <t>See JSS-5, line 42, page 9</t>
  </si>
  <si>
    <t>See JSS-5, line 44, page 9</t>
  </si>
  <si>
    <t>(3)</t>
  </si>
  <si>
    <t xml:space="preserve">Reconciliation with JSS-5, Adjustment 3.11 and 3.12U : </t>
  </si>
  <si>
    <t xml:space="preserve">Reconciliation with JSS-5, Adjustment 4.01 (2015) and 4.02 (2016): </t>
  </si>
  <si>
    <t>(1) Subtotal of columns differs from corresponding JSS-5 adjustments related to Debt Interest on DFIT Update amount.</t>
  </si>
  <si>
    <t>(2) Subtotal of columns agrees to corresponding JSS-5 adjustments related to Taxes.</t>
  </si>
  <si>
    <t>(3) Subtotal of columns for each row agrees to corresponding JSS-5 adjustments related to Plant, A/D, DFIT, Debt Interest and Taxes.</t>
  </si>
  <si>
    <t>See JSS-5, line 26, page 9</t>
  </si>
  <si>
    <t>See JSS-5, line 27, page 9</t>
  </si>
  <si>
    <t>DFIT Update, not included with JSS-6</t>
  </si>
  <si>
    <t>See JSS-6, line 27, page 8</t>
  </si>
  <si>
    <t>(1) Subtotal of columns differs from corresponding sum of JSS-6 adjustments related to Debt Interest on DFIT Update amount.</t>
  </si>
  <si>
    <t>(2) Subtotal of columns agrees to corresponding sum of JSS-6 adjustments related to Taxes.</t>
  </si>
  <si>
    <t>See JSS-6, line 26, page 8</t>
  </si>
  <si>
    <t>See JSS-6, line 35, page 8 &amp; 9</t>
  </si>
  <si>
    <t>See JSS-6, line 39, page 8 &amp; 9</t>
  </si>
  <si>
    <t>See JSS-6, line 41, page 8 &amp; 9</t>
  </si>
  <si>
    <t>(Net Plant After DFIT per JSS-6, line 42, pgs 8 &amp; 9)</t>
  </si>
  <si>
    <t>(2) Agrees to Bench_DR_15 Attachment C, page 3.  See Bench_DR_15 Attachment C for supporting workpapers.</t>
  </si>
  <si>
    <t>(3) Subtotal of columns for each row agrees to corresponding JSS-6 adjustments related to Plant, A/D, DFIT, Debt Interest and Taxes.</t>
  </si>
</sst>
</file>

<file path=xl/styles.xml><?xml version="1.0" encoding="utf-8"?>
<styleSheet xmlns="http://schemas.openxmlformats.org/spreadsheetml/2006/main">
  <numFmts count="4">
    <numFmt numFmtId="44" formatCode="_(&quot;$&quot;* #,##0.00_);_(&quot;$&quot;* \(#,##0.00\);_(&quot;$&quot;* &quot;-&quot;??_);_(@_)"/>
    <numFmt numFmtId="43" formatCode="_(* #,##0.00_);_(* \(#,##0.00\);_(* &quot;-&quot;??_);_(@_)"/>
    <numFmt numFmtId="164" formatCode="_(* #,##0_);_(* \(#,##0\);_(* &quot;-&quot;??_);_(@_)"/>
    <numFmt numFmtId="165" formatCode="_(&quot;$&quot;* #,##0_);_(&quot;$&quot;* \(#,##0\);_(&quot;$&quot;* &quot;-&quot;??_);_(@_)"/>
  </numFmts>
  <fonts count="16">
    <font>
      <sz val="11"/>
      <color theme="1"/>
      <name val="Calibri"/>
      <family val="2"/>
      <scheme val="minor"/>
    </font>
    <font>
      <sz val="11"/>
      <color theme="1"/>
      <name val="Calibri"/>
      <family val="2"/>
      <scheme val="minor"/>
    </font>
    <font>
      <b/>
      <sz val="11"/>
      <color theme="1"/>
      <name val="Calibri"/>
      <family val="2"/>
      <scheme val="minor"/>
    </font>
    <font>
      <sz val="11"/>
      <color theme="1"/>
      <name val="Times New Roman"/>
      <family val="1"/>
    </font>
    <font>
      <sz val="11"/>
      <name val="Times New Roman"/>
      <family val="1"/>
    </font>
    <font>
      <b/>
      <sz val="11"/>
      <name val="Times New Roman"/>
      <family val="1"/>
    </font>
    <font>
      <b/>
      <sz val="11"/>
      <color theme="1"/>
      <name val="Times New Roman"/>
      <family val="1"/>
    </font>
    <font>
      <sz val="8"/>
      <color theme="1"/>
      <name val="Times New Roman"/>
      <family val="1"/>
    </font>
    <font>
      <b/>
      <sz val="11"/>
      <color indexed="8"/>
      <name val="Calibri"/>
      <family val="2"/>
      <scheme val="minor"/>
    </font>
    <font>
      <b/>
      <sz val="11"/>
      <color rgb="FFFF0000"/>
      <name val="Times New Roman"/>
      <family val="1"/>
    </font>
    <font>
      <b/>
      <sz val="9.9"/>
      <color rgb="FFFF0000"/>
      <name val="Times New Roman"/>
      <family val="1"/>
    </font>
    <font>
      <b/>
      <sz val="12"/>
      <color theme="1"/>
      <name val="Calibri"/>
      <family val="2"/>
      <scheme val="minor"/>
    </font>
    <font>
      <b/>
      <sz val="14"/>
      <color theme="1"/>
      <name val="Calibri"/>
      <family val="2"/>
      <scheme val="minor"/>
    </font>
    <font>
      <b/>
      <sz val="10"/>
      <color theme="1"/>
      <name val="Calibri"/>
      <family val="2"/>
      <scheme val="minor"/>
    </font>
    <font>
      <sz val="10"/>
      <name val="Times New Roman"/>
      <family val="1"/>
    </font>
    <font>
      <sz val="10"/>
      <color theme="1"/>
      <name val="Times New Roman"/>
      <family val="1"/>
    </font>
  </fonts>
  <fills count="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s>
  <borders count="33">
    <border>
      <left/>
      <right/>
      <top/>
      <bottom/>
      <diagonal/>
    </border>
    <border>
      <left/>
      <right/>
      <top/>
      <bottom style="medium">
        <color indexed="64"/>
      </bottom>
      <diagonal/>
    </border>
    <border>
      <left/>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96">
    <xf numFmtId="0" fontId="0" fillId="0" borderId="0" xfId="0"/>
    <xf numFmtId="0" fontId="0" fillId="0" borderId="0" xfId="0" applyFill="1" applyBorder="1" applyAlignment="1">
      <alignment horizontal="center"/>
    </xf>
    <xf numFmtId="0" fontId="0" fillId="0" borderId="0" xfId="0" applyFill="1" applyBorder="1"/>
    <xf numFmtId="0" fontId="0" fillId="0" borderId="0" xfId="0" applyFill="1" applyAlignment="1">
      <alignment horizontal="center"/>
    </xf>
    <xf numFmtId="0" fontId="0" fillId="0" borderId="0" xfId="0" applyFill="1"/>
    <xf numFmtId="0" fontId="2" fillId="0" borderId="0" xfId="0" applyFont="1" applyFill="1"/>
    <xf numFmtId="0" fontId="0" fillId="0" borderId="0" xfId="0" applyFill="1" applyAlignment="1">
      <alignment horizontal="center" wrapText="1"/>
    </xf>
    <xf numFmtId="0" fontId="3" fillId="0" borderId="0" xfId="0" applyFont="1" applyFill="1" applyBorder="1"/>
    <xf numFmtId="0" fontId="3" fillId="0" borderId="0" xfId="0" applyFont="1" applyFill="1"/>
    <xf numFmtId="0" fontId="6" fillId="0" borderId="10" xfId="0" applyFont="1" applyFill="1" applyBorder="1"/>
    <xf numFmtId="164" fontId="4" fillId="0" borderId="0" xfId="1" applyNumberFormat="1" applyFont="1" applyFill="1" applyBorder="1"/>
    <xf numFmtId="164" fontId="3" fillId="0" borderId="0" xfId="1" applyNumberFormat="1" applyFont="1" applyFill="1" applyBorder="1"/>
    <xf numFmtId="165" fontId="4" fillId="0" borderId="4" xfId="2" applyNumberFormat="1" applyFont="1" applyFill="1" applyBorder="1"/>
    <xf numFmtId="165" fontId="3" fillId="0" borderId="0" xfId="2" applyNumberFormat="1" applyFont="1" applyFill="1" applyBorder="1"/>
    <xf numFmtId="165" fontId="3" fillId="0" borderId="4" xfId="2" applyNumberFormat="1" applyFont="1" applyFill="1" applyBorder="1"/>
    <xf numFmtId="164" fontId="3" fillId="0" borderId="4" xfId="1" applyNumberFormat="1" applyFont="1" applyFill="1" applyBorder="1"/>
    <xf numFmtId="165" fontId="4" fillId="0" borderId="0" xfId="2" applyNumberFormat="1" applyFont="1" applyFill="1" applyBorder="1"/>
    <xf numFmtId="164" fontId="0" fillId="0" borderId="0" xfId="1" applyNumberFormat="1" applyFont="1" applyFill="1"/>
    <xf numFmtId="164" fontId="4" fillId="0" borderId="9" xfId="1" applyNumberFormat="1" applyFont="1" applyFill="1" applyBorder="1"/>
    <xf numFmtId="165" fontId="5" fillId="0" borderId="2" xfId="2" applyNumberFormat="1" applyFont="1" applyFill="1" applyBorder="1"/>
    <xf numFmtId="0" fontId="4" fillId="0" borderId="0" xfId="0" applyFont="1" applyFill="1" applyBorder="1" applyAlignment="1">
      <alignment horizontal="center" wrapText="1"/>
    </xf>
    <xf numFmtId="164" fontId="4" fillId="0" borderId="17" xfId="1" applyNumberFormat="1" applyFont="1" applyFill="1" applyBorder="1"/>
    <xf numFmtId="164" fontId="4" fillId="0" borderId="4" xfId="1" applyNumberFormat="1" applyFont="1" applyFill="1" applyBorder="1"/>
    <xf numFmtId="165" fontId="5" fillId="0" borderId="12" xfId="2" applyNumberFormat="1" applyFont="1" applyFill="1" applyBorder="1"/>
    <xf numFmtId="0" fontId="3" fillId="0" borderId="4" xfId="0" applyFont="1" applyFill="1" applyBorder="1" applyAlignment="1">
      <alignment horizontal="center" wrapText="1"/>
    </xf>
    <xf numFmtId="165" fontId="6" fillId="0" borderId="12" xfId="2" applyNumberFormat="1" applyFont="1" applyFill="1" applyBorder="1"/>
    <xf numFmtId="0" fontId="2" fillId="0" borderId="0" xfId="0" applyFont="1" applyFill="1" applyBorder="1" applyAlignment="1">
      <alignment horizontal="left"/>
    </xf>
    <xf numFmtId="164" fontId="6" fillId="0" borderId="9" xfId="1" applyNumberFormat="1" applyFont="1" applyFill="1" applyBorder="1"/>
    <xf numFmtId="165" fontId="6" fillId="0" borderId="9" xfId="2" applyNumberFormat="1" applyFont="1" applyFill="1" applyBorder="1"/>
    <xf numFmtId="165" fontId="6" fillId="0" borderId="17" xfId="2" applyNumberFormat="1" applyFont="1" applyFill="1" applyBorder="1"/>
    <xf numFmtId="164" fontId="5" fillId="0" borderId="9" xfId="1" applyNumberFormat="1" applyFont="1" applyFill="1" applyBorder="1"/>
    <xf numFmtId="0" fontId="2" fillId="0" borderId="0" xfId="0" quotePrefix="1" applyFont="1" applyFill="1"/>
    <xf numFmtId="165" fontId="6" fillId="0" borderId="0" xfId="2" applyNumberFormat="1" applyFont="1" applyFill="1" applyBorder="1"/>
    <xf numFmtId="164" fontId="0" fillId="0" borderId="0" xfId="0" applyNumberFormat="1" applyFill="1"/>
    <xf numFmtId="0" fontId="6" fillId="0" borderId="0" xfId="0" applyFont="1" applyFill="1" applyBorder="1" applyAlignment="1"/>
    <xf numFmtId="0" fontId="3" fillId="0" borderId="0" xfId="0" applyFont="1" applyFill="1" applyBorder="1" applyAlignment="1">
      <alignment horizontal="center"/>
    </xf>
    <xf numFmtId="165" fontId="4" fillId="0" borderId="23" xfId="2" applyNumberFormat="1" applyFont="1" applyFill="1" applyBorder="1"/>
    <xf numFmtId="165" fontId="3" fillId="0" borderId="10" xfId="2" applyNumberFormat="1" applyFont="1" applyFill="1" applyBorder="1"/>
    <xf numFmtId="165" fontId="6" fillId="0" borderId="21" xfId="2" applyNumberFormat="1" applyFont="1" applyFill="1" applyBorder="1"/>
    <xf numFmtId="165" fontId="3" fillId="0" borderId="25" xfId="2" applyNumberFormat="1" applyFont="1" applyFill="1" applyBorder="1"/>
    <xf numFmtId="165" fontId="3" fillId="0" borderId="8" xfId="2" applyNumberFormat="1" applyFont="1" applyFill="1" applyBorder="1"/>
    <xf numFmtId="165" fontId="3" fillId="0" borderId="23" xfId="2" applyNumberFormat="1" applyFont="1" applyFill="1" applyBorder="1"/>
    <xf numFmtId="164" fontId="3" fillId="0" borderId="23" xfId="1" applyNumberFormat="1" applyFont="1" applyFill="1" applyBorder="1"/>
    <xf numFmtId="165" fontId="6" fillId="0" borderId="8" xfId="2" applyNumberFormat="1" applyFont="1" applyFill="1" applyBorder="1"/>
    <xf numFmtId="164" fontId="3" fillId="0" borderId="8" xfId="1" applyNumberFormat="1" applyFont="1" applyFill="1" applyBorder="1"/>
    <xf numFmtId="164" fontId="3" fillId="0" borderId="10" xfId="1" applyNumberFormat="1" applyFont="1" applyFill="1" applyBorder="1"/>
    <xf numFmtId="0" fontId="3" fillId="0" borderId="0" xfId="0" applyFont="1" applyFill="1" applyBorder="1" applyAlignment="1">
      <alignment horizontal="center" wrapText="1"/>
    </xf>
    <xf numFmtId="165" fontId="4" fillId="0" borderId="10" xfId="2" applyNumberFormat="1" applyFont="1" applyFill="1" applyBorder="1"/>
    <xf numFmtId="164" fontId="5" fillId="0" borderId="21" xfId="1" applyNumberFormat="1" applyFont="1" applyFill="1" applyBorder="1"/>
    <xf numFmtId="164" fontId="4" fillId="0" borderId="25" xfId="1" applyNumberFormat="1" applyFont="1" applyFill="1" applyBorder="1"/>
    <xf numFmtId="164" fontId="4" fillId="0" borderId="21" xfId="1" applyNumberFormat="1" applyFont="1" applyFill="1" applyBorder="1"/>
    <xf numFmtId="165" fontId="6" fillId="0" borderId="2" xfId="2" applyNumberFormat="1" applyFont="1" applyFill="1" applyBorder="1"/>
    <xf numFmtId="164" fontId="4" fillId="0" borderId="22" xfId="1" applyNumberFormat="1" applyFont="1" applyFill="1" applyBorder="1"/>
    <xf numFmtId="165" fontId="5" fillId="0" borderId="24" xfId="2" applyNumberFormat="1" applyFont="1" applyFill="1" applyBorder="1"/>
    <xf numFmtId="0" fontId="3" fillId="0" borderId="23" xfId="0" applyFont="1" applyFill="1" applyBorder="1" applyAlignment="1">
      <alignment horizontal="center" wrapText="1"/>
    </xf>
    <xf numFmtId="165" fontId="6" fillId="0" borderId="24" xfId="2" applyNumberFormat="1" applyFont="1" applyFill="1" applyBorder="1"/>
    <xf numFmtId="164" fontId="4" fillId="0" borderId="8" xfId="1" applyNumberFormat="1" applyFont="1" applyFill="1" applyBorder="1"/>
    <xf numFmtId="164" fontId="9" fillId="0" borderId="9" xfId="1" applyNumberFormat="1" applyFont="1" applyFill="1" applyBorder="1"/>
    <xf numFmtId="165" fontId="0" fillId="0" borderId="0" xfId="0" applyNumberFormat="1" applyFill="1"/>
    <xf numFmtId="0" fontId="0" fillId="0" borderId="0" xfId="0" applyFill="1" applyBorder="1" applyAlignment="1"/>
    <xf numFmtId="165" fontId="9" fillId="0" borderId="9" xfId="2" applyNumberFormat="1" applyFont="1" applyFill="1" applyBorder="1"/>
    <xf numFmtId="165" fontId="5" fillId="0" borderId="0" xfId="2" applyNumberFormat="1" applyFont="1" applyFill="1" applyBorder="1"/>
    <xf numFmtId="0" fontId="0" fillId="0" borderId="3" xfId="0" applyFill="1" applyBorder="1"/>
    <xf numFmtId="0" fontId="2" fillId="0" borderId="0" xfId="0" applyFont="1" applyFill="1" applyBorder="1"/>
    <xf numFmtId="0" fontId="0" fillId="0" borderId="0" xfId="0" applyFont="1" applyFill="1" applyBorder="1"/>
    <xf numFmtId="0" fontId="0" fillId="0" borderId="4" xfId="0" applyFill="1" applyBorder="1"/>
    <xf numFmtId="0" fontId="0" fillId="0" borderId="1" xfId="0" applyFill="1" applyBorder="1"/>
    <xf numFmtId="165" fontId="9" fillId="0" borderId="22" xfId="2" applyNumberFormat="1" applyFont="1" applyFill="1" applyBorder="1"/>
    <xf numFmtId="164" fontId="9" fillId="0" borderId="22" xfId="1" applyNumberFormat="1" applyFont="1" applyFill="1" applyBorder="1"/>
    <xf numFmtId="165" fontId="6" fillId="0" borderId="15" xfId="2" applyNumberFormat="1" applyFont="1" applyFill="1" applyBorder="1"/>
    <xf numFmtId="165" fontId="6" fillId="0" borderId="4" xfId="2" applyNumberFormat="1" applyFont="1" applyFill="1" applyBorder="1"/>
    <xf numFmtId="0" fontId="3" fillId="0" borderId="10" xfId="0" applyFont="1" applyFill="1" applyBorder="1" applyAlignment="1">
      <alignment horizontal="center" wrapText="1"/>
    </xf>
    <xf numFmtId="164" fontId="6" fillId="0" borderId="21" xfId="1" applyNumberFormat="1" applyFont="1" applyFill="1" applyBorder="1"/>
    <xf numFmtId="164" fontId="3" fillId="0" borderId="25" xfId="1" applyNumberFormat="1" applyFont="1" applyFill="1" applyBorder="1"/>
    <xf numFmtId="0" fontId="3" fillId="0" borderId="3" xfId="0" applyFont="1" applyFill="1" applyBorder="1" applyAlignment="1">
      <alignment horizontal="left" wrapText="1"/>
    </xf>
    <xf numFmtId="0" fontId="3" fillId="0" borderId="0" xfId="0" applyFont="1" applyFill="1" applyBorder="1" applyAlignment="1">
      <alignment horizontal="left" wrapText="1"/>
    </xf>
    <xf numFmtId="0" fontId="3" fillId="0" borderId="14" xfId="0" applyFont="1" applyFill="1" applyBorder="1"/>
    <xf numFmtId="0" fontId="3" fillId="0" borderId="15" xfId="0" applyFont="1" applyFill="1" applyBorder="1"/>
    <xf numFmtId="165" fontId="0" fillId="0" borderId="0" xfId="0" applyNumberFormat="1" applyFill="1" applyBorder="1"/>
    <xf numFmtId="165" fontId="5" fillId="0" borderId="4" xfId="2" applyNumberFormat="1" applyFont="1" applyFill="1" applyBorder="1"/>
    <xf numFmtId="0" fontId="3" fillId="0" borderId="3" xfId="0" applyFont="1" applyFill="1" applyBorder="1" applyAlignment="1">
      <alignment horizontal="center"/>
    </xf>
    <xf numFmtId="0" fontId="3" fillId="0" borderId="4" xfId="0" applyFont="1" applyFill="1" applyBorder="1" applyAlignment="1">
      <alignment horizontal="center"/>
    </xf>
    <xf numFmtId="0" fontId="6" fillId="0" borderId="3" xfId="0" applyFont="1" applyFill="1" applyBorder="1" applyAlignment="1">
      <alignment horizontal="center"/>
    </xf>
    <xf numFmtId="0" fontId="6" fillId="0" borderId="0" xfId="0" applyFont="1" applyFill="1" applyBorder="1" applyAlignment="1">
      <alignment horizontal="center"/>
    </xf>
    <xf numFmtId="0" fontId="3" fillId="0" borderId="3" xfId="0" applyFont="1" applyFill="1" applyBorder="1" applyAlignment="1">
      <alignment horizontal="center" wrapText="1"/>
    </xf>
    <xf numFmtId="0" fontId="4" fillId="0" borderId="8" xfId="0" applyFont="1" applyFill="1" applyBorder="1" applyAlignment="1">
      <alignment horizontal="center" wrapText="1"/>
    </xf>
    <xf numFmtId="0" fontId="4" fillId="0" borderId="11" xfId="0" applyFont="1" applyFill="1" applyBorder="1" applyAlignment="1">
      <alignment horizontal="center" wrapText="1"/>
    </xf>
    <xf numFmtId="0" fontId="3" fillId="0" borderId="8" xfId="0" applyFont="1" applyFill="1" applyBorder="1" applyAlignment="1">
      <alignment horizontal="center" wrapText="1"/>
    </xf>
    <xf numFmtId="0" fontId="3" fillId="0" borderId="11" xfId="0" applyFont="1" applyFill="1" applyBorder="1" applyAlignment="1">
      <alignment horizontal="center" wrapText="1"/>
    </xf>
    <xf numFmtId="0" fontId="4" fillId="0" borderId="4" xfId="0" applyFont="1" applyFill="1" applyBorder="1" applyAlignment="1">
      <alignment horizontal="center" wrapText="1"/>
    </xf>
    <xf numFmtId="0" fontId="3" fillId="0" borderId="3" xfId="0" applyFont="1" applyFill="1" applyBorder="1"/>
    <xf numFmtId="164" fontId="4" fillId="0" borderId="10" xfId="1" applyNumberFormat="1" applyFont="1" applyFill="1" applyBorder="1"/>
    <xf numFmtId="165" fontId="5" fillId="0" borderId="26" xfId="2" applyNumberFormat="1" applyFont="1" applyFill="1" applyBorder="1"/>
    <xf numFmtId="0" fontId="8" fillId="0" borderId="0" xfId="0" quotePrefix="1" applyFont="1" applyFill="1"/>
    <xf numFmtId="0" fontId="6" fillId="0" borderId="3" xfId="0" applyFont="1" applyFill="1" applyBorder="1"/>
    <xf numFmtId="0" fontId="6" fillId="0" borderId="0" xfId="0" applyFont="1" applyFill="1" applyBorder="1"/>
    <xf numFmtId="165" fontId="6" fillId="0" borderId="26" xfId="2" applyNumberFormat="1" applyFont="1" applyFill="1" applyBorder="1"/>
    <xf numFmtId="165" fontId="6" fillId="0" borderId="22" xfId="2" applyNumberFormat="1" applyFont="1" applyFill="1" applyBorder="1"/>
    <xf numFmtId="0" fontId="7" fillId="0" borderId="5" xfId="0" applyFont="1" applyFill="1" applyBorder="1"/>
    <xf numFmtId="0" fontId="7" fillId="0" borderId="1" xfId="0" applyFont="1" applyFill="1" applyBorder="1"/>
    <xf numFmtId="165" fontId="6" fillId="0" borderId="1" xfId="2" applyNumberFormat="1" applyFont="1" applyFill="1" applyBorder="1"/>
    <xf numFmtId="165" fontId="6" fillId="0" borderId="6" xfId="2" applyNumberFormat="1" applyFont="1" applyFill="1" applyBorder="1"/>
    <xf numFmtId="0" fontId="3" fillId="0" borderId="5" xfId="0" applyFont="1" applyFill="1" applyBorder="1"/>
    <xf numFmtId="0" fontId="3" fillId="0" borderId="1" xfId="0" applyFont="1" applyFill="1" applyBorder="1"/>
    <xf numFmtId="0" fontId="3" fillId="0" borderId="6" xfId="0" applyFont="1" applyFill="1" applyBorder="1"/>
    <xf numFmtId="0" fontId="7" fillId="0" borderId="0" xfId="0" applyFont="1" applyFill="1" applyBorder="1"/>
    <xf numFmtId="0" fontId="6" fillId="0" borderId="13" xfId="0" applyFont="1" applyFill="1" applyBorder="1"/>
    <xf numFmtId="165" fontId="5" fillId="0" borderId="14" xfId="2" applyNumberFormat="1" applyFont="1" applyFill="1" applyBorder="1"/>
    <xf numFmtId="0" fontId="6" fillId="0" borderId="9" xfId="0" applyFont="1" applyFill="1" applyBorder="1" applyAlignment="1">
      <alignment horizontal="center"/>
    </xf>
    <xf numFmtId="0" fontId="6" fillId="0" borderId="17" xfId="0" applyFont="1" applyFill="1" applyBorder="1" applyAlignment="1">
      <alignment horizontal="center"/>
    </xf>
    <xf numFmtId="0" fontId="3" fillId="0" borderId="3" xfId="0" applyFont="1" applyFill="1" applyBorder="1" applyAlignment="1">
      <alignment horizontal="left"/>
    </xf>
    <xf numFmtId="0" fontId="3" fillId="0" borderId="0" xfId="0" applyFont="1" applyFill="1" applyBorder="1" applyAlignment="1">
      <alignment horizontal="left"/>
    </xf>
    <xf numFmtId="164" fontId="5" fillId="0" borderId="0" xfId="2" applyNumberFormat="1" applyFont="1" applyFill="1" applyBorder="1"/>
    <xf numFmtId="0" fontId="3" fillId="0" borderId="0" xfId="0" applyFont="1" applyFill="1" applyBorder="1" applyAlignment="1"/>
    <xf numFmtId="164" fontId="5" fillId="0" borderId="4" xfId="2" applyNumberFormat="1" applyFont="1" applyFill="1" applyBorder="1"/>
    <xf numFmtId="164" fontId="5" fillId="0" borderId="2" xfId="2" applyNumberFormat="1" applyFont="1" applyFill="1" applyBorder="1"/>
    <xf numFmtId="164" fontId="5" fillId="0" borderId="12" xfId="2" applyNumberFormat="1" applyFont="1" applyFill="1" applyBorder="1"/>
    <xf numFmtId="0" fontId="0" fillId="0" borderId="5" xfId="0" applyFill="1" applyBorder="1"/>
    <xf numFmtId="165" fontId="5" fillId="0" borderId="1" xfId="2" applyNumberFormat="1" applyFont="1" applyFill="1" applyBorder="1"/>
    <xf numFmtId="0" fontId="0" fillId="0" borderId="6" xfId="0" applyFill="1" applyBorder="1"/>
    <xf numFmtId="165" fontId="5" fillId="0" borderId="11" xfId="2" applyNumberFormat="1" applyFont="1" applyFill="1" applyBorder="1"/>
    <xf numFmtId="0" fontId="4" fillId="0" borderId="0" xfId="0" applyFont="1" applyFill="1" applyBorder="1"/>
    <xf numFmtId="0" fontId="3" fillId="0" borderId="4" xfId="0" applyFont="1" applyFill="1" applyBorder="1"/>
    <xf numFmtId="0" fontId="6" fillId="0" borderId="3" xfId="0" applyFont="1" applyFill="1" applyBorder="1" applyAlignment="1">
      <alignment horizontal="center" wrapText="1"/>
    </xf>
    <xf numFmtId="0" fontId="6" fillId="0" borderId="0" xfId="0" applyFont="1" applyFill="1" applyBorder="1" applyAlignment="1">
      <alignment horizontal="center" wrapText="1"/>
    </xf>
    <xf numFmtId="0" fontId="4" fillId="0" borderId="21" xfId="0" applyFont="1" applyFill="1" applyBorder="1" applyAlignment="1">
      <alignment horizontal="center" wrapText="1"/>
    </xf>
    <xf numFmtId="0" fontId="4" fillId="0" borderId="9" xfId="0" applyFont="1" applyFill="1" applyBorder="1" applyAlignment="1">
      <alignment horizontal="center" wrapText="1"/>
    </xf>
    <xf numFmtId="0" fontId="3" fillId="0" borderId="9" xfId="0" applyFont="1" applyFill="1" applyBorder="1" applyAlignment="1">
      <alignment horizontal="center" wrapText="1"/>
    </xf>
    <xf numFmtId="0" fontId="3" fillId="0" borderId="22" xfId="0" applyFont="1" applyFill="1" applyBorder="1" applyAlignment="1">
      <alignment horizontal="center" wrapText="1"/>
    </xf>
    <xf numFmtId="0" fontId="3" fillId="0" borderId="21" xfId="0" applyFont="1" applyFill="1" applyBorder="1" applyAlignment="1">
      <alignment horizontal="center" wrapText="1"/>
    </xf>
    <xf numFmtId="0" fontId="4" fillId="0" borderId="27" xfId="0" applyFont="1" applyFill="1" applyBorder="1" applyAlignment="1">
      <alignment horizontal="center" wrapText="1"/>
    </xf>
    <xf numFmtId="0" fontId="4" fillId="0" borderId="28" xfId="0" applyFont="1" applyFill="1" applyBorder="1" applyAlignment="1">
      <alignment horizontal="center" wrapText="1"/>
    </xf>
    <xf numFmtId="0" fontId="3" fillId="0" borderId="28" xfId="0" applyFont="1" applyFill="1" applyBorder="1" applyAlignment="1">
      <alignment horizontal="center" wrapText="1"/>
    </xf>
    <xf numFmtId="0" fontId="4" fillId="0" borderId="10" xfId="0" applyFont="1" applyFill="1" applyBorder="1" applyAlignment="1">
      <alignment horizontal="center" wrapText="1"/>
    </xf>
    <xf numFmtId="165" fontId="4" fillId="0" borderId="10" xfId="2" applyNumberFormat="1" applyFont="1" applyFill="1" applyBorder="1" applyAlignment="1">
      <alignment horizontal="right"/>
    </xf>
    <xf numFmtId="165" fontId="4" fillId="0" borderId="0" xfId="2" applyNumberFormat="1" applyFont="1" applyFill="1" applyBorder="1" applyAlignment="1">
      <alignment horizontal="right"/>
    </xf>
    <xf numFmtId="164" fontId="4" fillId="0" borderId="10" xfId="1" applyNumberFormat="1" applyFont="1" applyFill="1" applyBorder="1" applyAlignment="1">
      <alignment horizontal="right"/>
    </xf>
    <xf numFmtId="164" fontId="4" fillId="0" borderId="0" xfId="1" applyNumberFormat="1" applyFont="1" applyFill="1" applyBorder="1" applyAlignment="1">
      <alignment horizontal="right"/>
    </xf>
    <xf numFmtId="164" fontId="4" fillId="0" borderId="25" xfId="1" applyNumberFormat="1" applyFont="1" applyFill="1" applyBorder="1" applyAlignment="1">
      <alignment horizontal="right"/>
    </xf>
    <xf numFmtId="165" fontId="9" fillId="0" borderId="2" xfId="2" applyNumberFormat="1" applyFont="1" applyFill="1" applyBorder="1"/>
    <xf numFmtId="0" fontId="6" fillId="0" borderId="5" xfId="0" applyFont="1" applyFill="1" applyBorder="1"/>
    <xf numFmtId="165" fontId="5" fillId="0" borderId="6" xfId="2" applyNumberFormat="1" applyFont="1" applyFill="1" applyBorder="1"/>
    <xf numFmtId="0" fontId="3" fillId="0" borderId="0" xfId="0" applyFont="1" applyFill="1" applyBorder="1" applyAlignment="1">
      <alignment horizontal="left" vertical="top" wrapText="1"/>
    </xf>
    <xf numFmtId="165" fontId="5" fillId="0" borderId="15" xfId="2" applyNumberFormat="1" applyFont="1" applyFill="1" applyBorder="1"/>
    <xf numFmtId="0" fontId="3" fillId="0" borderId="14"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5" xfId="0" applyFont="1" applyFill="1" applyBorder="1" applyAlignment="1">
      <alignment horizontal="left" wrapText="1"/>
    </xf>
    <xf numFmtId="0" fontId="3" fillId="0" borderId="1" xfId="0" applyFont="1" applyFill="1" applyBorder="1" applyAlignment="1">
      <alignment horizontal="left" wrapText="1"/>
    </xf>
    <xf numFmtId="0" fontId="3" fillId="0" borderId="1" xfId="0" applyFont="1" applyFill="1" applyBorder="1" applyAlignment="1"/>
    <xf numFmtId="165" fontId="5" fillId="0" borderId="29" xfId="2" applyNumberFormat="1" applyFont="1" applyFill="1" applyBorder="1"/>
    <xf numFmtId="164" fontId="5" fillId="0" borderId="29" xfId="2" applyNumberFormat="1" applyFont="1" applyFill="1" applyBorder="1"/>
    <xf numFmtId="0" fontId="3" fillId="0" borderId="20" xfId="0" applyFont="1" applyFill="1" applyBorder="1" applyAlignment="1">
      <alignment horizontal="left" vertical="top" wrapText="1"/>
    </xf>
    <xf numFmtId="0" fontId="3" fillId="0" borderId="18"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0" xfId="0" applyFont="1" applyFill="1" applyBorder="1" applyAlignment="1">
      <alignment horizontal="left" vertical="top" wrapText="1"/>
    </xf>
    <xf numFmtId="0" fontId="6" fillId="0" borderId="13" xfId="0" applyFont="1" applyFill="1" applyBorder="1" applyAlignment="1">
      <alignment horizontal="center"/>
    </xf>
    <xf numFmtId="0" fontId="6" fillId="0" borderId="14" xfId="0" applyFont="1" applyFill="1" applyBorder="1" applyAlignment="1">
      <alignment horizontal="center"/>
    </xf>
    <xf numFmtId="0" fontId="6" fillId="0" borderId="15" xfId="0" applyFont="1" applyFill="1" applyBorder="1" applyAlignment="1">
      <alignment horizontal="center"/>
    </xf>
    <xf numFmtId="0" fontId="6" fillId="0" borderId="16" xfId="0" applyFont="1" applyFill="1" applyBorder="1" applyAlignment="1">
      <alignment horizontal="center"/>
    </xf>
    <xf numFmtId="0" fontId="6" fillId="0" borderId="8" xfId="0" applyFont="1" applyFill="1" applyBorder="1" applyAlignment="1">
      <alignment horizontal="center"/>
    </xf>
    <xf numFmtId="0" fontId="6" fillId="0" borderId="11" xfId="0" applyFont="1" applyFill="1" applyBorder="1" applyAlignment="1">
      <alignment horizontal="center"/>
    </xf>
    <xf numFmtId="0" fontId="3" fillId="0" borderId="3" xfId="0" applyFont="1" applyFill="1" applyBorder="1" applyAlignment="1">
      <alignment horizontal="left" wrapText="1"/>
    </xf>
    <xf numFmtId="0" fontId="3" fillId="0" borderId="0" xfId="0" applyFont="1" applyFill="1" applyBorder="1" applyAlignment="1">
      <alignment horizontal="left" wrapText="1"/>
    </xf>
    <xf numFmtId="0" fontId="3" fillId="2" borderId="21" xfId="0" applyFont="1" applyFill="1" applyBorder="1" applyAlignment="1">
      <alignment horizontal="center"/>
    </xf>
    <xf numFmtId="0" fontId="3" fillId="2" borderId="9" xfId="0" applyFont="1" applyFill="1" applyBorder="1" applyAlignment="1">
      <alignment horizontal="center"/>
    </xf>
    <xf numFmtId="0" fontId="3" fillId="2" borderId="28" xfId="0" applyFont="1" applyFill="1" applyBorder="1" applyAlignment="1">
      <alignment horizontal="center"/>
    </xf>
    <xf numFmtId="0" fontId="3" fillId="2" borderId="22" xfId="0" applyFont="1" applyFill="1" applyBorder="1" applyAlignment="1">
      <alignment horizontal="center"/>
    </xf>
    <xf numFmtId="0" fontId="3" fillId="2" borderId="7" xfId="0" applyFont="1" applyFill="1" applyBorder="1" applyAlignment="1">
      <alignment horizontal="center"/>
    </xf>
    <xf numFmtId="0" fontId="3" fillId="0" borderId="9" xfId="0" applyFont="1" applyFill="1" applyBorder="1" applyAlignment="1">
      <alignment horizontal="center" wrapText="1"/>
    </xf>
    <xf numFmtId="0" fontId="3" fillId="0" borderId="22" xfId="0" applyFont="1" applyFill="1" applyBorder="1" applyAlignment="1">
      <alignment horizontal="center" wrapText="1"/>
    </xf>
    <xf numFmtId="0" fontId="4" fillId="0" borderId="21" xfId="0" applyFont="1" applyFill="1" applyBorder="1" applyAlignment="1">
      <alignment horizontal="center" wrapText="1"/>
    </xf>
    <xf numFmtId="0" fontId="4" fillId="0" borderId="9" xfId="0" applyFont="1" applyFill="1" applyBorder="1" applyAlignment="1">
      <alignment horizontal="center" wrapText="1"/>
    </xf>
    <xf numFmtId="0" fontId="3" fillId="0" borderId="21" xfId="0" applyFont="1" applyFill="1" applyBorder="1" applyAlignment="1">
      <alignment horizontal="center" wrapText="1"/>
    </xf>
    <xf numFmtId="0" fontId="3" fillId="0" borderId="0" xfId="0" applyFont="1" applyFill="1" applyBorder="1" applyAlignment="1">
      <alignment vertical="top" wrapText="1"/>
    </xf>
    <xf numFmtId="0" fontId="11" fillId="0" borderId="0" xfId="0" applyFont="1" applyFill="1"/>
    <xf numFmtId="0" fontId="12" fillId="0" borderId="0" xfId="0" applyFont="1" applyFill="1"/>
    <xf numFmtId="0" fontId="12" fillId="0" borderId="0" xfId="0" applyFont="1" applyFill="1" applyBorder="1" applyAlignment="1">
      <alignment horizontal="left"/>
    </xf>
    <xf numFmtId="0" fontId="0" fillId="0" borderId="14" xfId="0" applyFill="1" applyBorder="1"/>
    <xf numFmtId="165" fontId="5" fillId="3" borderId="17" xfId="2" applyNumberFormat="1" applyFont="1" applyFill="1" applyBorder="1"/>
    <xf numFmtId="164" fontId="13" fillId="3" borderId="0" xfId="1" applyNumberFormat="1" applyFont="1" applyFill="1"/>
    <xf numFmtId="0" fontId="3" fillId="0" borderId="4" xfId="0" applyFont="1" applyFill="1" applyBorder="1" applyAlignment="1">
      <alignment horizontal="left" wrapText="1"/>
    </xf>
    <xf numFmtId="0" fontId="3" fillId="0" borderId="3" xfId="0" applyFont="1" applyFill="1" applyBorder="1" applyAlignment="1">
      <alignment horizontal="left" vertical="top" wrapText="1"/>
    </xf>
    <xf numFmtId="0" fontId="6" fillId="0" borderId="0" xfId="0" applyFont="1" applyFill="1" applyBorder="1" applyAlignment="1">
      <alignment horizontal="center" vertical="top" wrapText="1"/>
    </xf>
    <xf numFmtId="164" fontId="14" fillId="0" borderId="23" xfId="1" quotePrefix="1" applyNumberFormat="1" applyFont="1" applyFill="1" applyBorder="1"/>
    <xf numFmtId="0" fontId="15" fillId="0" borderId="0" xfId="0" applyFont="1" applyFill="1" applyBorder="1"/>
    <xf numFmtId="164" fontId="4" fillId="0" borderId="30" xfId="1" quotePrefix="1" applyNumberFormat="1" applyFont="1" applyFill="1" applyBorder="1"/>
    <xf numFmtId="164" fontId="14" fillId="0" borderId="30" xfId="1" quotePrefix="1" applyNumberFormat="1" applyFont="1" applyFill="1" applyBorder="1"/>
    <xf numFmtId="0" fontId="6" fillId="0" borderId="4" xfId="0" applyFont="1" applyFill="1" applyBorder="1" applyAlignment="1">
      <alignment horizontal="center" vertical="top" wrapText="1"/>
    </xf>
    <xf numFmtId="164" fontId="4" fillId="0" borderId="31" xfId="1" quotePrefix="1" applyNumberFormat="1" applyFont="1" applyFill="1" applyBorder="1"/>
    <xf numFmtId="164" fontId="14" fillId="0" borderId="31" xfId="1" quotePrefix="1" applyNumberFormat="1" applyFont="1" applyFill="1" applyBorder="1"/>
    <xf numFmtId="164" fontId="6" fillId="3" borderId="17" xfId="1" applyNumberFormat="1" applyFont="1" applyFill="1" applyBorder="1"/>
    <xf numFmtId="164" fontId="4" fillId="0" borderId="31" xfId="1" applyNumberFormat="1" applyFont="1" applyFill="1" applyBorder="1"/>
    <xf numFmtId="165" fontId="5" fillId="0" borderId="32" xfId="2" applyNumberFormat="1" applyFont="1" applyFill="1" applyBorder="1"/>
    <xf numFmtId="165" fontId="15" fillId="0" borderId="23" xfId="2" quotePrefix="1" applyNumberFormat="1" applyFont="1" applyFill="1" applyBorder="1"/>
    <xf numFmtId="0" fontId="6" fillId="0" borderId="3" xfId="0" applyFont="1" applyFill="1" applyBorder="1" applyAlignment="1">
      <alignment horizontal="left" wrapText="1"/>
    </xf>
    <xf numFmtId="0" fontId="6" fillId="0" borderId="0" xfId="0" applyFont="1" applyFill="1" applyBorder="1" applyAlignment="1">
      <alignment horizontal="left" wrapText="1"/>
    </xf>
  </cellXfs>
  <cellStyles count="3">
    <cellStyle name="Comma" xfId="1" builtinId="3"/>
    <cellStyle name="Currency" xfId="2" builtinId="4"/>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C45"/>
  <sheetViews>
    <sheetView tabSelected="1" view="pageBreakPreview" topLeftCell="D1" zoomScaleNormal="90" zoomScaleSheetLayoutView="100" workbookViewId="0">
      <selection activeCell="R14" sqref="R14"/>
    </sheetView>
  </sheetViews>
  <sheetFormatPr defaultRowHeight="15"/>
  <cols>
    <col min="1" max="1" width="3.85546875" style="4" customWidth="1"/>
    <col min="2" max="2" width="42.5703125" style="4" customWidth="1"/>
    <col min="3" max="3" width="13.7109375" style="4" customWidth="1"/>
    <col min="4" max="4" width="11" style="4" customWidth="1"/>
    <col min="5" max="5" width="3.28515625" style="4" customWidth="1"/>
    <col min="6" max="6" width="10.5703125" style="4" customWidth="1"/>
    <col min="7" max="7" width="4.85546875" style="4" bestFit="1" customWidth="1"/>
    <col min="8" max="8" width="10.5703125" style="4" customWidth="1"/>
    <col min="9" max="9" width="4.85546875" style="4" bestFit="1" customWidth="1"/>
    <col min="10" max="10" width="13.5703125" style="4" customWidth="1"/>
    <col min="11" max="11" width="35.7109375" style="4" customWidth="1"/>
    <col min="12" max="12" width="20.42578125" style="4" customWidth="1"/>
    <col min="13" max="13" width="24.5703125" style="4" customWidth="1"/>
    <col min="14" max="14" width="10.7109375" style="4" customWidth="1"/>
    <col min="15" max="15" width="5" style="4" bestFit="1" customWidth="1"/>
    <col min="16" max="16" width="10.28515625" style="4" customWidth="1"/>
    <col min="17" max="17" width="3.5703125" style="4" customWidth="1"/>
    <col min="18" max="18" width="12.28515625" style="4" customWidth="1"/>
    <col min="19" max="19" width="3.85546875" style="4" customWidth="1"/>
    <col min="20" max="20" width="10.5703125" style="4" bestFit="1" customWidth="1"/>
    <col min="21" max="21" width="4.85546875" style="4" bestFit="1" customWidth="1"/>
    <col min="22" max="22" width="9.42578125" style="4" bestFit="1" customWidth="1"/>
    <col min="23" max="23" width="4" style="4" customWidth="1"/>
    <col min="24" max="24" width="10.85546875" style="4" customWidth="1"/>
    <col min="25" max="25" width="4" style="4" bestFit="1" customWidth="1"/>
    <col min="26" max="26" width="9.85546875" style="4" customWidth="1"/>
    <col min="27" max="27" width="4" style="4" bestFit="1" customWidth="1"/>
    <col min="28" max="28" width="12.7109375" style="4" bestFit="1" customWidth="1"/>
    <col min="29" max="29" width="3.42578125" style="4" bestFit="1" customWidth="1"/>
    <col min="30" max="16384" width="9.140625" style="4"/>
  </cols>
  <sheetData>
    <row r="1" spans="1:28" s="3" customFormat="1" ht="18.75">
      <c r="A1" s="175" t="s">
        <v>22</v>
      </c>
      <c r="J1" s="4"/>
      <c r="K1" s="4"/>
      <c r="L1" s="175" t="s">
        <v>22</v>
      </c>
    </row>
    <row r="2" spans="1:28" s="3" customFormat="1" ht="18.75">
      <c r="A2" s="176" t="s">
        <v>59</v>
      </c>
      <c r="J2" s="4"/>
      <c r="K2" s="4"/>
      <c r="L2" s="176" t="s">
        <v>59</v>
      </c>
    </row>
    <row r="3" spans="1:28" s="6" customFormat="1">
      <c r="J3" s="4"/>
      <c r="K3" s="4"/>
      <c r="L3" s="4"/>
    </row>
    <row r="4" spans="1:28" ht="15.75" thickBot="1"/>
    <row r="5" spans="1:28" ht="15.75" thickBot="1">
      <c r="A5" s="9"/>
      <c r="B5" s="7"/>
      <c r="C5" s="7"/>
      <c r="D5" s="7"/>
      <c r="E5" s="7"/>
      <c r="F5" s="7"/>
      <c r="G5" s="7"/>
      <c r="H5" s="7"/>
      <c r="I5" s="7"/>
      <c r="J5" s="7"/>
      <c r="L5" s="155" t="s">
        <v>12</v>
      </c>
      <c r="M5" s="156"/>
      <c r="N5" s="156"/>
      <c r="O5" s="156"/>
      <c r="P5" s="156"/>
      <c r="Q5" s="156"/>
      <c r="R5" s="156"/>
      <c r="S5" s="156"/>
      <c r="T5" s="156"/>
      <c r="U5" s="156"/>
      <c r="V5" s="156"/>
      <c r="W5" s="156"/>
      <c r="X5" s="156"/>
      <c r="Y5" s="156"/>
      <c r="Z5" s="156"/>
      <c r="AA5" s="156"/>
      <c r="AB5" s="157"/>
    </row>
    <row r="6" spans="1:28">
      <c r="A6" s="155" t="s">
        <v>10</v>
      </c>
      <c r="B6" s="156"/>
      <c r="C6" s="156"/>
      <c r="D6" s="156"/>
      <c r="E6" s="156"/>
      <c r="F6" s="156"/>
      <c r="G6" s="156"/>
      <c r="H6" s="156"/>
      <c r="I6" s="156"/>
      <c r="J6" s="157"/>
      <c r="L6" s="158" t="s">
        <v>13</v>
      </c>
      <c r="M6" s="159"/>
      <c r="N6" s="159"/>
      <c r="O6" s="159"/>
      <c r="P6" s="159"/>
      <c r="Q6" s="159"/>
      <c r="R6" s="159"/>
      <c r="S6" s="159"/>
      <c r="T6" s="159"/>
      <c r="U6" s="159"/>
      <c r="V6" s="159"/>
      <c r="W6" s="159"/>
      <c r="X6" s="159"/>
      <c r="Y6" s="159"/>
      <c r="Z6" s="159"/>
      <c r="AA6" s="159"/>
      <c r="AB6" s="160"/>
    </row>
    <row r="7" spans="1:28">
      <c r="A7" s="158" t="s">
        <v>7</v>
      </c>
      <c r="B7" s="159"/>
      <c r="C7" s="159"/>
      <c r="D7" s="159"/>
      <c r="E7" s="159"/>
      <c r="F7" s="159"/>
      <c r="G7" s="159"/>
      <c r="H7" s="159"/>
      <c r="I7" s="159"/>
      <c r="J7" s="160"/>
      <c r="L7" s="80"/>
      <c r="M7" s="35"/>
      <c r="N7" s="35"/>
      <c r="O7" s="35"/>
      <c r="P7" s="35"/>
      <c r="Q7" s="35"/>
      <c r="R7" s="35"/>
      <c r="S7" s="35"/>
      <c r="T7" s="35"/>
      <c r="U7" s="35"/>
      <c r="V7" s="35"/>
      <c r="W7" s="35"/>
      <c r="X7" s="35"/>
      <c r="Y7" s="35"/>
      <c r="Z7" s="35"/>
      <c r="AA7" s="35"/>
      <c r="AB7" s="81"/>
    </row>
    <row r="8" spans="1:28" ht="14.25" customHeight="1">
      <c r="A8" s="94"/>
      <c r="B8" s="7"/>
      <c r="C8" s="121"/>
      <c r="D8" s="121"/>
      <c r="E8" s="121"/>
      <c r="F8" s="121"/>
      <c r="G8" s="121"/>
      <c r="H8" s="121"/>
      <c r="I8" s="121"/>
      <c r="J8" s="122"/>
      <c r="L8" s="80"/>
      <c r="M8" s="2"/>
      <c r="N8" s="163">
        <v>2015</v>
      </c>
      <c r="O8" s="164"/>
      <c r="P8" s="164"/>
      <c r="Q8" s="164"/>
      <c r="R8" s="165"/>
      <c r="S8" s="166"/>
      <c r="T8" s="167">
        <v>2016</v>
      </c>
      <c r="U8" s="167"/>
      <c r="V8" s="167"/>
      <c r="W8" s="167"/>
      <c r="X8" s="167"/>
      <c r="Y8" s="167"/>
      <c r="Z8" s="167"/>
      <c r="AA8" s="167"/>
      <c r="AB8" s="81"/>
    </row>
    <row r="9" spans="1:28" ht="105">
      <c r="A9" s="123"/>
      <c r="B9" s="124"/>
      <c r="C9" s="85" t="s">
        <v>4</v>
      </c>
      <c r="D9" s="125" t="s">
        <v>31</v>
      </c>
      <c r="E9" s="126"/>
      <c r="F9" s="127" t="s">
        <v>29</v>
      </c>
      <c r="G9" s="127"/>
      <c r="H9" s="127" t="s">
        <v>30</v>
      </c>
      <c r="I9" s="128"/>
      <c r="J9" s="86" t="s">
        <v>9</v>
      </c>
      <c r="L9" s="84"/>
      <c r="M9" s="87" t="str">
        <f>J9</f>
        <v>Rate Base 12.31.14 EOP</v>
      </c>
      <c r="N9" s="129" t="s">
        <v>32</v>
      </c>
      <c r="O9" s="127"/>
      <c r="P9" s="127" t="s">
        <v>33</v>
      </c>
      <c r="Q9" s="127"/>
      <c r="R9" s="127" t="s">
        <v>34</v>
      </c>
      <c r="S9" s="127"/>
      <c r="T9" s="129" t="s">
        <v>35</v>
      </c>
      <c r="U9" s="127"/>
      <c r="V9" s="127" t="s">
        <v>36</v>
      </c>
      <c r="W9" s="127"/>
      <c r="X9" s="127" t="s">
        <v>37</v>
      </c>
      <c r="Y9" s="127"/>
      <c r="Z9" s="127" t="s">
        <v>38</v>
      </c>
      <c r="AA9" s="128"/>
      <c r="AB9" s="88" t="s">
        <v>5</v>
      </c>
    </row>
    <row r="10" spans="1:28">
      <c r="A10" s="123"/>
      <c r="B10" s="124"/>
      <c r="C10" s="20"/>
      <c r="D10" s="130"/>
      <c r="E10" s="20"/>
      <c r="F10" s="131"/>
      <c r="G10" s="131"/>
      <c r="H10" s="132"/>
      <c r="I10" s="54"/>
      <c r="J10" s="89"/>
      <c r="L10" s="84"/>
      <c r="M10" s="46"/>
      <c r="N10" s="71"/>
      <c r="O10" s="46"/>
      <c r="P10" s="46"/>
      <c r="Q10" s="46"/>
      <c r="R10" s="46"/>
      <c r="S10" s="46"/>
      <c r="T10" s="71"/>
      <c r="U10" s="46"/>
      <c r="V10" s="46"/>
      <c r="W10" s="46"/>
      <c r="X10" s="46"/>
      <c r="Y10" s="46"/>
      <c r="Z10" s="46"/>
      <c r="AA10" s="54"/>
      <c r="AB10" s="24"/>
    </row>
    <row r="11" spans="1:28">
      <c r="A11" s="123"/>
      <c r="B11" s="7" t="s">
        <v>15</v>
      </c>
      <c r="C11" s="16">
        <v>64837</v>
      </c>
      <c r="D11" s="47">
        <v>4805</v>
      </c>
      <c r="E11" s="16"/>
      <c r="F11" s="16">
        <v>0</v>
      </c>
      <c r="G11" s="16"/>
      <c r="H11" s="16">
        <v>-2175</v>
      </c>
      <c r="I11" s="36"/>
      <c r="J11" s="12">
        <f>SUM(C11:H11)</f>
        <v>67467</v>
      </c>
      <c r="L11" s="90" t="s">
        <v>15</v>
      </c>
      <c r="M11" s="13">
        <f>J11</f>
        <v>67467</v>
      </c>
      <c r="N11" s="37">
        <v>0</v>
      </c>
      <c r="O11" s="13"/>
      <c r="P11" s="13"/>
      <c r="Q11" s="13"/>
      <c r="R11" s="16">
        <v>10336</v>
      </c>
      <c r="S11" s="16"/>
      <c r="T11" s="47"/>
      <c r="U11" s="16"/>
      <c r="V11" s="16"/>
      <c r="W11" s="16"/>
      <c r="X11" s="16"/>
      <c r="Y11" s="16"/>
      <c r="Z11" s="16">
        <v>1765</v>
      </c>
      <c r="AA11" s="36"/>
      <c r="AB11" s="14">
        <f>SUM(M11:Z11)</f>
        <v>79568</v>
      </c>
    </row>
    <row r="12" spans="1:28">
      <c r="A12" s="123"/>
      <c r="B12" s="7" t="s">
        <v>19</v>
      </c>
      <c r="C12" s="18">
        <f>-C11</f>
        <v>-64837</v>
      </c>
      <c r="D12" s="50">
        <f t="shared" ref="D12:H12" si="0">-D11</f>
        <v>-4805</v>
      </c>
      <c r="E12" s="18"/>
      <c r="F12" s="18">
        <f t="shared" si="0"/>
        <v>0</v>
      </c>
      <c r="G12" s="18"/>
      <c r="H12" s="18">
        <f t="shared" si="0"/>
        <v>2175</v>
      </c>
      <c r="I12" s="52"/>
      <c r="J12" s="21">
        <f>-J11</f>
        <v>-67467</v>
      </c>
      <c r="L12" s="90" t="s">
        <v>19</v>
      </c>
      <c r="M12" s="18">
        <f>-M11</f>
        <v>-67467</v>
      </c>
      <c r="N12" s="50">
        <f t="shared" ref="N12:P12" si="1">-N11</f>
        <v>0</v>
      </c>
      <c r="O12" s="18"/>
      <c r="P12" s="18">
        <f t="shared" si="1"/>
        <v>0</v>
      </c>
      <c r="Q12" s="18"/>
      <c r="R12" s="18">
        <f t="shared" ref="R12:AB12" si="2">-R11</f>
        <v>-10336</v>
      </c>
      <c r="S12" s="18"/>
      <c r="T12" s="50">
        <f t="shared" si="2"/>
        <v>0</v>
      </c>
      <c r="U12" s="18"/>
      <c r="V12" s="18">
        <f t="shared" si="2"/>
        <v>0</v>
      </c>
      <c r="W12" s="18"/>
      <c r="X12" s="18">
        <f t="shared" si="2"/>
        <v>0</v>
      </c>
      <c r="Y12" s="18"/>
      <c r="Z12" s="18">
        <f t="shared" si="2"/>
        <v>-1765</v>
      </c>
      <c r="AA12" s="52"/>
      <c r="AB12" s="21">
        <f t="shared" si="2"/>
        <v>-79568</v>
      </c>
    </row>
    <row r="13" spans="1:28">
      <c r="A13" s="123"/>
      <c r="B13" s="7" t="s">
        <v>16</v>
      </c>
      <c r="C13" s="10">
        <f>(C22*0.0268)*-0.35</f>
        <v>-11421.11614</v>
      </c>
      <c r="D13" s="91">
        <f t="shared" ref="D13:F13" si="3">(D22*0.0268)*-0.35</f>
        <v>23.215499999999999</v>
      </c>
      <c r="E13" s="10"/>
      <c r="F13" s="10">
        <f t="shared" si="3"/>
        <v>173.17356000000001</v>
      </c>
      <c r="G13" s="10"/>
      <c r="H13" s="10">
        <f>(H22*0.0268)*-0.35</f>
        <v>-118.86335999999999</v>
      </c>
      <c r="I13" s="183" t="s">
        <v>25</v>
      </c>
      <c r="J13" s="22">
        <f>(J22*0.0268)*-0.35</f>
        <v>-11343.59044</v>
      </c>
      <c r="K13" s="17" t="s">
        <v>81</v>
      </c>
      <c r="L13" s="90" t="s">
        <v>16</v>
      </c>
      <c r="M13" s="10">
        <f>(M22*0.0268)*-0.35</f>
        <v>-11343.59044</v>
      </c>
      <c r="N13" s="91">
        <f>(N22*0.0268)*-0.35</f>
        <v>667.03994</v>
      </c>
      <c r="O13" s="10"/>
      <c r="P13" s="10">
        <f t="shared" ref="N13:P13" si="4">(P22*0.0268)*-0.35</f>
        <v>20.617239999999999</v>
      </c>
      <c r="Q13" s="10"/>
      <c r="R13" s="10">
        <f t="shared" ref="R13:AB13" si="5">(R22*0.0268)*-0.35</f>
        <v>-1900.36924</v>
      </c>
      <c r="S13" s="189" t="s">
        <v>74</v>
      </c>
      <c r="T13" s="91">
        <f>(T22*0.0268)*-0.35</f>
        <v>299.40960000000001</v>
      </c>
      <c r="U13" s="10"/>
      <c r="V13" s="10">
        <f>(V22*0.0268)*-0.35</f>
        <v>10.308619999999999</v>
      </c>
      <c r="W13" s="10"/>
      <c r="X13" s="10">
        <f>(X22*0.0268)*-0.35</f>
        <v>99.878239999999991</v>
      </c>
      <c r="Y13" s="10"/>
      <c r="Z13" s="10">
        <f t="shared" si="5"/>
        <v>-513.24545999999998</v>
      </c>
      <c r="AA13" s="188" t="s">
        <v>74</v>
      </c>
      <c r="AB13" s="22">
        <f t="shared" si="5"/>
        <v>-12659.951499999999</v>
      </c>
    </row>
    <row r="14" spans="1:28">
      <c r="A14" s="123"/>
      <c r="B14" s="7" t="s">
        <v>17</v>
      </c>
      <c r="C14" s="10">
        <f>C12*0.35</f>
        <v>-22692.949999999997</v>
      </c>
      <c r="D14" s="91">
        <f t="shared" ref="D14:F14" si="6">D12*0.35</f>
        <v>-1681.75</v>
      </c>
      <c r="E14" s="10"/>
      <c r="F14" s="10">
        <f t="shared" si="6"/>
        <v>0</v>
      </c>
      <c r="G14" s="10"/>
      <c r="H14" s="10">
        <f t="shared" ref="H14:J14" si="7">H12*0.35</f>
        <v>761.25</v>
      </c>
      <c r="I14" s="183" t="s">
        <v>26</v>
      </c>
      <c r="J14" s="22">
        <f t="shared" si="7"/>
        <v>-23613.449999999997</v>
      </c>
      <c r="K14" s="17" t="s">
        <v>80</v>
      </c>
      <c r="L14" s="90" t="s">
        <v>17</v>
      </c>
      <c r="M14" s="10">
        <f>M12*0.35</f>
        <v>-23613.449999999997</v>
      </c>
      <c r="N14" s="91">
        <f t="shared" ref="N14:P14" si="8">N12*0.35</f>
        <v>0</v>
      </c>
      <c r="O14" s="10"/>
      <c r="P14" s="10">
        <f t="shared" si="8"/>
        <v>0</v>
      </c>
      <c r="Q14" s="10"/>
      <c r="R14" s="10">
        <f t="shared" ref="R14:AB14" si="9">R12*0.35</f>
        <v>-3617.6</v>
      </c>
      <c r="S14" s="186" t="s">
        <v>74</v>
      </c>
      <c r="T14" s="91"/>
      <c r="U14" s="10"/>
      <c r="V14" s="10"/>
      <c r="W14" s="10"/>
      <c r="X14" s="10"/>
      <c r="Y14" s="10"/>
      <c r="Z14" s="10">
        <f t="shared" si="9"/>
        <v>-617.75</v>
      </c>
      <c r="AA14" s="185" t="s">
        <v>74</v>
      </c>
      <c r="AB14" s="22">
        <f t="shared" si="9"/>
        <v>-27848.799999999999</v>
      </c>
    </row>
    <row r="15" spans="1:28" ht="15.75" thickBot="1">
      <c r="A15" s="123"/>
      <c r="B15" s="7" t="s">
        <v>18</v>
      </c>
      <c r="C15" s="19">
        <f>C12-C13-C14</f>
        <v>-30722.933860000005</v>
      </c>
      <c r="D15" s="92">
        <f t="shared" ref="D15" si="10">D12-D13-D14</f>
        <v>-3146.4655000000002</v>
      </c>
      <c r="E15" s="19"/>
      <c r="F15" s="19">
        <f t="shared" ref="F15" si="11">F12-F13-F14</f>
        <v>-173.17356000000001</v>
      </c>
      <c r="G15" s="19"/>
      <c r="H15" s="19">
        <f t="shared" ref="H15" si="12">H12-H13-H14</f>
        <v>1532.6133599999998</v>
      </c>
      <c r="I15" s="53"/>
      <c r="J15" s="23">
        <f t="shared" ref="J15" si="13">J12-J13-J14</f>
        <v>-32509.959560000003</v>
      </c>
      <c r="L15" s="90" t="s">
        <v>18</v>
      </c>
      <c r="M15" s="19">
        <f>M12-M13-M14</f>
        <v>-32509.959560000003</v>
      </c>
      <c r="N15" s="92">
        <f t="shared" ref="N15:P15" si="14">N12-N13-N14</f>
        <v>-667.03994</v>
      </c>
      <c r="O15" s="19"/>
      <c r="P15" s="19">
        <f t="shared" si="14"/>
        <v>-20.617239999999999</v>
      </c>
      <c r="Q15" s="19"/>
      <c r="R15" s="19">
        <f>R12-R13-R14</f>
        <v>-4818.0307599999996</v>
      </c>
      <c r="S15" s="53"/>
      <c r="T15" s="92">
        <f t="shared" ref="T15:AB15" si="15">T12-T13-T14</f>
        <v>-299.40960000000001</v>
      </c>
      <c r="U15" s="19"/>
      <c r="V15" s="19">
        <f t="shared" si="15"/>
        <v>-10.308619999999999</v>
      </c>
      <c r="W15" s="19"/>
      <c r="X15" s="19">
        <f t="shared" si="15"/>
        <v>-99.878239999999991</v>
      </c>
      <c r="Y15" s="19"/>
      <c r="Z15" s="19">
        <f t="shared" si="15"/>
        <v>-634.00453999999991</v>
      </c>
      <c r="AA15" s="53"/>
      <c r="AB15" s="23">
        <f t="shared" si="15"/>
        <v>-39059.248500000002</v>
      </c>
    </row>
    <row r="16" spans="1:28">
      <c r="A16" s="123"/>
      <c r="B16" s="124"/>
      <c r="C16" s="20"/>
      <c r="D16" s="133"/>
      <c r="E16" s="20"/>
      <c r="F16" s="20"/>
      <c r="G16" s="20"/>
      <c r="H16" s="46"/>
      <c r="I16" s="54"/>
      <c r="J16" s="89"/>
      <c r="L16" s="84"/>
      <c r="M16" s="46"/>
      <c r="N16" s="71"/>
      <c r="O16" s="46"/>
      <c r="P16" s="46"/>
      <c r="Q16" s="46"/>
      <c r="R16" s="13"/>
      <c r="S16" s="41"/>
      <c r="T16" s="37"/>
      <c r="U16" s="13"/>
      <c r="V16" s="13"/>
      <c r="W16" s="13"/>
      <c r="X16" s="13"/>
      <c r="Y16" s="13"/>
      <c r="Z16" s="46"/>
      <c r="AA16" s="54"/>
      <c r="AB16" s="24"/>
    </row>
    <row r="17" spans="1:29">
      <c r="A17" s="90"/>
      <c r="B17" s="7" t="s">
        <v>0</v>
      </c>
      <c r="C17" s="16">
        <v>2242311</v>
      </c>
      <c r="D17" s="134">
        <f>57390-9499</f>
        <v>47891</v>
      </c>
      <c r="E17" s="135"/>
      <c r="F17" s="16"/>
      <c r="G17" s="16"/>
      <c r="H17" s="13">
        <v>24515</v>
      </c>
      <c r="I17" s="41"/>
      <c r="J17" s="12">
        <f>SUM(C17:H17)</f>
        <v>2314717</v>
      </c>
      <c r="K17" s="17" t="s">
        <v>71</v>
      </c>
      <c r="L17" s="90" t="s">
        <v>0</v>
      </c>
      <c r="M17" s="13">
        <f>J17</f>
        <v>2314717</v>
      </c>
      <c r="N17" s="37"/>
      <c r="O17" s="13"/>
      <c r="P17" s="13"/>
      <c r="Q17" s="13"/>
      <c r="R17" s="11">
        <v>188996</v>
      </c>
      <c r="S17" s="183" t="s">
        <v>74</v>
      </c>
      <c r="T17" s="45"/>
      <c r="U17" s="11"/>
      <c r="V17" s="11"/>
      <c r="W17" s="11"/>
      <c r="X17" s="11"/>
      <c r="Y17" s="11"/>
      <c r="Z17" s="13">
        <v>47750</v>
      </c>
      <c r="AA17" s="183" t="s">
        <v>74</v>
      </c>
      <c r="AB17" s="14">
        <f>SUM(M17:Z17)</f>
        <v>2551463</v>
      </c>
    </row>
    <row r="18" spans="1:29">
      <c r="A18" s="90"/>
      <c r="B18" s="7" t="s">
        <v>3</v>
      </c>
      <c r="C18" s="10">
        <v>-780322</v>
      </c>
      <c r="D18" s="136">
        <f>-26077+149</f>
        <v>-25928</v>
      </c>
      <c r="E18" s="137"/>
      <c r="F18" s="11">
        <f>-16998-104+103</f>
        <v>-16999</v>
      </c>
      <c r="G18" s="11"/>
      <c r="H18" s="11">
        <v>19230</v>
      </c>
      <c r="I18" s="42"/>
      <c r="J18" s="12">
        <f t="shared" ref="J18:J21" si="16">SUM(C18:H18)</f>
        <v>-804019</v>
      </c>
      <c r="K18" s="17" t="s">
        <v>72</v>
      </c>
      <c r="L18" s="90" t="s">
        <v>3</v>
      </c>
      <c r="M18" s="13">
        <f>J18</f>
        <v>-804019</v>
      </c>
      <c r="N18" s="37">
        <v>-68318</v>
      </c>
      <c r="O18" s="13"/>
      <c r="P18" s="13">
        <v>-2198</v>
      </c>
      <c r="Q18" s="13"/>
      <c r="R18" s="11">
        <f>-49294+2198+68317</f>
        <v>21221</v>
      </c>
      <c r="S18" s="183" t="s">
        <v>74</v>
      </c>
      <c r="T18" s="45">
        <f>-32991+211+1099</f>
        <v>-31681</v>
      </c>
      <c r="U18" s="11"/>
      <c r="V18" s="11">
        <v>-1099</v>
      </c>
      <c r="W18" s="11"/>
      <c r="X18" s="11">
        <v>-5237</v>
      </c>
      <c r="Y18" s="11"/>
      <c r="Z18" s="11">
        <f>9523-1220</f>
        <v>8303</v>
      </c>
      <c r="AA18" s="183" t="s">
        <v>74</v>
      </c>
      <c r="AB18" s="14">
        <f>SUM(M18:Z18)</f>
        <v>-883028</v>
      </c>
    </row>
    <row r="19" spans="1:29">
      <c r="A19" s="90"/>
      <c r="B19" s="7" t="s">
        <v>1</v>
      </c>
      <c r="C19" s="10">
        <v>-244386</v>
      </c>
      <c r="D19" s="138">
        <f>-24519+81</f>
        <v>-24438</v>
      </c>
      <c r="E19" s="137"/>
      <c r="F19" s="11">
        <f>-1561+98</f>
        <v>-1463</v>
      </c>
      <c r="G19" s="11"/>
      <c r="H19" s="11">
        <v>-27177</v>
      </c>
      <c r="I19" s="42"/>
      <c r="J19" s="12">
        <f t="shared" si="16"/>
        <v>-297464</v>
      </c>
      <c r="K19" s="17" t="s">
        <v>73</v>
      </c>
      <c r="L19" s="90" t="s">
        <v>1</v>
      </c>
      <c r="M19" s="13">
        <f>J19</f>
        <v>-297464</v>
      </c>
      <c r="N19" s="45">
        <f>-3010+215</f>
        <v>-2795</v>
      </c>
      <c r="O19" s="11"/>
      <c r="P19" s="44"/>
      <c r="Q19" s="44"/>
      <c r="R19" s="11">
        <f>-7685+66</f>
        <v>-7619</v>
      </c>
      <c r="S19" s="183" t="s">
        <v>74</v>
      </c>
      <c r="T19" s="45">
        <f>-352+113</f>
        <v>-239</v>
      </c>
      <c r="U19" s="11"/>
      <c r="V19" s="11">
        <v>0</v>
      </c>
      <c r="W19" s="11"/>
      <c r="X19" s="11">
        <v>-5411</v>
      </c>
      <c r="Y19" s="11"/>
      <c r="Z19" s="11">
        <v>-1336</v>
      </c>
      <c r="AA19" s="186" t="s">
        <v>74</v>
      </c>
      <c r="AB19" s="14">
        <f>SUM(M19:Z19)</f>
        <v>-314864</v>
      </c>
      <c r="AC19" s="31" t="s">
        <v>25</v>
      </c>
    </row>
    <row r="20" spans="1:29" s="5" customFormat="1">
      <c r="A20" s="94"/>
      <c r="B20" s="95" t="s">
        <v>2</v>
      </c>
      <c r="C20" s="30">
        <f>SUM(C17:C19)</f>
        <v>1217603</v>
      </c>
      <c r="D20" s="48">
        <f t="shared" ref="D20" si="17">SUM(D17:D19)</f>
        <v>-2475</v>
      </c>
      <c r="E20" s="57" t="s">
        <v>39</v>
      </c>
      <c r="F20" s="30">
        <f>SUM(F17:F19)</f>
        <v>-18462</v>
      </c>
      <c r="G20" s="57" t="s">
        <v>39</v>
      </c>
      <c r="H20" s="27">
        <f>SUM(H17:H19)</f>
        <v>16568</v>
      </c>
      <c r="I20" s="68" t="s">
        <v>39</v>
      </c>
      <c r="J20" s="178">
        <f>SUM(J17:J19)</f>
        <v>1213234</v>
      </c>
      <c r="K20" s="179" t="s">
        <v>66</v>
      </c>
      <c r="L20" s="94" t="s">
        <v>2</v>
      </c>
      <c r="M20" s="28">
        <f>SUM(M17:M19)</f>
        <v>1213234</v>
      </c>
      <c r="N20" s="38">
        <f t="shared" ref="N20:P20" si="18">SUM(N17:N19)</f>
        <v>-71113</v>
      </c>
      <c r="O20" s="60" t="s">
        <v>44</v>
      </c>
      <c r="P20" s="43">
        <f t="shared" si="18"/>
        <v>-2198</v>
      </c>
      <c r="Q20" s="60" t="s">
        <v>44</v>
      </c>
      <c r="R20" s="28">
        <f>SUM(R17:R19)</f>
        <v>202598</v>
      </c>
      <c r="S20" s="67" t="s">
        <v>44</v>
      </c>
      <c r="T20" s="38">
        <f t="shared" ref="T20:AB20" si="19">SUM(T17:T19)</f>
        <v>-31920</v>
      </c>
      <c r="U20" s="60" t="s">
        <v>61</v>
      </c>
      <c r="V20" s="28">
        <f t="shared" si="19"/>
        <v>-1099</v>
      </c>
      <c r="W20" s="60" t="s">
        <v>61</v>
      </c>
      <c r="X20" s="28">
        <f t="shared" si="19"/>
        <v>-10648</v>
      </c>
      <c r="Y20" s="60" t="s">
        <v>61</v>
      </c>
      <c r="Z20" s="28">
        <f t="shared" si="19"/>
        <v>54717</v>
      </c>
      <c r="AA20" s="60" t="s">
        <v>61</v>
      </c>
      <c r="AB20" s="29">
        <f t="shared" si="19"/>
        <v>1353571</v>
      </c>
      <c r="AC20" s="31" t="s">
        <v>26</v>
      </c>
    </row>
    <row r="21" spans="1:29">
      <c r="A21" s="90"/>
      <c r="B21" s="7" t="s">
        <v>20</v>
      </c>
      <c r="C21" s="10"/>
      <c r="D21" s="49"/>
      <c r="E21" s="10"/>
      <c r="F21" s="56"/>
      <c r="G21" s="56"/>
      <c r="H21" s="44">
        <v>-3896</v>
      </c>
      <c r="I21" s="42"/>
      <c r="J21" s="12">
        <f t="shared" si="16"/>
        <v>-3896</v>
      </c>
      <c r="K21" s="17" t="s">
        <v>67</v>
      </c>
      <c r="L21" s="90" t="s">
        <v>20</v>
      </c>
      <c r="M21" s="13">
        <f>J21</f>
        <v>-3896</v>
      </c>
      <c r="N21" s="39"/>
      <c r="O21" s="40"/>
      <c r="P21" s="40"/>
      <c r="Q21" s="40"/>
      <c r="R21" s="13"/>
      <c r="S21" s="13"/>
      <c r="T21" s="37"/>
      <c r="U21" s="13"/>
      <c r="V21" s="13"/>
      <c r="W21" s="13"/>
      <c r="X21" s="13"/>
      <c r="Y21" s="13"/>
      <c r="Z21" s="11"/>
      <c r="AA21" s="42"/>
      <c r="AB21" s="14">
        <f>SUM(M21:Z21)</f>
        <v>-3896</v>
      </c>
      <c r="AC21" s="31" t="s">
        <v>25</v>
      </c>
    </row>
    <row r="22" spans="1:29" ht="15.75" thickBot="1">
      <c r="A22" s="94"/>
      <c r="B22" s="7" t="s">
        <v>21</v>
      </c>
      <c r="C22" s="51">
        <f>C20+C21</f>
        <v>1217603</v>
      </c>
      <c r="D22" s="96">
        <f>D20+D21</f>
        <v>-2475</v>
      </c>
      <c r="E22" s="51"/>
      <c r="F22" s="51">
        <f>F20+F21</f>
        <v>-18462</v>
      </c>
      <c r="G22" s="51"/>
      <c r="H22" s="51">
        <f>H20+H21</f>
        <v>12672</v>
      </c>
      <c r="I22" s="55"/>
      <c r="J22" s="25">
        <f>J20+J21</f>
        <v>1209338</v>
      </c>
      <c r="K22" s="32"/>
      <c r="L22" s="102" t="s">
        <v>21</v>
      </c>
      <c r="M22" s="51">
        <f>M20+M21</f>
        <v>1209338</v>
      </c>
      <c r="N22" s="96">
        <f t="shared" ref="N22:P22" si="20">N20+N21</f>
        <v>-71113</v>
      </c>
      <c r="O22" s="139"/>
      <c r="P22" s="51">
        <f t="shared" si="20"/>
        <v>-2198</v>
      </c>
      <c r="Q22" s="51"/>
      <c r="R22" s="51">
        <f>R20+R21</f>
        <v>202598</v>
      </c>
      <c r="S22" s="51"/>
      <c r="T22" s="96">
        <f t="shared" ref="T22:X22" si="21">T20+T21</f>
        <v>-31920</v>
      </c>
      <c r="U22" s="51"/>
      <c r="V22" s="51">
        <f t="shared" si="21"/>
        <v>-1099</v>
      </c>
      <c r="W22" s="51"/>
      <c r="X22" s="51">
        <f t="shared" si="21"/>
        <v>-10648</v>
      </c>
      <c r="Y22" s="51"/>
      <c r="Z22" s="51">
        <f t="shared" ref="Z22:AB22" si="22">Z20+Z21</f>
        <v>54717</v>
      </c>
      <c r="AA22" s="55"/>
      <c r="AB22" s="25">
        <f t="shared" si="22"/>
        <v>1349675</v>
      </c>
    </row>
    <row r="23" spans="1:29" ht="21.75" customHeight="1" thickBot="1">
      <c r="A23" s="140"/>
      <c r="B23" s="103"/>
      <c r="C23" s="118"/>
      <c r="D23" s="118"/>
      <c r="E23" s="118"/>
      <c r="F23" s="118"/>
      <c r="G23" s="118"/>
      <c r="H23" s="100"/>
      <c r="I23" s="100"/>
      <c r="J23" s="141"/>
      <c r="L23" s="7" t="s">
        <v>28</v>
      </c>
      <c r="M23" s="7"/>
      <c r="N23" s="7"/>
      <c r="O23" s="7"/>
      <c r="P23" s="7"/>
      <c r="Q23" s="7"/>
      <c r="R23" s="7"/>
      <c r="S23" s="7"/>
      <c r="T23" s="7"/>
      <c r="U23" s="7"/>
      <c r="V23" s="7"/>
      <c r="W23" s="7"/>
      <c r="X23" s="7"/>
      <c r="Y23" s="7"/>
      <c r="Z23" s="7"/>
      <c r="AA23" s="7"/>
      <c r="AB23" s="7"/>
    </row>
    <row r="24" spans="1:29" ht="14.25" customHeight="1">
      <c r="A24" s="184" t="s">
        <v>77</v>
      </c>
      <c r="B24" s="7"/>
      <c r="C24" s="61"/>
      <c r="D24" s="61"/>
      <c r="E24" s="61"/>
      <c r="F24" s="61"/>
      <c r="G24" s="61"/>
      <c r="H24" s="32"/>
      <c r="I24" s="32"/>
      <c r="J24" s="61"/>
      <c r="L24" s="154" t="s">
        <v>68</v>
      </c>
      <c r="M24" s="154"/>
      <c r="N24" s="154"/>
      <c r="O24" s="154"/>
      <c r="P24" s="154"/>
      <c r="Q24" s="154"/>
      <c r="R24" s="154"/>
      <c r="S24" s="154"/>
      <c r="T24" s="154"/>
      <c r="U24" s="154"/>
      <c r="V24" s="154"/>
      <c r="W24" s="154"/>
      <c r="X24" s="154"/>
      <c r="Y24" s="154"/>
      <c r="Z24" s="154"/>
      <c r="AA24" s="154"/>
      <c r="AB24" s="154"/>
    </row>
    <row r="25" spans="1:29" ht="14.25" customHeight="1" thickBot="1">
      <c r="A25" s="184" t="s">
        <v>78</v>
      </c>
      <c r="B25" s="7"/>
      <c r="C25" s="61"/>
      <c r="D25" s="61"/>
      <c r="E25" s="61"/>
      <c r="F25" s="61"/>
      <c r="G25" s="61"/>
      <c r="H25" s="32"/>
      <c r="I25" s="32"/>
      <c r="J25" s="61"/>
      <c r="L25" s="7" t="s">
        <v>79</v>
      </c>
      <c r="M25" s="142"/>
      <c r="N25" s="142"/>
      <c r="O25" s="142"/>
      <c r="P25" s="142"/>
      <c r="Q25" s="142"/>
      <c r="R25" s="142"/>
      <c r="S25" s="142"/>
      <c r="T25" s="142"/>
      <c r="U25" s="142"/>
      <c r="V25" s="142"/>
      <c r="W25" s="142"/>
      <c r="X25" s="142"/>
      <c r="Y25" s="142"/>
      <c r="Z25" s="142"/>
      <c r="AA25" s="142"/>
      <c r="AB25" s="142"/>
    </row>
    <row r="26" spans="1:29" ht="14.25" customHeight="1">
      <c r="A26" s="106" t="s">
        <v>75</v>
      </c>
      <c r="B26" s="177"/>
      <c r="C26" s="107"/>
      <c r="D26" s="143"/>
      <c r="E26" s="61"/>
      <c r="F26" s="61"/>
      <c r="G26" s="61"/>
      <c r="H26" s="32"/>
      <c r="I26" s="32"/>
      <c r="J26" s="61"/>
      <c r="L26" s="106" t="s">
        <v>76</v>
      </c>
      <c r="M26" s="144"/>
      <c r="N26" s="144"/>
      <c r="O26" s="144"/>
      <c r="P26" s="177"/>
      <c r="Q26" s="144"/>
      <c r="R26" s="144"/>
      <c r="S26" s="144"/>
      <c r="T26" s="144"/>
      <c r="U26" s="144"/>
      <c r="V26" s="144"/>
      <c r="W26" s="144"/>
      <c r="X26" s="145"/>
      <c r="Y26" s="142"/>
      <c r="Z26" s="142"/>
      <c r="AA26" s="142"/>
      <c r="AB26" s="142"/>
    </row>
    <row r="27" spans="1:29">
      <c r="A27" s="110" t="s">
        <v>65</v>
      </c>
      <c r="B27" s="7"/>
      <c r="C27" s="61"/>
      <c r="D27" s="79"/>
      <c r="E27" s="61"/>
      <c r="F27" s="61"/>
      <c r="G27" s="61"/>
      <c r="H27" s="32"/>
      <c r="I27" s="32"/>
      <c r="J27" s="61"/>
      <c r="L27" s="94"/>
      <c r="M27" s="142"/>
      <c r="N27" s="182" t="s">
        <v>69</v>
      </c>
      <c r="O27" s="142"/>
      <c r="P27" s="2"/>
      <c r="Q27" s="142"/>
      <c r="R27" s="142"/>
      <c r="S27" s="142"/>
      <c r="T27" s="142"/>
      <c r="U27" s="142"/>
      <c r="V27" s="142"/>
      <c r="W27" s="142"/>
      <c r="X27" s="187" t="s">
        <v>70</v>
      </c>
      <c r="Y27" s="83"/>
    </row>
    <row r="28" spans="1:29">
      <c r="A28" s="62" t="s">
        <v>15</v>
      </c>
      <c r="B28" s="63"/>
      <c r="C28" s="61"/>
      <c r="D28" s="79"/>
      <c r="E28" s="61"/>
      <c r="F28" s="61"/>
      <c r="G28" s="61"/>
      <c r="H28" s="32"/>
      <c r="I28" s="32"/>
      <c r="J28" s="61"/>
      <c r="L28" s="181" t="s">
        <v>65</v>
      </c>
      <c r="M28" s="2"/>
      <c r="N28" s="108">
        <v>2015</v>
      </c>
      <c r="O28" s="2"/>
      <c r="P28" s="2"/>
      <c r="Q28" s="2"/>
      <c r="R28" s="2"/>
      <c r="S28" s="2"/>
      <c r="T28" s="2"/>
      <c r="U28" s="2"/>
      <c r="V28" s="2"/>
      <c r="W28" s="2"/>
      <c r="X28" s="109">
        <v>2016</v>
      </c>
    </row>
    <row r="29" spans="1:29">
      <c r="A29" s="90" t="s">
        <v>62</v>
      </c>
      <c r="B29" s="63"/>
      <c r="C29" s="2"/>
      <c r="D29" s="79">
        <f>D11</f>
        <v>4805</v>
      </c>
      <c r="E29" s="61"/>
      <c r="F29" s="61"/>
      <c r="G29" s="61"/>
      <c r="H29" s="32"/>
      <c r="I29" s="32"/>
      <c r="J29" s="61"/>
      <c r="L29" s="110" t="s">
        <v>15</v>
      </c>
      <c r="M29" s="2"/>
      <c r="N29" s="2"/>
      <c r="O29" s="2"/>
      <c r="P29" s="2"/>
      <c r="Q29" s="2"/>
      <c r="R29" s="111" t="s">
        <v>15</v>
      </c>
      <c r="S29" s="2"/>
      <c r="T29" s="2"/>
      <c r="U29" s="2"/>
      <c r="V29" s="2"/>
      <c r="W29" s="2"/>
      <c r="X29" s="65"/>
      <c r="Y29" s="112"/>
    </row>
    <row r="30" spans="1:29" ht="15.75" thickBot="1">
      <c r="A30" s="110" t="s">
        <v>63</v>
      </c>
      <c r="B30" s="63"/>
      <c r="C30" s="2"/>
      <c r="D30" s="79">
        <f>H11</f>
        <v>-2175</v>
      </c>
      <c r="E30" s="61"/>
      <c r="F30" s="61"/>
      <c r="G30" s="61"/>
      <c r="H30" s="32"/>
      <c r="I30" s="32"/>
      <c r="J30" s="61"/>
      <c r="L30" s="110" t="s">
        <v>34</v>
      </c>
      <c r="M30" s="2"/>
      <c r="N30" s="112">
        <f>R11</f>
        <v>10336</v>
      </c>
      <c r="O30" s="2"/>
      <c r="P30" s="2"/>
      <c r="Q30" s="2"/>
      <c r="R30" s="113" t="s">
        <v>38</v>
      </c>
      <c r="S30" s="59"/>
      <c r="T30" s="2"/>
      <c r="U30" s="2"/>
      <c r="V30" s="2"/>
      <c r="W30" s="2"/>
      <c r="X30" s="114">
        <v>1765</v>
      </c>
      <c r="Y30" s="112"/>
    </row>
    <row r="31" spans="1:29" ht="15.75" thickBot="1">
      <c r="A31" s="161" t="s">
        <v>52</v>
      </c>
      <c r="B31" s="162"/>
      <c r="C31" s="2"/>
      <c r="D31" s="149">
        <f>SUM(D29:D30)</f>
        <v>2630</v>
      </c>
      <c r="E31" s="61"/>
      <c r="F31" s="61"/>
      <c r="G31" s="61"/>
      <c r="H31" s="32"/>
      <c r="I31" s="32"/>
      <c r="J31" s="61"/>
      <c r="L31" s="110" t="s">
        <v>47</v>
      </c>
      <c r="M31" s="2"/>
      <c r="N31" s="112">
        <v>1</v>
      </c>
      <c r="O31" s="2"/>
      <c r="P31" s="2"/>
      <c r="Q31" s="2"/>
      <c r="R31" s="111" t="s">
        <v>47</v>
      </c>
      <c r="S31" s="59"/>
      <c r="T31" s="2"/>
      <c r="U31" s="2"/>
      <c r="V31" s="2"/>
      <c r="W31" s="2"/>
      <c r="X31" s="114">
        <v>0</v>
      </c>
      <c r="Y31" s="112"/>
    </row>
    <row r="32" spans="1:29" ht="15.75" thickBot="1">
      <c r="A32" s="94"/>
      <c r="B32" s="63"/>
      <c r="C32" s="2"/>
      <c r="D32" s="79"/>
      <c r="E32" s="61"/>
      <c r="F32" s="61"/>
      <c r="G32" s="61"/>
      <c r="H32" s="32"/>
      <c r="I32" s="32"/>
      <c r="J32" s="61"/>
      <c r="L32" s="161" t="s">
        <v>48</v>
      </c>
      <c r="M32" s="162"/>
      <c r="N32" s="150">
        <f>SUM(N30:N31)</f>
        <v>10337</v>
      </c>
      <c r="O32" s="2"/>
      <c r="P32" s="2"/>
      <c r="Q32" s="2"/>
      <c r="R32" s="113" t="s">
        <v>49</v>
      </c>
      <c r="S32" s="113"/>
      <c r="T32" s="2"/>
      <c r="U32" s="2"/>
      <c r="V32" s="2"/>
      <c r="W32" s="2"/>
      <c r="X32" s="150">
        <f>SUM(X30:X31)</f>
        <v>1765</v>
      </c>
    </row>
    <row r="33" spans="1:28">
      <c r="A33" s="94" t="s">
        <v>43</v>
      </c>
      <c r="B33" s="63"/>
      <c r="C33" s="2"/>
      <c r="D33" s="79"/>
      <c r="E33" s="61"/>
      <c r="F33" s="61"/>
      <c r="G33" s="61"/>
      <c r="H33" s="32"/>
      <c r="I33" s="61"/>
      <c r="J33" s="61"/>
      <c r="L33" s="62"/>
      <c r="M33" s="2"/>
      <c r="N33" s="2"/>
      <c r="O33" s="2"/>
      <c r="P33" s="2"/>
      <c r="Q33" s="2"/>
      <c r="R33" s="59"/>
      <c r="S33" s="59"/>
      <c r="T33" s="2"/>
      <c r="U33" s="2"/>
      <c r="V33" s="2"/>
      <c r="W33" s="2"/>
      <c r="X33" s="65"/>
    </row>
    <row r="34" spans="1:28">
      <c r="A34" s="90" t="s">
        <v>42</v>
      </c>
      <c r="B34" s="64"/>
      <c r="C34" s="2"/>
      <c r="D34" s="114">
        <f>D20</f>
        <v>-2475</v>
      </c>
      <c r="E34" s="61"/>
      <c r="F34" s="61"/>
      <c r="G34" s="61"/>
      <c r="H34" s="32"/>
      <c r="I34" s="32"/>
      <c r="L34" s="94" t="s">
        <v>45</v>
      </c>
      <c r="M34" s="2"/>
      <c r="N34" s="2"/>
      <c r="O34" s="2"/>
      <c r="P34" s="2"/>
      <c r="Q34" s="2"/>
      <c r="R34" s="95" t="s">
        <v>51</v>
      </c>
      <c r="S34" s="59"/>
      <c r="T34" s="2"/>
      <c r="U34" s="2"/>
      <c r="V34" s="2"/>
      <c r="W34" s="2"/>
      <c r="X34" s="65"/>
      <c r="Y34" s="112"/>
    </row>
    <row r="35" spans="1:28">
      <c r="A35" s="90" t="s">
        <v>29</v>
      </c>
      <c r="B35" s="7"/>
      <c r="C35" s="2"/>
      <c r="D35" s="114">
        <f>F20</f>
        <v>-18462</v>
      </c>
      <c r="E35" s="61"/>
      <c r="F35" s="61"/>
      <c r="G35" s="61"/>
      <c r="H35" s="32"/>
      <c r="I35" s="32"/>
      <c r="J35" s="61"/>
      <c r="L35" s="110" t="s">
        <v>32</v>
      </c>
      <c r="M35" s="2"/>
      <c r="N35" s="112">
        <f>N20</f>
        <v>-71113</v>
      </c>
      <c r="O35" s="2"/>
      <c r="P35" s="2"/>
      <c r="Q35" s="2"/>
      <c r="R35" s="113" t="s">
        <v>35</v>
      </c>
      <c r="S35" s="59"/>
      <c r="T35" s="2"/>
      <c r="U35" s="2"/>
      <c r="V35" s="2"/>
      <c r="W35" s="2"/>
      <c r="X35" s="114">
        <f>T20</f>
        <v>-31920</v>
      </c>
      <c r="Y35" s="112"/>
    </row>
    <row r="36" spans="1:28">
      <c r="A36" s="110" t="s">
        <v>30</v>
      </c>
      <c r="B36" s="7"/>
      <c r="C36" s="2"/>
      <c r="D36" s="114">
        <f>H20</f>
        <v>16568</v>
      </c>
      <c r="E36" s="61"/>
      <c r="F36" s="61"/>
      <c r="G36" s="61"/>
      <c r="H36" s="32"/>
      <c r="I36" s="32"/>
      <c r="J36" s="61"/>
      <c r="L36" s="110" t="s">
        <v>33</v>
      </c>
      <c r="M36" s="2"/>
      <c r="N36" s="112">
        <f>P20</f>
        <v>-2198</v>
      </c>
      <c r="O36" s="2"/>
      <c r="P36" s="2"/>
      <c r="Q36" s="2"/>
      <c r="R36" s="113" t="s">
        <v>36</v>
      </c>
      <c r="S36" s="59"/>
      <c r="T36" s="2"/>
      <c r="U36" s="2"/>
      <c r="V36" s="2"/>
      <c r="W36" s="2"/>
      <c r="X36" s="114">
        <f>V20</f>
        <v>-1099</v>
      </c>
      <c r="Y36" s="112"/>
    </row>
    <row r="37" spans="1:28" ht="15.75" thickBot="1">
      <c r="A37" s="90" t="s">
        <v>41</v>
      </c>
      <c r="B37" s="2"/>
      <c r="C37" s="2"/>
      <c r="D37" s="116">
        <f>SUM(D34:D36)</f>
        <v>-4369</v>
      </c>
      <c r="E37" s="61"/>
      <c r="F37" s="61"/>
      <c r="G37" s="61"/>
      <c r="H37" s="32"/>
      <c r="I37" s="32"/>
      <c r="J37" s="61"/>
      <c r="L37" s="110" t="s">
        <v>34</v>
      </c>
      <c r="M37" s="2"/>
      <c r="N37" s="112">
        <f>R20</f>
        <v>202598</v>
      </c>
      <c r="O37" s="2"/>
      <c r="P37" s="2"/>
      <c r="Q37" s="2"/>
      <c r="R37" s="113" t="s">
        <v>37</v>
      </c>
      <c r="S37" s="59"/>
      <c r="T37" s="2"/>
      <c r="U37" s="2"/>
      <c r="V37" s="2"/>
      <c r="W37" s="2"/>
      <c r="X37" s="114">
        <f>X20</f>
        <v>-10648</v>
      </c>
      <c r="Y37" s="58"/>
    </row>
    <row r="38" spans="1:28" ht="15.75" thickBot="1">
      <c r="A38" s="94" t="s">
        <v>40</v>
      </c>
      <c r="B38" s="7"/>
      <c r="C38" s="2"/>
      <c r="D38" s="79">
        <v>-2</v>
      </c>
      <c r="E38" s="61"/>
      <c r="F38" s="61"/>
      <c r="G38" s="61"/>
      <c r="H38" s="32"/>
      <c r="I38" s="32"/>
      <c r="J38" s="61"/>
      <c r="L38" s="90" t="s">
        <v>41</v>
      </c>
      <c r="M38" s="2"/>
      <c r="N38" s="115">
        <f>SUM(N35:N37)</f>
        <v>129287</v>
      </c>
      <c r="O38" s="2"/>
      <c r="P38" s="2"/>
      <c r="Q38" s="2"/>
      <c r="R38" s="113" t="s">
        <v>38</v>
      </c>
      <c r="S38" s="59"/>
      <c r="T38" s="2"/>
      <c r="U38" s="2"/>
      <c r="V38" s="2"/>
      <c r="W38" s="2"/>
      <c r="X38" s="114">
        <f>Z20</f>
        <v>54717</v>
      </c>
      <c r="Y38" s="112"/>
    </row>
    <row r="39" spans="1:28" ht="15.75" customHeight="1" thickBot="1">
      <c r="A39" s="161" t="s">
        <v>64</v>
      </c>
      <c r="B39" s="162"/>
      <c r="C39" s="180"/>
      <c r="D39" s="149">
        <f>SUM(D37:D38)</f>
        <v>-4371</v>
      </c>
      <c r="E39" s="61"/>
      <c r="F39" s="61"/>
      <c r="G39" s="61"/>
      <c r="H39" s="32"/>
      <c r="I39" s="32"/>
      <c r="J39" s="61"/>
      <c r="L39" s="94" t="s">
        <v>40</v>
      </c>
      <c r="M39" s="2"/>
      <c r="N39" s="61">
        <v>3</v>
      </c>
      <c r="O39" s="2"/>
      <c r="P39" s="2"/>
      <c r="Q39" s="2"/>
      <c r="R39" s="113" t="s">
        <v>41</v>
      </c>
      <c r="S39" s="2"/>
      <c r="T39" s="2"/>
      <c r="U39" s="2"/>
      <c r="V39" s="2"/>
      <c r="W39" s="2"/>
      <c r="X39" s="116">
        <f>SUM(X35:X38)</f>
        <v>11050</v>
      </c>
      <c r="Y39" s="61"/>
    </row>
    <row r="40" spans="1:28" ht="15.75" thickBot="1">
      <c r="A40" s="62"/>
      <c r="B40" s="2"/>
      <c r="C40" s="2"/>
      <c r="D40" s="79"/>
      <c r="E40" s="61"/>
      <c r="F40" s="61"/>
      <c r="G40" s="61"/>
      <c r="H40" s="32"/>
      <c r="I40" s="32"/>
      <c r="J40" s="61"/>
      <c r="L40" s="194" t="s">
        <v>46</v>
      </c>
      <c r="M40" s="195"/>
      <c r="N40" s="149">
        <f>SUM(N38:N39)</f>
        <v>129290</v>
      </c>
      <c r="O40" s="2"/>
      <c r="P40" s="2"/>
      <c r="Q40" s="2"/>
      <c r="R40" s="95" t="s">
        <v>40</v>
      </c>
      <c r="S40" s="2"/>
      <c r="T40" s="2"/>
      <c r="U40" s="2"/>
      <c r="V40" s="2"/>
      <c r="W40" s="2"/>
      <c r="X40" s="79">
        <v>-1</v>
      </c>
      <c r="Y40" s="61"/>
      <c r="Z40" s="7"/>
      <c r="AA40" s="7"/>
      <c r="AB40" s="7"/>
    </row>
    <row r="41" spans="1:28" ht="15.75" thickBot="1">
      <c r="A41" s="146"/>
      <c r="B41" s="147"/>
      <c r="C41" s="118"/>
      <c r="D41" s="141"/>
      <c r="E41" s="61"/>
      <c r="F41" s="61"/>
      <c r="G41" s="61"/>
      <c r="H41" s="32"/>
      <c r="I41" s="32"/>
      <c r="J41" s="61"/>
      <c r="L41" s="62"/>
      <c r="M41" s="2"/>
      <c r="N41" s="61"/>
      <c r="O41" s="7"/>
      <c r="P41" s="7"/>
      <c r="Q41" s="7"/>
      <c r="R41" s="34" t="s">
        <v>50</v>
      </c>
      <c r="S41" s="7"/>
      <c r="T41" s="2"/>
      <c r="U41" s="2"/>
      <c r="V41" s="7"/>
      <c r="W41" s="7"/>
      <c r="X41" s="149">
        <f>SUM(X39:X40)</f>
        <v>11049</v>
      </c>
      <c r="Y41" s="61"/>
      <c r="Z41" s="7"/>
      <c r="AA41" s="7"/>
      <c r="AB41" s="7"/>
    </row>
    <row r="42" spans="1:28" ht="10.5" customHeight="1" thickBot="1">
      <c r="A42" s="95"/>
      <c r="B42" s="7"/>
      <c r="C42" s="61"/>
      <c r="D42" s="61"/>
      <c r="E42" s="61"/>
      <c r="F42" s="61"/>
      <c r="G42" s="61"/>
      <c r="H42" s="32"/>
      <c r="I42" s="32"/>
      <c r="J42" s="61"/>
      <c r="L42" s="146"/>
      <c r="M42" s="147"/>
      <c r="N42" s="118"/>
      <c r="O42" s="103"/>
      <c r="P42" s="103"/>
      <c r="Q42" s="103"/>
      <c r="R42" s="66"/>
      <c r="S42" s="148"/>
      <c r="T42" s="66"/>
      <c r="U42" s="66"/>
      <c r="V42" s="103"/>
      <c r="W42" s="103"/>
      <c r="X42" s="141"/>
      <c r="Y42" s="7"/>
      <c r="Z42" s="7"/>
      <c r="AA42" s="7"/>
      <c r="AB42" s="7"/>
    </row>
    <row r="43" spans="1:28" ht="207" customHeight="1" thickBot="1">
      <c r="A43" s="151" t="s">
        <v>24</v>
      </c>
      <c r="B43" s="152"/>
      <c r="C43" s="152"/>
      <c r="D43" s="152"/>
      <c r="E43" s="152"/>
      <c r="F43" s="152"/>
      <c r="G43" s="152"/>
      <c r="H43" s="152"/>
      <c r="I43" s="152"/>
      <c r="J43" s="152"/>
      <c r="K43" s="153"/>
      <c r="L43" s="7"/>
      <c r="M43" s="7"/>
      <c r="N43" s="7"/>
      <c r="O43" s="7"/>
      <c r="P43" s="7"/>
      <c r="Q43" s="7"/>
      <c r="R43" s="7"/>
      <c r="S43" s="7"/>
      <c r="T43" s="7"/>
      <c r="U43" s="7"/>
      <c r="V43" s="7"/>
      <c r="W43" s="7"/>
      <c r="X43" s="7"/>
      <c r="Y43" s="173"/>
      <c r="Z43" s="173"/>
      <c r="AA43" s="173"/>
      <c r="AB43" s="173"/>
    </row>
    <row r="44" spans="1:28">
      <c r="A44" s="8"/>
      <c r="B44" s="8"/>
      <c r="C44" s="8"/>
      <c r="D44" s="8"/>
      <c r="E44" s="8"/>
      <c r="F44" s="8"/>
      <c r="G44" s="8"/>
      <c r="H44" s="8"/>
      <c r="I44" s="8"/>
      <c r="J44" s="8"/>
      <c r="K44" s="8"/>
      <c r="L44" s="173"/>
      <c r="M44" s="173"/>
      <c r="N44" s="173"/>
      <c r="O44" s="173"/>
      <c r="P44" s="173"/>
      <c r="Q44" s="173"/>
      <c r="R44" s="173"/>
      <c r="S44" s="173"/>
      <c r="T44" s="173"/>
      <c r="U44" s="173"/>
      <c r="V44" s="173"/>
      <c r="W44" s="173"/>
      <c r="X44" s="173"/>
      <c r="Y44" s="8"/>
      <c r="Z44" s="8"/>
      <c r="AA44" s="8"/>
    </row>
    <row r="45" spans="1:28">
      <c r="L45" s="8"/>
      <c r="M45" s="8"/>
      <c r="N45" s="8"/>
      <c r="O45" s="8"/>
      <c r="P45" s="8"/>
      <c r="Q45" s="8"/>
      <c r="R45" s="8"/>
      <c r="S45" s="8"/>
      <c r="T45" s="8"/>
      <c r="U45" s="8"/>
      <c r="V45" s="8"/>
      <c r="W45" s="8"/>
      <c r="X45" s="8"/>
    </row>
  </sheetData>
  <mergeCells count="12">
    <mergeCell ref="L24:AB24"/>
    <mergeCell ref="L5:AB5"/>
    <mergeCell ref="L6:AB6"/>
    <mergeCell ref="A6:J6"/>
    <mergeCell ref="A7:J7"/>
    <mergeCell ref="L40:M40"/>
    <mergeCell ref="L32:M32"/>
    <mergeCell ref="A31:B31"/>
    <mergeCell ref="N8:S8"/>
    <mergeCell ref="T8:AA8"/>
    <mergeCell ref="A43:K43"/>
    <mergeCell ref="A39:C39"/>
  </mergeCells>
  <pageMargins left="0.49" right="0.46" top="0.75" bottom="0.6" header="0.3" footer="0.3"/>
  <pageSetup scale="58" fitToWidth="2" orientation="portrait" r:id="rId1"/>
  <headerFooter scaleWithDoc="0">
    <oddFooter>&amp;LBench_DR_15 Attachment A&amp;C EOP&amp;R&amp;P of &amp;N</oddFooter>
  </headerFooter>
  <colBreaks count="1" manualBreakCount="1">
    <brk id="11" max="42" man="1"/>
  </colBreaks>
</worksheet>
</file>

<file path=xl/worksheets/sheet2.xml><?xml version="1.0" encoding="utf-8"?>
<worksheet xmlns="http://schemas.openxmlformats.org/spreadsheetml/2006/main" xmlns:r="http://schemas.openxmlformats.org/officeDocument/2006/relationships">
  <dimension ref="A1:AC48"/>
  <sheetViews>
    <sheetView tabSelected="1" view="pageBreakPreview" zoomScale="130" zoomScaleNormal="100" zoomScaleSheetLayoutView="130" workbookViewId="0">
      <selection activeCell="R14" sqref="R14"/>
    </sheetView>
  </sheetViews>
  <sheetFormatPr defaultRowHeight="15"/>
  <cols>
    <col min="1" max="1" width="1.7109375" style="4" customWidth="1"/>
    <col min="2" max="2" width="42.140625" style="4" customWidth="1"/>
    <col min="3" max="3" width="15.140625" style="4" customWidth="1"/>
    <col min="4" max="4" width="11" style="4" customWidth="1"/>
    <col min="5" max="5" width="4.85546875" style="4" bestFit="1" customWidth="1"/>
    <col min="6" max="6" width="9.42578125" style="4" bestFit="1" customWidth="1"/>
    <col min="7" max="7" width="4.85546875" style="4" bestFit="1" customWidth="1"/>
    <col min="8" max="8" width="9.85546875" style="4" customWidth="1"/>
    <col min="9" max="9" width="4.85546875" style="4" bestFit="1" customWidth="1"/>
    <col min="10" max="10" width="11" style="4" bestFit="1" customWidth="1"/>
    <col min="11" max="11" width="40.140625" style="4" customWidth="1"/>
    <col min="12" max="12" width="26.140625" style="4" customWidth="1"/>
    <col min="13" max="13" width="12.85546875" style="4" customWidth="1"/>
    <col min="14" max="14" width="10.7109375" style="4" customWidth="1"/>
    <col min="15" max="15" width="4.5703125" style="4" customWidth="1"/>
    <col min="16" max="16" width="8.7109375" style="4" customWidth="1"/>
    <col min="17" max="17" width="4.42578125" style="4" customWidth="1"/>
    <col min="18" max="18" width="10.42578125" style="4" customWidth="1"/>
    <col min="19" max="19" width="4.28515625" style="4" customWidth="1"/>
    <col min="20" max="20" width="9.85546875" style="4" customWidth="1"/>
    <col min="21" max="21" width="4.85546875" style="4" bestFit="1" customWidth="1"/>
    <col min="22" max="22" width="7.5703125" style="4" customWidth="1"/>
    <col min="23" max="23" width="4.85546875" style="4" bestFit="1" customWidth="1"/>
    <col min="24" max="24" width="10.42578125" style="4" customWidth="1"/>
    <col min="25" max="25" width="4.85546875" style="4" bestFit="1" customWidth="1"/>
    <col min="26" max="26" width="9.85546875" style="4" customWidth="1"/>
    <col min="27" max="27" width="4.85546875" style="4" bestFit="1" customWidth="1"/>
    <col min="28" max="28" width="12.28515625" style="4" customWidth="1"/>
    <col min="29" max="29" width="5.42578125" style="4" bestFit="1" customWidth="1"/>
    <col min="30" max="30" width="5.42578125" style="4" customWidth="1"/>
    <col min="31" max="16384" width="9.140625" style="4"/>
  </cols>
  <sheetData>
    <row r="1" spans="1:28">
      <c r="A1" s="5" t="s">
        <v>22</v>
      </c>
      <c r="L1" s="5" t="s">
        <v>22</v>
      </c>
    </row>
    <row r="2" spans="1:28">
      <c r="A2" s="26" t="s">
        <v>58</v>
      </c>
      <c r="L2" s="26" t="s">
        <v>58</v>
      </c>
    </row>
    <row r="3" spans="1:28" ht="15.75" thickBot="1">
      <c r="A3" s="1"/>
      <c r="B3" s="1"/>
      <c r="C3" s="1"/>
    </row>
    <row r="4" spans="1:28" ht="15.75" thickBot="1">
      <c r="A4" s="1"/>
      <c r="B4" s="1"/>
      <c r="C4" s="1"/>
      <c r="L4" s="155" t="s">
        <v>8</v>
      </c>
      <c r="M4" s="156"/>
      <c r="N4" s="156"/>
      <c r="O4" s="156"/>
      <c r="P4" s="156"/>
      <c r="Q4" s="156"/>
      <c r="R4" s="156"/>
      <c r="S4" s="156"/>
      <c r="T4" s="156"/>
      <c r="U4" s="156"/>
      <c r="V4" s="156"/>
      <c r="W4" s="156"/>
      <c r="X4" s="156"/>
      <c r="Y4" s="156"/>
      <c r="Z4" s="156"/>
      <c r="AA4" s="156"/>
      <c r="AB4" s="157"/>
    </row>
    <row r="5" spans="1:28">
      <c r="A5" s="155" t="s">
        <v>11</v>
      </c>
      <c r="B5" s="156"/>
      <c r="C5" s="156"/>
      <c r="D5" s="156"/>
      <c r="E5" s="156"/>
      <c r="F5" s="156"/>
      <c r="G5" s="156"/>
      <c r="H5" s="156"/>
      <c r="I5" s="156"/>
      <c r="J5" s="157"/>
      <c r="L5" s="158" t="s">
        <v>14</v>
      </c>
      <c r="M5" s="159"/>
      <c r="N5" s="159"/>
      <c r="O5" s="159"/>
      <c r="P5" s="159"/>
      <c r="Q5" s="159"/>
      <c r="R5" s="159"/>
      <c r="S5" s="159"/>
      <c r="T5" s="159"/>
      <c r="U5" s="159"/>
      <c r="V5" s="159"/>
      <c r="W5" s="159"/>
      <c r="X5" s="159"/>
      <c r="Y5" s="159"/>
      <c r="Z5" s="159"/>
      <c r="AA5" s="159"/>
      <c r="AB5" s="160"/>
    </row>
    <row r="6" spans="1:28">
      <c r="A6" s="158" t="s">
        <v>6</v>
      </c>
      <c r="B6" s="159"/>
      <c r="C6" s="159"/>
      <c r="D6" s="159"/>
      <c r="E6" s="159"/>
      <c r="F6" s="159"/>
      <c r="G6" s="159"/>
      <c r="H6" s="159"/>
      <c r="I6" s="159"/>
      <c r="J6" s="160"/>
      <c r="L6" s="80"/>
      <c r="M6" s="35"/>
      <c r="N6" s="35"/>
      <c r="O6" s="35"/>
      <c r="P6" s="35"/>
      <c r="Q6" s="35"/>
      <c r="R6" s="35"/>
      <c r="S6" s="35"/>
      <c r="T6" s="35"/>
      <c r="U6" s="35"/>
      <c r="V6" s="35"/>
      <c r="W6" s="35"/>
      <c r="X6" s="35"/>
      <c r="Y6" s="35"/>
      <c r="Z6" s="35"/>
      <c r="AA6" s="35"/>
      <c r="AB6" s="81"/>
    </row>
    <row r="7" spans="1:28">
      <c r="A7" s="82"/>
      <c r="B7" s="83"/>
      <c r="C7" s="83"/>
      <c r="D7" s="35"/>
      <c r="E7" s="35"/>
      <c r="F7" s="35"/>
      <c r="G7" s="35"/>
      <c r="H7" s="35"/>
      <c r="I7" s="35"/>
      <c r="J7" s="65"/>
      <c r="L7" s="80"/>
      <c r="M7" s="35"/>
      <c r="N7" s="163">
        <v>2015</v>
      </c>
      <c r="O7" s="164"/>
      <c r="P7" s="164"/>
      <c r="Q7" s="164"/>
      <c r="R7" s="164"/>
      <c r="S7" s="166"/>
      <c r="T7" s="167">
        <v>2016</v>
      </c>
      <c r="U7" s="167"/>
      <c r="V7" s="167"/>
      <c r="W7" s="167"/>
      <c r="X7" s="167"/>
      <c r="Y7" s="167"/>
      <c r="Z7" s="167"/>
      <c r="AA7" s="167"/>
      <c r="AB7" s="81"/>
    </row>
    <row r="8" spans="1:28" ht="64.5" customHeight="1">
      <c r="A8" s="84"/>
      <c r="B8" s="46"/>
      <c r="C8" s="85" t="s">
        <v>4</v>
      </c>
      <c r="D8" s="170" t="s">
        <v>31</v>
      </c>
      <c r="E8" s="171"/>
      <c r="F8" s="168" t="s">
        <v>29</v>
      </c>
      <c r="G8" s="168"/>
      <c r="H8" s="168" t="s">
        <v>30</v>
      </c>
      <c r="I8" s="169"/>
      <c r="J8" s="86" t="s">
        <v>9</v>
      </c>
      <c r="L8" s="84"/>
      <c r="M8" s="87" t="str">
        <f>J8</f>
        <v>Rate Base 12.31.14 EOP</v>
      </c>
      <c r="N8" s="172" t="s">
        <v>32</v>
      </c>
      <c r="O8" s="168"/>
      <c r="P8" s="168" t="s">
        <v>33</v>
      </c>
      <c r="Q8" s="168"/>
      <c r="R8" s="168" t="s">
        <v>34</v>
      </c>
      <c r="S8" s="169"/>
      <c r="T8" s="172" t="s">
        <v>35</v>
      </c>
      <c r="U8" s="168"/>
      <c r="V8" s="168" t="s">
        <v>36</v>
      </c>
      <c r="W8" s="168"/>
      <c r="X8" s="168" t="s">
        <v>37</v>
      </c>
      <c r="Y8" s="168"/>
      <c r="Z8" s="168" t="s">
        <v>38</v>
      </c>
      <c r="AA8" s="169"/>
      <c r="AB8" s="88" t="s">
        <v>5</v>
      </c>
    </row>
    <row r="9" spans="1:28">
      <c r="A9" s="84"/>
      <c r="B9" s="46"/>
      <c r="C9" s="20"/>
      <c r="D9" s="71"/>
      <c r="E9" s="46"/>
      <c r="F9" s="46"/>
      <c r="G9" s="46"/>
      <c r="H9" s="46"/>
      <c r="I9" s="54"/>
      <c r="J9" s="89"/>
      <c r="L9" s="84"/>
      <c r="M9" s="46"/>
      <c r="N9" s="71"/>
      <c r="O9" s="46"/>
      <c r="P9" s="46"/>
      <c r="Q9" s="46"/>
      <c r="R9" s="46"/>
      <c r="S9" s="54"/>
      <c r="T9" s="71"/>
      <c r="U9" s="46"/>
      <c r="V9" s="46"/>
      <c r="W9" s="46"/>
      <c r="X9" s="46"/>
      <c r="Y9" s="46"/>
      <c r="Z9" s="46"/>
      <c r="AA9" s="54"/>
      <c r="AB9" s="24"/>
    </row>
    <row r="10" spans="1:28">
      <c r="A10" s="84"/>
      <c r="B10" s="7" t="s">
        <v>15</v>
      </c>
      <c r="C10" s="16">
        <v>13638</v>
      </c>
      <c r="D10" s="47">
        <v>1121</v>
      </c>
      <c r="E10" s="16"/>
      <c r="F10" s="16"/>
      <c r="G10" s="16"/>
      <c r="H10" s="16">
        <v>-900</v>
      </c>
      <c r="I10" s="36"/>
      <c r="J10" s="14">
        <f>SUM(C10:H10)</f>
        <v>13859</v>
      </c>
      <c r="L10" s="90" t="s">
        <v>15</v>
      </c>
      <c r="M10" s="13">
        <f>J10</f>
        <v>13859</v>
      </c>
      <c r="N10" s="47">
        <v>0</v>
      </c>
      <c r="O10" s="16"/>
      <c r="P10" s="16"/>
      <c r="Q10" s="16"/>
      <c r="R10" s="16">
        <v>2458</v>
      </c>
      <c r="S10" s="36"/>
      <c r="T10" s="47">
        <v>0</v>
      </c>
      <c r="U10" s="16"/>
      <c r="V10" s="16"/>
      <c r="W10" s="16"/>
      <c r="X10" s="16"/>
      <c r="Y10" s="16"/>
      <c r="Z10" s="16">
        <f>-196+596</f>
        <v>400</v>
      </c>
      <c r="AA10" s="36"/>
      <c r="AB10" s="14">
        <f>SUM(M10:Z10)</f>
        <v>16717</v>
      </c>
    </row>
    <row r="11" spans="1:28">
      <c r="A11" s="84"/>
      <c r="B11" s="7" t="s">
        <v>19</v>
      </c>
      <c r="C11" s="18">
        <f>-C10</f>
        <v>-13638</v>
      </c>
      <c r="D11" s="50">
        <f t="shared" ref="D11:H11" si="0">-D10</f>
        <v>-1121</v>
      </c>
      <c r="E11" s="18"/>
      <c r="F11" s="18">
        <f t="shared" si="0"/>
        <v>0</v>
      </c>
      <c r="G11" s="18"/>
      <c r="H11" s="18">
        <f t="shared" si="0"/>
        <v>900</v>
      </c>
      <c r="I11" s="52"/>
      <c r="J11" s="21">
        <f>-J10</f>
        <v>-13859</v>
      </c>
      <c r="L11" s="90" t="s">
        <v>19</v>
      </c>
      <c r="M11" s="18">
        <f>-M10</f>
        <v>-13859</v>
      </c>
      <c r="N11" s="50">
        <f>-N10</f>
        <v>0</v>
      </c>
      <c r="O11" s="18"/>
      <c r="P11" s="18">
        <f t="shared" ref="P11:R11" si="1">-P10</f>
        <v>0</v>
      </c>
      <c r="Q11" s="18"/>
      <c r="R11" s="18">
        <f t="shared" si="1"/>
        <v>-2458</v>
      </c>
      <c r="S11" s="191"/>
      <c r="T11" s="50">
        <f>-T10</f>
        <v>0</v>
      </c>
      <c r="U11" s="18"/>
      <c r="V11" s="18">
        <f t="shared" ref="V11:Z11" si="2">-V10</f>
        <v>0</v>
      </c>
      <c r="W11" s="18"/>
      <c r="X11" s="18">
        <f t="shared" si="2"/>
        <v>0</v>
      </c>
      <c r="Y11" s="18"/>
      <c r="Z11" s="18">
        <f t="shared" si="2"/>
        <v>-400</v>
      </c>
      <c r="AA11" s="52"/>
      <c r="AB11" s="21">
        <f>-AB10</f>
        <v>-16717</v>
      </c>
    </row>
    <row r="12" spans="1:28">
      <c r="A12" s="84"/>
      <c r="B12" s="7" t="s">
        <v>16</v>
      </c>
      <c r="C12" s="10">
        <f>(C21*0.0268)*-0.35</f>
        <v>-2045.5059799999999</v>
      </c>
      <c r="D12" s="91">
        <f>(D21*0.0268)*-0.35</f>
        <v>14.304500000000001</v>
      </c>
      <c r="E12" s="10"/>
      <c r="F12" s="10">
        <f t="shared" ref="F12" si="3">(F21*0.0268)*-0.35</f>
        <v>30.691359999999996</v>
      </c>
      <c r="G12" s="10"/>
      <c r="H12" s="10">
        <f>(H21*0.0268)*-0.35</f>
        <v>-109.59592000000001</v>
      </c>
      <c r="I12" s="183" t="s">
        <v>25</v>
      </c>
      <c r="J12" s="22">
        <f>(J21*0.0268)*-0.35</f>
        <v>-2110.1060400000001</v>
      </c>
      <c r="K12" s="17" t="s">
        <v>83</v>
      </c>
      <c r="L12" s="90" t="s">
        <v>16</v>
      </c>
      <c r="M12" s="10">
        <f>(M21*0.0268)*-0.35</f>
        <v>-2110.1060400000001</v>
      </c>
      <c r="N12" s="91">
        <f>(N21*0.0268)*-0.35</f>
        <v>138.43003999999999</v>
      </c>
      <c r="O12" s="10"/>
      <c r="P12" s="10">
        <f t="shared" ref="P12:R12" si="4">(P21*0.0268)*-0.35</f>
        <v>4.4367400000000004</v>
      </c>
      <c r="Q12" s="10"/>
      <c r="R12" s="10">
        <f t="shared" si="4"/>
        <v>-386.31529999999998</v>
      </c>
      <c r="S12" s="189" t="s">
        <v>74</v>
      </c>
      <c r="T12" s="10">
        <f>(T21*0.0268)*-0.35</f>
        <v>60.941860000000005</v>
      </c>
      <c r="U12" s="10"/>
      <c r="V12" s="10">
        <f t="shared" ref="V12:Z12" si="5">(V21*0.0268)*-0.35</f>
        <v>2.2230599999999998</v>
      </c>
      <c r="W12" s="10"/>
      <c r="X12" s="10">
        <f t="shared" si="5"/>
        <v>25.2791</v>
      </c>
      <c r="Y12" s="10"/>
      <c r="Z12" s="10">
        <f t="shared" si="5"/>
        <v>-104.45567999999999</v>
      </c>
      <c r="AA12" s="189" t="s">
        <v>74</v>
      </c>
      <c r="AB12" s="22">
        <f>(AB21*0.0268)*-0.35</f>
        <v>-2369.5662199999997</v>
      </c>
    </row>
    <row r="13" spans="1:28">
      <c r="A13" s="84"/>
      <c r="B13" s="7" t="s">
        <v>17</v>
      </c>
      <c r="C13" s="10">
        <f>C11*0.35</f>
        <v>-4773.2999999999993</v>
      </c>
      <c r="D13" s="91">
        <f>D11*0.35</f>
        <v>-392.34999999999997</v>
      </c>
      <c r="E13" s="10"/>
      <c r="F13" s="10">
        <f t="shared" ref="F13:H13" si="6">F11*0.35</f>
        <v>0</v>
      </c>
      <c r="G13" s="10"/>
      <c r="H13" s="10">
        <f t="shared" si="6"/>
        <v>315</v>
      </c>
      <c r="I13" s="183" t="s">
        <v>26</v>
      </c>
      <c r="J13" s="22">
        <f t="shared" ref="J13" si="7">J11*0.35</f>
        <v>-4850.6499999999996</v>
      </c>
      <c r="K13" s="17" t="s">
        <v>86</v>
      </c>
      <c r="L13" s="90" t="s">
        <v>17</v>
      </c>
      <c r="M13" s="10">
        <f>M11*0.35</f>
        <v>-4850.6499999999996</v>
      </c>
      <c r="N13" s="91">
        <f>N11*0.35</f>
        <v>0</v>
      </c>
      <c r="O13" s="10"/>
      <c r="P13" s="10">
        <f t="shared" ref="P13:R13" si="8">P11*0.35</f>
        <v>0</v>
      </c>
      <c r="Q13" s="10"/>
      <c r="R13" s="10">
        <f t="shared" si="8"/>
        <v>-860.3</v>
      </c>
      <c r="S13" s="186" t="s">
        <v>74</v>
      </c>
      <c r="T13" s="10">
        <f>T11*0.35</f>
        <v>0</v>
      </c>
      <c r="U13" s="10"/>
      <c r="V13" s="10">
        <f t="shared" ref="V13:Z13" si="9">V11*0.35</f>
        <v>0</v>
      </c>
      <c r="W13" s="10"/>
      <c r="X13" s="10">
        <f t="shared" si="9"/>
        <v>0</v>
      </c>
      <c r="Y13" s="10"/>
      <c r="Z13" s="10">
        <f t="shared" si="9"/>
        <v>-140</v>
      </c>
      <c r="AA13" s="186" t="s">
        <v>74</v>
      </c>
      <c r="AB13" s="22">
        <f>AB11*0.35</f>
        <v>-5850.95</v>
      </c>
    </row>
    <row r="14" spans="1:28" ht="15.75" thickBot="1">
      <c r="A14" s="84"/>
      <c r="B14" s="7" t="s">
        <v>18</v>
      </c>
      <c r="C14" s="19">
        <f>C11-C12-C13</f>
        <v>-6819.1940200000008</v>
      </c>
      <c r="D14" s="92">
        <f t="shared" ref="D14:J14" si="10">D11-D12-D13</f>
        <v>-742.95450000000005</v>
      </c>
      <c r="E14" s="19"/>
      <c r="F14" s="19">
        <f t="shared" si="10"/>
        <v>-30.691359999999996</v>
      </c>
      <c r="G14" s="19"/>
      <c r="H14" s="19">
        <f t="shared" si="10"/>
        <v>694.59591999999998</v>
      </c>
      <c r="I14" s="53"/>
      <c r="J14" s="23">
        <f t="shared" si="10"/>
        <v>-6898.2439599999998</v>
      </c>
      <c r="L14" s="90" t="s">
        <v>18</v>
      </c>
      <c r="M14" s="19">
        <f>M11-M12-M13</f>
        <v>-6898.2439599999998</v>
      </c>
      <c r="N14" s="92">
        <f>N11-N12-N13</f>
        <v>-138.43003999999999</v>
      </c>
      <c r="O14" s="19"/>
      <c r="P14" s="19">
        <f t="shared" ref="P14:R14" si="11">P11-P12-P13</f>
        <v>-4.4367400000000004</v>
      </c>
      <c r="Q14" s="19"/>
      <c r="R14" s="19">
        <f t="shared" si="11"/>
        <v>-1211.3846999999998</v>
      </c>
      <c r="S14" s="192"/>
      <c r="T14" s="92">
        <f>T11-T12-T13</f>
        <v>-60.941860000000005</v>
      </c>
      <c r="U14" s="19"/>
      <c r="V14" s="19">
        <f t="shared" ref="V14:Z14" si="12">V11-V12-V13</f>
        <v>-2.2230599999999998</v>
      </c>
      <c r="W14" s="19"/>
      <c r="X14" s="19">
        <f t="shared" si="12"/>
        <v>-25.2791</v>
      </c>
      <c r="Y14" s="19"/>
      <c r="Z14" s="19">
        <f t="shared" si="12"/>
        <v>-155.54432000000003</v>
      </c>
      <c r="AA14" s="53"/>
      <c r="AB14" s="23">
        <f>AB11-AB12-AB13</f>
        <v>-8496.4837799999987</v>
      </c>
    </row>
    <row r="15" spans="1:28">
      <c r="A15" s="84"/>
      <c r="B15" s="46"/>
      <c r="C15" s="20"/>
      <c r="D15" s="71"/>
      <c r="E15" s="46"/>
      <c r="F15" s="46"/>
      <c r="G15" s="46"/>
      <c r="H15" s="46"/>
      <c r="I15" s="54"/>
      <c r="J15" s="89"/>
      <c r="L15" s="84"/>
      <c r="M15" s="46"/>
      <c r="N15" s="71"/>
      <c r="O15" s="46"/>
      <c r="P15" s="46"/>
      <c r="Q15" s="46"/>
      <c r="R15" s="46"/>
      <c r="S15" s="54"/>
      <c r="T15" s="71"/>
      <c r="U15" s="46"/>
      <c r="V15" s="46"/>
      <c r="W15" s="46"/>
      <c r="X15" s="46"/>
      <c r="Y15" s="46"/>
      <c r="Z15" s="46"/>
      <c r="AA15" s="54"/>
      <c r="AB15" s="24"/>
    </row>
    <row r="16" spans="1:28">
      <c r="A16" s="90"/>
      <c r="B16" s="7" t="s">
        <v>0</v>
      </c>
      <c r="C16" s="13">
        <v>416051</v>
      </c>
      <c r="D16" s="37">
        <v>11109</v>
      </c>
      <c r="E16" s="13"/>
      <c r="F16" s="13"/>
      <c r="G16" s="13"/>
      <c r="H16" s="13">
        <v>3871</v>
      </c>
      <c r="I16" s="41"/>
      <c r="J16" s="14">
        <f>SUM(C16:H16)</f>
        <v>431031</v>
      </c>
      <c r="K16" s="17" t="s">
        <v>87</v>
      </c>
      <c r="L16" s="90" t="s">
        <v>0</v>
      </c>
      <c r="M16" s="13">
        <f>J16</f>
        <v>431031</v>
      </c>
      <c r="N16" s="37">
        <v>0</v>
      </c>
      <c r="O16" s="13"/>
      <c r="P16" s="13"/>
      <c r="Q16" s="13"/>
      <c r="R16" s="13">
        <v>37855</v>
      </c>
      <c r="S16" s="193" t="s">
        <v>74</v>
      </c>
      <c r="T16" s="37">
        <v>0</v>
      </c>
      <c r="U16" s="13"/>
      <c r="V16" s="13"/>
      <c r="W16" s="13"/>
      <c r="X16" s="13"/>
      <c r="Y16" s="13"/>
      <c r="Z16" s="13">
        <f>11670-2465</f>
        <v>9205</v>
      </c>
      <c r="AA16" s="193" t="s">
        <v>74</v>
      </c>
      <c r="AB16" s="14">
        <f>SUM(M16:Z16)</f>
        <v>478091</v>
      </c>
    </row>
    <row r="17" spans="1:29">
      <c r="A17" s="90"/>
      <c r="B17" s="7" t="s">
        <v>3</v>
      </c>
      <c r="C17" s="11">
        <v>-139625</v>
      </c>
      <c r="D17" s="45">
        <v>-5130</v>
      </c>
      <c r="E17" s="11"/>
      <c r="F17" s="11">
        <v>-3427</v>
      </c>
      <c r="G17" s="11"/>
      <c r="H17" s="11">
        <v>3542</v>
      </c>
      <c r="I17" s="42"/>
      <c r="J17" s="15">
        <f>SUM(C17:H17)</f>
        <v>-144640</v>
      </c>
      <c r="K17" s="17" t="s">
        <v>88</v>
      </c>
      <c r="L17" s="90" t="s">
        <v>3</v>
      </c>
      <c r="M17" s="13">
        <f>J17</f>
        <v>-144640</v>
      </c>
      <c r="N17" s="45">
        <v>-13713</v>
      </c>
      <c r="O17" s="11"/>
      <c r="P17" s="11">
        <v>-473</v>
      </c>
      <c r="Q17" s="11"/>
      <c r="R17" s="11">
        <f>-8979+473+13713</f>
        <v>5207</v>
      </c>
      <c r="S17" s="193" t="s">
        <v>74</v>
      </c>
      <c r="T17" s="45">
        <f>-6655+80+237</f>
        <v>-6338</v>
      </c>
      <c r="U17" s="11"/>
      <c r="V17" s="11">
        <v>-237</v>
      </c>
      <c r="W17" s="11"/>
      <c r="X17" s="11">
        <v>-1315</v>
      </c>
      <c r="Y17" s="11"/>
      <c r="Z17" s="11">
        <f>2465-298</f>
        <v>2167</v>
      </c>
      <c r="AA17" s="193" t="s">
        <v>74</v>
      </c>
      <c r="AB17" s="14">
        <f t="shared" ref="AB17:AB18" si="13">SUM(M17:Z17)</f>
        <v>-159342</v>
      </c>
    </row>
    <row r="18" spans="1:29">
      <c r="A18" s="90"/>
      <c r="B18" s="7" t="s">
        <v>1</v>
      </c>
      <c r="C18" s="11">
        <v>-58355</v>
      </c>
      <c r="D18" s="45">
        <v>-7504</v>
      </c>
      <c r="E18" s="11"/>
      <c r="F18" s="11">
        <v>155</v>
      </c>
      <c r="G18" s="11"/>
      <c r="H18" s="11">
        <v>771</v>
      </c>
      <c r="I18" s="42"/>
      <c r="J18" s="15">
        <f>SUM(C18:H18)</f>
        <v>-64933</v>
      </c>
      <c r="K18" s="17" t="s">
        <v>89</v>
      </c>
      <c r="L18" s="90" t="s">
        <v>1</v>
      </c>
      <c r="M18" s="13">
        <f>J18</f>
        <v>-64933</v>
      </c>
      <c r="N18" s="45">
        <v>-1045</v>
      </c>
      <c r="O18" s="11"/>
      <c r="P18" s="11"/>
      <c r="Q18" s="11"/>
      <c r="R18" s="11">
        <f>-2922+1045</f>
        <v>-1877</v>
      </c>
      <c r="S18" s="186" t="s">
        <v>74</v>
      </c>
      <c r="T18" s="45">
        <f>-253+94</f>
        <v>-159</v>
      </c>
      <c r="U18" s="11"/>
      <c r="V18" s="11">
        <v>0</v>
      </c>
      <c r="W18" s="11"/>
      <c r="X18" s="11">
        <v>-1380</v>
      </c>
      <c r="Y18" s="11"/>
      <c r="Z18" s="11">
        <v>-236</v>
      </c>
      <c r="AA18" s="186" t="s">
        <v>74</v>
      </c>
      <c r="AB18" s="14">
        <f t="shared" si="13"/>
        <v>-69630</v>
      </c>
      <c r="AC18" s="93" t="s">
        <v>25</v>
      </c>
    </row>
    <row r="19" spans="1:29" s="5" customFormat="1">
      <c r="A19" s="94"/>
      <c r="B19" s="95" t="s">
        <v>2</v>
      </c>
      <c r="C19" s="27">
        <f>SUM(C16:C18)</f>
        <v>218071</v>
      </c>
      <c r="D19" s="72">
        <f>SUM(D16:D18)</f>
        <v>-1525</v>
      </c>
      <c r="E19" s="57" t="s">
        <v>39</v>
      </c>
      <c r="F19" s="27">
        <f t="shared" ref="F19:H19" si="14">SUM(F16:F18)</f>
        <v>-3272</v>
      </c>
      <c r="G19" s="57" t="s">
        <v>39</v>
      </c>
      <c r="H19" s="27">
        <f t="shared" si="14"/>
        <v>8184</v>
      </c>
      <c r="I19" s="68" t="s">
        <v>39</v>
      </c>
      <c r="J19" s="190">
        <f>SUM(J16:J18)</f>
        <v>221458</v>
      </c>
      <c r="K19" s="179" t="s">
        <v>90</v>
      </c>
      <c r="L19" s="94" t="s">
        <v>2</v>
      </c>
      <c r="M19" s="28">
        <f>SUM(M16:M18)</f>
        <v>221458</v>
      </c>
      <c r="N19" s="38">
        <f>SUM(N16:N18)</f>
        <v>-14758</v>
      </c>
      <c r="O19" s="60" t="s">
        <v>60</v>
      </c>
      <c r="P19" s="28">
        <f t="shared" ref="P19:R19" si="15">SUM(P16:P18)</f>
        <v>-473</v>
      </c>
      <c r="Q19" s="60" t="s">
        <v>60</v>
      </c>
      <c r="R19" s="28">
        <f t="shared" si="15"/>
        <v>41185</v>
      </c>
      <c r="S19" s="67" t="s">
        <v>60</v>
      </c>
      <c r="T19" s="38">
        <f>SUM(T16:T18)</f>
        <v>-6497</v>
      </c>
      <c r="U19" s="60" t="s">
        <v>61</v>
      </c>
      <c r="V19" s="28">
        <f t="shared" ref="V19:Z19" si="16">SUM(V16:V18)</f>
        <v>-237</v>
      </c>
      <c r="W19" s="60" t="s">
        <v>61</v>
      </c>
      <c r="X19" s="28">
        <f t="shared" si="16"/>
        <v>-2695</v>
      </c>
      <c r="Y19" s="60" t="s">
        <v>61</v>
      </c>
      <c r="Z19" s="28">
        <f t="shared" si="16"/>
        <v>11136</v>
      </c>
      <c r="AA19" s="67" t="s">
        <v>61</v>
      </c>
      <c r="AB19" s="29">
        <f>SUM(AB16:AB18)+1</f>
        <v>249120</v>
      </c>
      <c r="AC19" s="93" t="s">
        <v>26</v>
      </c>
    </row>
    <row r="20" spans="1:29">
      <c r="A20" s="90"/>
      <c r="B20" s="7" t="s">
        <v>20</v>
      </c>
      <c r="C20" s="11">
        <v>0</v>
      </c>
      <c r="D20" s="73"/>
      <c r="E20" s="11"/>
      <c r="F20" s="11"/>
      <c r="G20" s="11"/>
      <c r="H20" s="73">
        <v>3500</v>
      </c>
      <c r="I20" s="42"/>
      <c r="J20" s="15">
        <f>SUM(C20:I20)</f>
        <v>3500</v>
      </c>
      <c r="K20" s="17" t="s">
        <v>82</v>
      </c>
      <c r="L20" s="90" t="s">
        <v>20</v>
      </c>
      <c r="M20" s="13">
        <f>J20</f>
        <v>3500</v>
      </c>
      <c r="N20" s="73"/>
      <c r="O20" s="11"/>
      <c r="P20" s="44"/>
      <c r="Q20" s="11"/>
      <c r="R20" s="44"/>
      <c r="S20" s="42"/>
      <c r="T20" s="73"/>
      <c r="U20" s="11"/>
      <c r="V20" s="44"/>
      <c r="W20" s="11"/>
      <c r="X20" s="44"/>
      <c r="Y20" s="11"/>
      <c r="Z20" s="44"/>
      <c r="AA20" s="42"/>
      <c r="AB20" s="14">
        <f>SUM(M20:T20)</f>
        <v>3500</v>
      </c>
      <c r="AC20" s="93" t="s">
        <v>25</v>
      </c>
    </row>
    <row r="21" spans="1:29" ht="15.75" thickBot="1">
      <c r="A21" s="90"/>
      <c r="B21" s="7" t="s">
        <v>21</v>
      </c>
      <c r="C21" s="51">
        <f>C19+C20</f>
        <v>218071</v>
      </c>
      <c r="D21" s="96">
        <f>D19+D20</f>
        <v>-1525</v>
      </c>
      <c r="E21" s="51"/>
      <c r="F21" s="51">
        <f t="shared" ref="F21:H21" si="17">F19+F20</f>
        <v>-3272</v>
      </c>
      <c r="G21" s="51"/>
      <c r="H21" s="51">
        <f t="shared" si="17"/>
        <v>11684</v>
      </c>
      <c r="I21" s="55"/>
      <c r="J21" s="25">
        <f>J19+J20</f>
        <v>224958</v>
      </c>
      <c r="L21" s="90" t="s">
        <v>21</v>
      </c>
      <c r="M21" s="51">
        <f>M19+M20</f>
        <v>224958</v>
      </c>
      <c r="N21" s="96">
        <f>N19+N20</f>
        <v>-14758</v>
      </c>
      <c r="O21" s="51"/>
      <c r="P21" s="51">
        <f t="shared" ref="P21:R21" si="18">P19+P20</f>
        <v>-473</v>
      </c>
      <c r="Q21" s="51"/>
      <c r="R21" s="51">
        <f t="shared" si="18"/>
        <v>41185</v>
      </c>
      <c r="S21" s="55"/>
      <c r="T21" s="38">
        <f>T19+T20</f>
        <v>-6497</v>
      </c>
      <c r="U21" s="28"/>
      <c r="V21" s="28">
        <f t="shared" ref="V21:Z21" si="19">V19+V20</f>
        <v>-237</v>
      </c>
      <c r="W21" s="28"/>
      <c r="X21" s="28">
        <f t="shared" si="19"/>
        <v>-2695</v>
      </c>
      <c r="Y21" s="28"/>
      <c r="Z21" s="28">
        <f t="shared" si="19"/>
        <v>11136</v>
      </c>
      <c r="AA21" s="97"/>
      <c r="AB21" s="25">
        <f>AB19+AB20-1</f>
        <v>252619</v>
      </c>
    </row>
    <row r="22" spans="1:29" ht="14.25" customHeight="1" thickBot="1">
      <c r="A22" s="98"/>
      <c r="B22" s="99"/>
      <c r="C22" s="100"/>
      <c r="D22" s="100"/>
      <c r="E22" s="100"/>
      <c r="F22" s="100"/>
      <c r="G22" s="100"/>
      <c r="H22" s="100"/>
      <c r="I22" s="100"/>
      <c r="J22" s="101"/>
      <c r="L22" s="102"/>
      <c r="M22" s="103"/>
      <c r="N22" s="103"/>
      <c r="O22" s="103"/>
      <c r="P22" s="103"/>
      <c r="Q22" s="103"/>
      <c r="R22" s="103"/>
      <c r="S22" s="103"/>
      <c r="T22" s="103"/>
      <c r="U22" s="103"/>
      <c r="V22" s="103"/>
      <c r="W22" s="103"/>
      <c r="X22" s="103"/>
      <c r="Y22" s="103"/>
      <c r="Z22" s="103"/>
      <c r="AA22" s="103"/>
      <c r="AB22" s="104"/>
    </row>
    <row r="23" spans="1:29" ht="14.25" customHeight="1">
      <c r="A23" s="184" t="s">
        <v>84</v>
      </c>
      <c r="B23" s="105"/>
      <c r="D23" s="32"/>
      <c r="F23" s="32"/>
      <c r="G23" s="32"/>
      <c r="H23" s="32"/>
      <c r="I23" s="32"/>
      <c r="J23" s="32"/>
      <c r="L23" s="7" t="s">
        <v>27</v>
      </c>
      <c r="M23" s="7"/>
      <c r="N23" s="7"/>
      <c r="O23" s="7"/>
      <c r="P23" s="7"/>
      <c r="Q23" s="7"/>
      <c r="R23" s="7"/>
      <c r="S23" s="7"/>
      <c r="U23" s="7"/>
      <c r="V23" s="7"/>
      <c r="W23" s="7"/>
      <c r="X23" s="7"/>
      <c r="Y23" s="7"/>
      <c r="Z23" s="7"/>
      <c r="AA23" s="7"/>
      <c r="AB23" s="7"/>
    </row>
    <row r="24" spans="1:29" ht="15.75" thickBot="1">
      <c r="A24" s="184" t="s">
        <v>85</v>
      </c>
      <c r="B24" s="105"/>
      <c r="D24" s="32"/>
      <c r="F24" s="32"/>
      <c r="H24" s="32"/>
      <c r="I24" s="32"/>
      <c r="J24" s="32"/>
      <c r="L24" s="154" t="s">
        <v>91</v>
      </c>
      <c r="M24" s="154"/>
      <c r="N24" s="154"/>
      <c r="O24" s="154"/>
      <c r="P24" s="154"/>
      <c r="Q24" s="154"/>
      <c r="R24" s="154"/>
      <c r="S24" s="154"/>
      <c r="T24" s="154"/>
      <c r="U24" s="154"/>
      <c r="V24" s="154"/>
      <c r="W24" s="154"/>
      <c r="X24" s="154"/>
      <c r="Y24" s="154"/>
      <c r="Z24" s="154"/>
      <c r="AA24" s="154"/>
      <c r="AB24" s="154"/>
    </row>
    <row r="25" spans="1:29" ht="15.75" thickBot="1">
      <c r="A25" s="106" t="s">
        <v>56</v>
      </c>
      <c r="B25" s="76"/>
      <c r="C25" s="107"/>
      <c r="D25" s="69" t="s">
        <v>65</v>
      </c>
      <c r="E25" s="32"/>
      <c r="F25" s="32"/>
      <c r="H25" s="32"/>
      <c r="I25" s="32"/>
      <c r="J25" s="32"/>
      <c r="L25" s="7" t="s">
        <v>92</v>
      </c>
      <c r="M25" s="142"/>
      <c r="N25" s="142"/>
      <c r="O25" s="142"/>
      <c r="P25" s="142"/>
      <c r="Q25" s="142"/>
      <c r="R25" s="142"/>
      <c r="S25" s="142"/>
      <c r="T25" s="142"/>
      <c r="U25" s="142"/>
      <c r="V25" s="142"/>
      <c r="W25" s="142"/>
      <c r="X25" s="142"/>
      <c r="Y25" s="142"/>
      <c r="Z25" s="142"/>
      <c r="AA25" s="142"/>
      <c r="AB25" s="142"/>
    </row>
    <row r="26" spans="1:29">
      <c r="A26" s="62" t="s">
        <v>15</v>
      </c>
      <c r="B26" s="63"/>
      <c r="C26" s="61"/>
      <c r="D26" s="70"/>
      <c r="E26" s="32"/>
      <c r="F26" s="32"/>
      <c r="G26" s="32"/>
      <c r="H26" s="32"/>
      <c r="I26" s="32"/>
      <c r="J26" s="32"/>
      <c r="L26" s="106" t="s">
        <v>57</v>
      </c>
      <c r="M26" s="76"/>
      <c r="N26" s="76"/>
      <c r="O26" s="76"/>
      <c r="P26" s="76" t="s">
        <v>65</v>
      </c>
      <c r="Q26" s="76"/>
      <c r="R26" s="76"/>
      <c r="S26" s="76"/>
      <c r="T26" s="76"/>
      <c r="U26" s="76"/>
      <c r="V26" s="76"/>
      <c r="W26" s="76"/>
      <c r="X26" s="77"/>
      <c r="Y26" s="7"/>
      <c r="Z26" s="7"/>
      <c r="AA26" s="7"/>
      <c r="AB26" s="7"/>
    </row>
    <row r="27" spans="1:29">
      <c r="A27" s="90" t="s">
        <v>62</v>
      </c>
      <c r="B27" s="63"/>
      <c r="C27" s="2"/>
      <c r="D27" s="79">
        <f>D10</f>
        <v>1121</v>
      </c>
      <c r="E27" s="61"/>
      <c r="L27" s="94"/>
      <c r="M27" s="7"/>
      <c r="N27" s="182" t="s">
        <v>69</v>
      </c>
      <c r="O27" s="7"/>
      <c r="P27" s="7"/>
      <c r="Q27" s="7"/>
      <c r="R27" s="7"/>
      <c r="S27" s="7"/>
      <c r="T27" s="7"/>
      <c r="U27" s="7"/>
      <c r="V27" s="7"/>
      <c r="W27" s="7"/>
      <c r="X27" s="187" t="s">
        <v>70</v>
      </c>
      <c r="Y27" s="83"/>
    </row>
    <row r="28" spans="1:29">
      <c r="A28" s="110" t="s">
        <v>63</v>
      </c>
      <c r="B28" s="63"/>
      <c r="C28" s="2"/>
      <c r="D28" s="79">
        <f>H10</f>
        <v>-900</v>
      </c>
      <c r="E28" s="61"/>
      <c r="J28" s="33"/>
      <c r="K28" s="2"/>
      <c r="L28" s="62"/>
      <c r="M28" s="2"/>
      <c r="N28" s="108">
        <v>2015</v>
      </c>
      <c r="O28" s="83"/>
      <c r="P28" s="7"/>
      <c r="Q28" s="7"/>
      <c r="R28" s="7"/>
      <c r="S28" s="7"/>
      <c r="T28" s="2"/>
      <c r="U28" s="2"/>
      <c r="V28" s="2"/>
      <c r="W28" s="2"/>
      <c r="X28" s="109">
        <v>2016</v>
      </c>
    </row>
    <row r="29" spans="1:29" ht="15.75" thickBot="1">
      <c r="A29" s="161" t="s">
        <v>54</v>
      </c>
      <c r="B29" s="162"/>
      <c r="C29" s="2"/>
      <c r="D29" s="23">
        <f>SUM(D27:D28)</f>
        <v>221</v>
      </c>
      <c r="E29" s="61"/>
      <c r="K29" s="34"/>
      <c r="L29" s="110" t="s">
        <v>15</v>
      </c>
      <c r="M29" s="2"/>
      <c r="N29" s="78"/>
      <c r="O29" s="78"/>
      <c r="P29" s="2"/>
      <c r="Q29" s="2"/>
      <c r="R29" s="111" t="s">
        <v>15</v>
      </c>
      <c r="S29" s="111"/>
      <c r="T29" s="2"/>
      <c r="U29" s="2"/>
      <c r="V29" s="2"/>
      <c r="W29" s="2"/>
      <c r="X29" s="65"/>
      <c r="Y29" s="112"/>
    </row>
    <row r="30" spans="1:29">
      <c r="A30" s="94" t="s">
        <v>40</v>
      </c>
      <c r="B30" s="63"/>
      <c r="C30" s="2"/>
      <c r="D30" s="79">
        <f>D31-D29</f>
        <v>0</v>
      </c>
      <c r="E30" s="61"/>
      <c r="K30" s="34"/>
      <c r="L30" s="110" t="s">
        <v>34</v>
      </c>
      <c r="M30" s="2"/>
      <c r="N30" s="112">
        <f>R10</f>
        <v>2458</v>
      </c>
      <c r="O30" s="112"/>
      <c r="P30" s="2"/>
      <c r="Q30" s="2"/>
      <c r="R30" s="113" t="s">
        <v>38</v>
      </c>
      <c r="S30" s="113"/>
      <c r="T30" s="2"/>
      <c r="U30" s="2"/>
      <c r="V30" s="59"/>
      <c r="W30" s="59"/>
      <c r="X30" s="114">
        <f>Z10</f>
        <v>400</v>
      </c>
      <c r="Y30" s="112"/>
    </row>
    <row r="31" spans="1:29" ht="15.75" thickBot="1">
      <c r="A31" s="161" t="s">
        <v>53</v>
      </c>
      <c r="B31" s="162"/>
      <c r="C31" s="2"/>
      <c r="D31" s="23">
        <v>221</v>
      </c>
      <c r="E31" s="61"/>
      <c r="K31" s="34"/>
      <c r="L31" s="110" t="s">
        <v>47</v>
      </c>
      <c r="M31" s="2"/>
      <c r="N31" s="112">
        <v>0</v>
      </c>
      <c r="O31" s="112"/>
      <c r="P31" s="2"/>
      <c r="Q31" s="2"/>
      <c r="R31" s="111" t="s">
        <v>47</v>
      </c>
      <c r="S31" s="111"/>
      <c r="T31" s="2"/>
      <c r="U31" s="2"/>
      <c r="V31" s="59"/>
      <c r="W31" s="59"/>
      <c r="X31" s="114">
        <v>0</v>
      </c>
      <c r="Y31" s="112"/>
    </row>
    <row r="32" spans="1:29" ht="15.75" thickBot="1">
      <c r="A32" s="94"/>
      <c r="B32" s="63"/>
      <c r="C32" s="2"/>
      <c r="D32" s="79"/>
      <c r="E32" s="61"/>
      <c r="K32" s="34"/>
      <c r="L32" s="161" t="s">
        <v>48</v>
      </c>
      <c r="M32" s="162"/>
      <c r="N32" s="115">
        <f>SUM(N30:N31)</f>
        <v>2458</v>
      </c>
      <c r="O32" s="112"/>
      <c r="P32" s="2"/>
      <c r="Q32" s="2"/>
      <c r="R32" s="113" t="s">
        <v>49</v>
      </c>
      <c r="S32" s="113"/>
      <c r="T32" s="2"/>
      <c r="U32" s="2"/>
      <c r="V32" s="113"/>
      <c r="W32" s="113"/>
      <c r="X32" s="116">
        <f>SUM(X30:X31)</f>
        <v>400</v>
      </c>
      <c r="Y32" s="112"/>
    </row>
    <row r="33" spans="1:29">
      <c r="A33" s="94" t="s">
        <v>43</v>
      </c>
      <c r="B33" s="63"/>
      <c r="C33" s="2"/>
      <c r="D33" s="79"/>
      <c r="E33" s="61"/>
      <c r="K33" s="35"/>
      <c r="L33" s="74"/>
      <c r="M33" s="75"/>
      <c r="N33" s="112"/>
      <c r="O33" s="112"/>
      <c r="P33" s="2"/>
      <c r="Q33" s="2"/>
      <c r="R33" s="113"/>
      <c r="S33" s="113"/>
      <c r="T33" s="2"/>
      <c r="U33" s="2"/>
      <c r="V33" s="113"/>
      <c r="W33" s="113"/>
      <c r="X33" s="114"/>
      <c r="Y33" s="112"/>
    </row>
    <row r="34" spans="1:29">
      <c r="A34" s="90" t="s">
        <v>42</v>
      </c>
      <c r="B34" s="64"/>
      <c r="C34" s="2"/>
      <c r="D34" s="114">
        <f>D19</f>
        <v>-1525</v>
      </c>
      <c r="E34" s="112"/>
      <c r="K34" s="2"/>
      <c r="L34" s="74"/>
      <c r="M34" s="75"/>
      <c r="N34" s="112"/>
      <c r="O34" s="112"/>
      <c r="P34" s="2"/>
      <c r="Q34" s="2"/>
      <c r="R34" s="113"/>
      <c r="S34" s="113"/>
      <c r="T34" s="2"/>
      <c r="U34" s="2"/>
      <c r="V34" s="113"/>
      <c r="W34" s="113"/>
      <c r="X34" s="114"/>
    </row>
    <row r="35" spans="1:29">
      <c r="A35" s="90" t="s">
        <v>29</v>
      </c>
      <c r="B35" s="7"/>
      <c r="C35" s="2"/>
      <c r="D35" s="114">
        <f>F19</f>
        <v>-3272</v>
      </c>
      <c r="E35" s="112"/>
      <c r="K35" s="2"/>
      <c r="L35" s="62"/>
      <c r="M35" s="2"/>
      <c r="N35" s="2"/>
      <c r="O35" s="2"/>
      <c r="P35" s="2"/>
      <c r="Q35" s="2"/>
      <c r="R35" s="59"/>
      <c r="S35" s="59"/>
      <c r="T35" s="2"/>
      <c r="U35" s="2"/>
      <c r="V35" s="59"/>
      <c r="W35" s="59"/>
      <c r="X35" s="65"/>
    </row>
    <row r="36" spans="1:29">
      <c r="A36" s="110" t="s">
        <v>30</v>
      </c>
      <c r="B36" s="7"/>
      <c r="C36" s="2"/>
      <c r="D36" s="114">
        <f>H19</f>
        <v>8184</v>
      </c>
      <c r="E36" s="112"/>
      <c r="K36" s="2"/>
      <c r="L36" s="94" t="s">
        <v>45</v>
      </c>
      <c r="M36" s="2"/>
      <c r="N36" s="2"/>
      <c r="O36" s="2"/>
      <c r="P36" s="2"/>
      <c r="Q36" s="2"/>
      <c r="R36" s="95" t="s">
        <v>51</v>
      </c>
      <c r="S36" s="95"/>
      <c r="T36" s="2"/>
      <c r="U36" s="2"/>
      <c r="V36" s="59"/>
      <c r="W36" s="59"/>
      <c r="X36" s="65"/>
      <c r="Y36" s="112"/>
    </row>
    <row r="37" spans="1:29" ht="15.75" thickBot="1">
      <c r="A37" s="90" t="s">
        <v>41</v>
      </c>
      <c r="B37" s="2"/>
      <c r="C37" s="2"/>
      <c r="D37" s="116">
        <f>SUM(D34:D36)</f>
        <v>3387</v>
      </c>
      <c r="E37" s="112"/>
      <c r="K37" s="2"/>
      <c r="L37" s="110" t="s">
        <v>32</v>
      </c>
      <c r="M37" s="2"/>
      <c r="N37" s="112">
        <f>N19</f>
        <v>-14758</v>
      </c>
      <c r="O37" s="112"/>
      <c r="P37" s="2"/>
      <c r="Q37" s="2"/>
      <c r="R37" s="113" t="s">
        <v>35</v>
      </c>
      <c r="S37" s="113"/>
      <c r="T37" s="2"/>
      <c r="U37" s="2"/>
      <c r="V37" s="59"/>
      <c r="W37" s="59"/>
      <c r="X37" s="114">
        <f>T19</f>
        <v>-6497</v>
      </c>
      <c r="Y37" s="112"/>
    </row>
    <row r="38" spans="1:29">
      <c r="A38" s="94" t="s">
        <v>40</v>
      </c>
      <c r="B38" s="7"/>
      <c r="C38" s="2"/>
      <c r="D38" s="79">
        <v>1</v>
      </c>
      <c r="E38" s="61"/>
      <c r="K38" s="2"/>
      <c r="L38" s="110" t="s">
        <v>33</v>
      </c>
      <c r="M38" s="2"/>
      <c r="N38" s="112">
        <f>P19</f>
        <v>-473</v>
      </c>
      <c r="O38" s="112"/>
      <c r="P38" s="2"/>
      <c r="Q38" s="2"/>
      <c r="R38" s="113" t="s">
        <v>36</v>
      </c>
      <c r="S38" s="113"/>
      <c r="T38" s="2"/>
      <c r="U38" s="2"/>
      <c r="V38" s="59"/>
      <c r="W38" s="59"/>
      <c r="X38" s="114">
        <f>V19</f>
        <v>-237</v>
      </c>
      <c r="Y38" s="112"/>
    </row>
    <row r="39" spans="1:29" ht="15.75" thickBot="1">
      <c r="A39" s="161" t="s">
        <v>55</v>
      </c>
      <c r="B39" s="162"/>
      <c r="C39" s="2"/>
      <c r="D39" s="23">
        <f>SUM(D37:D38)</f>
        <v>3388</v>
      </c>
      <c r="E39" s="61"/>
      <c r="K39" s="2"/>
      <c r="L39" s="110" t="s">
        <v>34</v>
      </c>
      <c r="M39" s="2"/>
      <c r="N39" s="112">
        <f>R19</f>
        <v>41185</v>
      </c>
      <c r="O39" s="112"/>
      <c r="P39" s="2"/>
      <c r="Q39" s="2"/>
      <c r="R39" s="113" t="s">
        <v>37</v>
      </c>
      <c r="S39" s="113"/>
      <c r="T39" s="2"/>
      <c r="U39" s="2"/>
      <c r="V39" s="59"/>
      <c r="W39" s="59"/>
      <c r="X39" s="114">
        <f>X19</f>
        <v>-2695</v>
      </c>
      <c r="Y39" s="112"/>
    </row>
    <row r="40" spans="1:29" ht="15.75" thickBot="1">
      <c r="A40" s="117"/>
      <c r="B40" s="66"/>
      <c r="C40" s="118"/>
      <c r="D40" s="119"/>
      <c r="E40" s="2"/>
      <c r="K40" s="2"/>
      <c r="L40" s="90" t="s">
        <v>41</v>
      </c>
      <c r="M40" s="2"/>
      <c r="N40" s="115">
        <f>SUM(N37:N39)</f>
        <v>25954</v>
      </c>
      <c r="O40" s="112"/>
      <c r="P40" s="2"/>
      <c r="Q40" s="2"/>
      <c r="R40" s="113" t="s">
        <v>38</v>
      </c>
      <c r="S40" s="113"/>
      <c r="T40" s="2"/>
      <c r="U40" s="2"/>
      <c r="V40" s="59"/>
      <c r="W40" s="59"/>
      <c r="X40" s="114">
        <f>Z19</f>
        <v>11136</v>
      </c>
      <c r="Y40" s="112"/>
    </row>
    <row r="41" spans="1:29" ht="15.75" thickBot="1">
      <c r="C41" s="2"/>
      <c r="K41" s="2"/>
      <c r="L41" s="94" t="s">
        <v>40</v>
      </c>
      <c r="M41" s="2"/>
      <c r="N41" s="61">
        <v>1</v>
      </c>
      <c r="O41" s="61"/>
      <c r="P41" s="2"/>
      <c r="Q41" s="2"/>
      <c r="R41" s="113" t="s">
        <v>41</v>
      </c>
      <c r="S41" s="2"/>
      <c r="T41" s="2"/>
      <c r="U41" s="2"/>
      <c r="V41" s="2"/>
      <c r="W41" s="2"/>
      <c r="X41" s="116">
        <f>SUM(X37:X40)</f>
        <v>1707</v>
      </c>
      <c r="Y41" s="61"/>
    </row>
    <row r="42" spans="1:29" ht="16.5" thickBot="1">
      <c r="A42" s="174" t="s">
        <v>23</v>
      </c>
      <c r="K42" s="2"/>
      <c r="L42" s="194" t="s">
        <v>46</v>
      </c>
      <c r="M42" s="195"/>
      <c r="N42" s="19">
        <f>SUM(N40:N41)</f>
        <v>25955</v>
      </c>
      <c r="O42" s="61"/>
      <c r="P42" s="2"/>
      <c r="Q42" s="2"/>
      <c r="R42" s="95" t="s">
        <v>40</v>
      </c>
      <c r="S42" s="95"/>
      <c r="T42" s="2"/>
      <c r="U42" s="2"/>
      <c r="V42" s="2"/>
      <c r="W42" s="2"/>
      <c r="X42" s="79">
        <v>0</v>
      </c>
      <c r="Y42" s="61"/>
      <c r="AB42" s="7"/>
      <c r="AC42" s="7"/>
    </row>
    <row r="43" spans="1:29">
      <c r="K43" s="2"/>
      <c r="L43" s="62"/>
      <c r="M43" s="2"/>
      <c r="N43" s="2"/>
      <c r="O43" s="2"/>
      <c r="P43" s="2"/>
      <c r="Q43" s="2"/>
      <c r="R43" s="34" t="s">
        <v>50</v>
      </c>
      <c r="S43" s="34"/>
      <c r="T43" s="2"/>
      <c r="U43" s="2"/>
      <c r="V43" s="7"/>
      <c r="W43" s="7"/>
      <c r="X43" s="120">
        <f>SUM(X41:X42)</f>
        <v>1707</v>
      </c>
    </row>
    <row r="44" spans="1:29" ht="15.75" thickBot="1">
      <c r="K44" s="2"/>
      <c r="L44" s="117"/>
      <c r="M44" s="66"/>
      <c r="N44" s="66"/>
      <c r="O44" s="66"/>
      <c r="P44" s="66"/>
      <c r="Q44" s="66"/>
      <c r="R44" s="66"/>
      <c r="S44" s="66"/>
      <c r="T44" s="66"/>
      <c r="U44" s="66"/>
      <c r="V44" s="66"/>
      <c r="W44" s="66"/>
      <c r="X44" s="119"/>
    </row>
    <row r="45" spans="1:29">
      <c r="K45" s="2"/>
    </row>
    <row r="46" spans="1:29">
      <c r="K46" s="2"/>
    </row>
    <row r="47" spans="1:29">
      <c r="K47" s="2"/>
    </row>
    <row r="48" spans="1:29">
      <c r="K48" s="7"/>
    </row>
  </sheetData>
  <mergeCells count="22">
    <mergeCell ref="T8:U8"/>
    <mergeCell ref="X8:Y8"/>
    <mergeCell ref="Z8:AA8"/>
    <mergeCell ref="A29:B29"/>
    <mergeCell ref="A39:B39"/>
    <mergeCell ref="L32:M32"/>
    <mergeCell ref="L42:M42"/>
    <mergeCell ref="A31:B31"/>
    <mergeCell ref="L4:AB4"/>
    <mergeCell ref="L5:AB5"/>
    <mergeCell ref="A5:J5"/>
    <mergeCell ref="A6:J6"/>
    <mergeCell ref="L24:AB24"/>
    <mergeCell ref="H8:I8"/>
    <mergeCell ref="F8:G8"/>
    <mergeCell ref="D8:E8"/>
    <mergeCell ref="N8:O8"/>
    <mergeCell ref="P8:Q8"/>
    <mergeCell ref="R8:S8"/>
    <mergeCell ref="N7:S7"/>
    <mergeCell ref="T7:AA7"/>
    <mergeCell ref="V8:W8"/>
  </mergeCells>
  <pageMargins left="0.46" right="0.4" top="0.75" bottom="0.56000000000000005" header="0.3" footer="0.3"/>
  <pageSetup scale="62" fitToWidth="2" orientation="portrait" r:id="rId1"/>
  <headerFooter scaleWithDoc="0">
    <oddFooter>&amp;LBench_DR_15 Attachment A&amp;C EOP&amp;R&amp;P of &amp;N</oddFooter>
  </headerFooter>
  <colBreaks count="1" manualBreakCount="1">
    <brk id="11" max="43" man="1"/>
  </colBreaks>
</worksheet>
</file>

<file path=xl/worksheets/sheet3.xml><?xml version="1.0" encoding="utf-8"?>
<worksheet xmlns="http://schemas.openxmlformats.org/spreadsheetml/2006/main" xmlns:r="http://schemas.openxmlformats.org/officeDocument/2006/relationships">
  <dimension ref="A1"/>
  <sheetViews>
    <sheetView workbookViewId="0">
      <selection activeCell="B43" sqref="B43"/>
    </sheetView>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97FA5D4F63E4AB4AAE35AF92A0E8AE17" ma:contentTypeVersion="111" ma:contentTypeDescription="" ma:contentTypeScope="" ma:versionID="e623614d205c7b3f04bc02ea417165d3">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Response</DocumentSetType>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2015-02-09T08:00:00+00:00</OpenedDate>
    <Date1 xmlns="dc463f71-b30c-4ab2-9473-d307f9d35888">2015-10-26T07:00:00+00:00</Date1>
    <IsDocumentOrder xmlns="dc463f71-b30c-4ab2-9473-d307f9d35888" xsi:nil="true"/>
    <IsHighlyConfidential xmlns="dc463f71-b30c-4ab2-9473-d307f9d35888">false</IsHighlyConfidential>
    <CaseCompanyNames xmlns="dc463f71-b30c-4ab2-9473-d307f9d35888">Avista Corporation</CaseCompanyNames>
    <DocketNumber xmlns="dc463f71-b30c-4ab2-9473-d307f9d35888">150204</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Props1.xml><?xml version="1.0" encoding="utf-8"?>
<ds:datastoreItem xmlns:ds="http://schemas.openxmlformats.org/officeDocument/2006/customXml" ds:itemID="{A265B96B-3517-45F5-96BE-87931DF175A0}"/>
</file>

<file path=customXml/itemProps2.xml><?xml version="1.0" encoding="utf-8"?>
<ds:datastoreItem xmlns:ds="http://schemas.openxmlformats.org/officeDocument/2006/customXml" ds:itemID="{AD37EA08-0321-4098-86B0-078A2F776345}"/>
</file>

<file path=customXml/itemProps3.xml><?xml version="1.0" encoding="utf-8"?>
<ds:datastoreItem xmlns:ds="http://schemas.openxmlformats.org/officeDocument/2006/customXml" ds:itemID="{88CDE514-4800-411E-8D0A-A6BFB2584285}"/>
</file>

<file path=customXml/itemProps4.xml><?xml version="1.0" encoding="utf-8"?>
<ds:datastoreItem xmlns:ds="http://schemas.openxmlformats.org/officeDocument/2006/customXml" ds:itemID="{56C25341-4FF1-4129-9643-070966A5FAE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Attachment A - Elec</vt:lpstr>
      <vt:lpstr>Attachment A -Gas</vt:lpstr>
      <vt:lpstr>Sheet2</vt:lpstr>
      <vt:lpstr>Sheet3</vt:lpstr>
      <vt:lpstr>'Attachment A - Elec'!Print_Area</vt:lpstr>
      <vt:lpstr>'Attachment A -Gas'!Print_Area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dc:creator>
  <cp:lastModifiedBy>Liz Andrews</cp:lastModifiedBy>
  <cp:lastPrinted>2015-10-26T20:37:20Z</cp:lastPrinted>
  <dcterms:created xsi:type="dcterms:W3CDTF">2010-03-18T19:22:34Z</dcterms:created>
  <dcterms:modified xsi:type="dcterms:W3CDTF">2015-10-26T20:37:20Z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0x0101006E56B4D1795A2E4DB2F0B01679ED314A0097FA5D4F63E4AB4AAE35AF92A0E8AE17</vt:lpwstr>
  </property>
  <property fmtid="{D5CDD505-2E9C-101B-9397-08002B2CF9AE}" pid="3" name="_docset_NoMedatataSyncRequired">
    <vt:lpwstr>False</vt:lpwstr>
  </property>
</Properties>
</file>