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Tax Reform\Workpapers\Models\WA Tax Adjusted Models\Incremental Adjustment Models\1-YR\"/>
    </mc:Choice>
  </mc:AlternateContent>
  <bookViews>
    <workbookView xWindow="0" yWindow="0" windowWidth="28800" windowHeight="12420"/>
  </bookViews>
  <sheets>
    <sheet name="Plant" sheetId="1" r:id="rId1"/>
    <sheet name="2018 Impact Plant" sheetId="3" r:id="rId2"/>
    <sheet name="2019 Impact Plant" sheetId="5" r:id="rId3"/>
    <sheet name="2020 Impact Plant" sheetId="6" r:id="rId4"/>
    <sheet name="2021 Impact Plant" sheetId="7" r:id="rId5"/>
    <sheet name="Allocation Factors" sheetId="4" r:id="rId6"/>
    <sheet name="Non-Plant (WA 1YR)" sheetId="8" r:id="rId7"/>
    <sheet name="Non-Plant (WA 3YR) -not used" sheetId="2" r:id="rId8"/>
  </sheets>
  <definedNames>
    <definedName name="_xlnm.Print_Area" localSheetId="6">'Non-Plant (WA 1YR)'!$C$1:$F$61</definedName>
    <definedName name="_xlnm.Print_Area" localSheetId="7">'Non-Plant (WA 3YR) -not used'!$C$1:$F$61</definedName>
    <definedName name="_xlnm.Print_Area" localSheetId="0">Plant!$C$1:$F$61</definedName>
    <definedName name="_xlnm.Print_Titles" localSheetId="1">'2018 Impact Plant'!$1:$2</definedName>
    <definedName name="_xlnm.Print_Titles" localSheetId="2">'2019 Impact Plant'!$1:$2</definedName>
    <definedName name="_xlnm.Print_Titles" localSheetId="3">'2020 Impact Plant'!$1:$2</definedName>
    <definedName name="_xlnm.Print_Titles" localSheetId="4">'2021 Impact Plant'!$1:$2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8" l="1"/>
  <c r="F12" i="8"/>
  <c r="F11" i="8"/>
  <c r="F10" i="8"/>
  <c r="E6" i="8"/>
  <c r="E14" i="8" s="1"/>
  <c r="D6" i="8"/>
  <c r="D14" i="8" s="1"/>
  <c r="D15" i="8" s="1"/>
  <c r="F2" i="8"/>
  <c r="E6" i="2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D6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E15" i="8" l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F14" i="8"/>
  <c r="D16" i="8"/>
  <c r="E6" i="1"/>
  <c r="D6" i="1"/>
  <c r="E5" i="1"/>
  <c r="D5" i="1"/>
  <c r="E4" i="1"/>
  <c r="D4" i="1"/>
  <c r="E3" i="1"/>
  <c r="D3" i="1"/>
  <c r="E26" i="8" l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F15" i="8"/>
  <c r="D17" i="8"/>
  <c r="F16" i="8"/>
  <c r="E21" i="7"/>
  <c r="E20" i="7"/>
  <c r="E19" i="7"/>
  <c r="E18" i="7"/>
  <c r="E17" i="7"/>
  <c r="E13" i="7"/>
  <c r="F13" i="7" s="1"/>
  <c r="E12" i="7"/>
  <c r="E11" i="7"/>
  <c r="K11" i="7" s="1"/>
  <c r="E10" i="7"/>
  <c r="E3" i="7"/>
  <c r="D3" i="7"/>
  <c r="P63" i="7"/>
  <c r="O62" i="7"/>
  <c r="I62" i="7"/>
  <c r="C62" i="7"/>
  <c r="O56" i="7"/>
  <c r="I56" i="7"/>
  <c r="C56" i="7"/>
  <c r="O55" i="7"/>
  <c r="I55" i="7"/>
  <c r="C55" i="7"/>
  <c r="J54" i="7"/>
  <c r="O53" i="7"/>
  <c r="I53" i="7"/>
  <c r="C53" i="7"/>
  <c r="O49" i="7"/>
  <c r="I49" i="7"/>
  <c r="C49" i="7"/>
  <c r="O48" i="7"/>
  <c r="I48" i="7"/>
  <c r="C48" i="7"/>
  <c r="J47" i="7"/>
  <c r="O46" i="7"/>
  <c r="I46" i="7"/>
  <c r="C46" i="7"/>
  <c r="O42" i="7"/>
  <c r="I42" i="7"/>
  <c r="C42" i="7"/>
  <c r="O41" i="7"/>
  <c r="I41" i="7"/>
  <c r="J41" i="7" s="1"/>
  <c r="C41" i="7"/>
  <c r="O38" i="7"/>
  <c r="I38" i="7"/>
  <c r="C38" i="7"/>
  <c r="O35" i="7"/>
  <c r="I35" i="7"/>
  <c r="C35" i="7"/>
  <c r="O34" i="7"/>
  <c r="I34" i="7"/>
  <c r="C34" i="7"/>
  <c r="O31" i="7"/>
  <c r="I31" i="7"/>
  <c r="C31" i="7"/>
  <c r="J28" i="7"/>
  <c r="D28" i="7"/>
  <c r="D56" i="7" s="1"/>
  <c r="J27" i="7"/>
  <c r="D27" i="7"/>
  <c r="D26" i="7"/>
  <c r="D61" i="7" s="1"/>
  <c r="P25" i="7"/>
  <c r="J25" i="7"/>
  <c r="D25" i="7"/>
  <c r="D39" i="7" s="1"/>
  <c r="J24" i="7"/>
  <c r="J22" i="7"/>
  <c r="D22" i="7"/>
  <c r="P21" i="7"/>
  <c r="J21" i="7"/>
  <c r="P20" i="7"/>
  <c r="J20" i="7"/>
  <c r="K20" i="7"/>
  <c r="L20" i="7" s="1"/>
  <c r="P19" i="7"/>
  <c r="J19" i="7"/>
  <c r="P18" i="7"/>
  <c r="J18" i="7"/>
  <c r="P17" i="7"/>
  <c r="P22" i="7" s="1"/>
  <c r="J17" i="7"/>
  <c r="D15" i="7"/>
  <c r="Q14" i="7"/>
  <c r="P14" i="7"/>
  <c r="P28" i="7" s="1"/>
  <c r="L14" i="7"/>
  <c r="K14" i="7"/>
  <c r="J14" i="7"/>
  <c r="F14" i="7"/>
  <c r="P13" i="7"/>
  <c r="P27" i="7" s="1"/>
  <c r="K13" i="7"/>
  <c r="L13" i="7" s="1"/>
  <c r="J13" i="7"/>
  <c r="P12" i="7"/>
  <c r="P26" i="7" s="1"/>
  <c r="J12" i="7"/>
  <c r="J26" i="7" s="1"/>
  <c r="Q12" i="7"/>
  <c r="P11" i="7"/>
  <c r="J11" i="7"/>
  <c r="Q11" i="7"/>
  <c r="P10" i="7"/>
  <c r="K10" i="7"/>
  <c r="J10" i="7"/>
  <c r="J15" i="7" s="1"/>
  <c r="Q10" i="7"/>
  <c r="R10" i="7" s="1"/>
  <c r="R8" i="7"/>
  <c r="Q8" i="7"/>
  <c r="P8" i="7"/>
  <c r="L8" i="7"/>
  <c r="K8" i="7"/>
  <c r="J8" i="7"/>
  <c r="D8" i="7"/>
  <c r="F7" i="7"/>
  <c r="F6" i="7"/>
  <c r="F5" i="7"/>
  <c r="F4" i="7"/>
  <c r="D24" i="7"/>
  <c r="E21" i="6"/>
  <c r="K21" i="6" s="1"/>
  <c r="L21" i="6" s="1"/>
  <c r="E20" i="6"/>
  <c r="E19" i="6"/>
  <c r="E18" i="6"/>
  <c r="E17" i="6"/>
  <c r="E13" i="6"/>
  <c r="E12" i="6"/>
  <c r="E11" i="6"/>
  <c r="E10" i="6"/>
  <c r="Q10" i="6" s="1"/>
  <c r="E3" i="6"/>
  <c r="D3" i="6"/>
  <c r="F3" i="6" s="1"/>
  <c r="D3" i="5"/>
  <c r="D8" i="5" s="1"/>
  <c r="O62" i="6"/>
  <c r="I62" i="6"/>
  <c r="C62" i="6"/>
  <c r="O56" i="6"/>
  <c r="I56" i="6"/>
  <c r="C56" i="6"/>
  <c r="O55" i="6"/>
  <c r="I55" i="6"/>
  <c r="C55" i="6"/>
  <c r="O53" i="6"/>
  <c r="I53" i="6"/>
  <c r="C53" i="6"/>
  <c r="O49" i="6"/>
  <c r="I49" i="6"/>
  <c r="C49" i="6"/>
  <c r="O48" i="6"/>
  <c r="I48" i="6"/>
  <c r="C48" i="6"/>
  <c r="O46" i="6"/>
  <c r="I46" i="6"/>
  <c r="C46" i="6"/>
  <c r="O42" i="6"/>
  <c r="I42" i="6"/>
  <c r="C42" i="6"/>
  <c r="O41" i="6"/>
  <c r="I41" i="6"/>
  <c r="C41" i="6"/>
  <c r="O38" i="6"/>
  <c r="I38" i="6"/>
  <c r="C38" i="6"/>
  <c r="O35" i="6"/>
  <c r="I35" i="6"/>
  <c r="C35" i="6"/>
  <c r="O34" i="6"/>
  <c r="I34" i="6"/>
  <c r="C34" i="6"/>
  <c r="O31" i="6"/>
  <c r="I31" i="6"/>
  <c r="C31" i="6"/>
  <c r="D28" i="6"/>
  <c r="D27" i="6"/>
  <c r="D26" i="6"/>
  <c r="D25" i="6"/>
  <c r="D22" i="6"/>
  <c r="P21" i="6"/>
  <c r="J21" i="6"/>
  <c r="P20" i="6"/>
  <c r="J20" i="6"/>
  <c r="P19" i="6"/>
  <c r="J19" i="6"/>
  <c r="P18" i="6"/>
  <c r="J18" i="6"/>
  <c r="P17" i="6"/>
  <c r="P22" i="6" s="1"/>
  <c r="J17" i="6"/>
  <c r="J22" i="6" s="1"/>
  <c r="D15" i="6"/>
  <c r="R14" i="6"/>
  <c r="Q14" i="6"/>
  <c r="P14" i="6"/>
  <c r="P28" i="6" s="1"/>
  <c r="K14" i="6"/>
  <c r="L14" i="6" s="1"/>
  <c r="J14" i="6"/>
  <c r="J28" i="6" s="1"/>
  <c r="F14" i="6"/>
  <c r="Q13" i="6"/>
  <c r="P13" i="6"/>
  <c r="P27" i="6" s="1"/>
  <c r="J13" i="6"/>
  <c r="J27" i="6" s="1"/>
  <c r="Q12" i="6"/>
  <c r="R12" i="6" s="1"/>
  <c r="P12" i="6"/>
  <c r="P26" i="6" s="1"/>
  <c r="J12" i="6"/>
  <c r="J26" i="6" s="1"/>
  <c r="P11" i="6"/>
  <c r="P25" i="6" s="1"/>
  <c r="J11" i="6"/>
  <c r="J25" i="6" s="1"/>
  <c r="P10" i="6"/>
  <c r="P24" i="6" s="1"/>
  <c r="J10" i="6"/>
  <c r="J24" i="6" s="1"/>
  <c r="R8" i="6"/>
  <c r="Q8" i="6"/>
  <c r="P8" i="6"/>
  <c r="L8" i="6"/>
  <c r="K8" i="6"/>
  <c r="J8" i="6"/>
  <c r="E8" i="6"/>
  <c r="F7" i="6"/>
  <c r="F6" i="6"/>
  <c r="F5" i="6"/>
  <c r="F4" i="6"/>
  <c r="E24" i="6"/>
  <c r="D8" i="6"/>
  <c r="E21" i="5"/>
  <c r="E20" i="5"/>
  <c r="E19" i="5"/>
  <c r="E18" i="5"/>
  <c r="E17" i="5"/>
  <c r="E13" i="5"/>
  <c r="E12" i="5"/>
  <c r="K12" i="5" s="1"/>
  <c r="E11" i="5"/>
  <c r="E10" i="5"/>
  <c r="K17" i="5" s="1"/>
  <c r="L17" i="5" s="1"/>
  <c r="Q14" i="5"/>
  <c r="E3" i="5"/>
  <c r="E8" i="5" s="1"/>
  <c r="O62" i="5"/>
  <c r="I62" i="5"/>
  <c r="C62" i="5"/>
  <c r="O56" i="5"/>
  <c r="I56" i="5"/>
  <c r="C56" i="5"/>
  <c r="O55" i="5"/>
  <c r="I55" i="5"/>
  <c r="C55" i="5"/>
  <c r="D54" i="5"/>
  <c r="O53" i="5"/>
  <c r="I53" i="5"/>
  <c r="C53" i="5"/>
  <c r="P49" i="5"/>
  <c r="O49" i="5"/>
  <c r="I49" i="5"/>
  <c r="C49" i="5"/>
  <c r="O48" i="5"/>
  <c r="I48" i="5"/>
  <c r="D48" i="5"/>
  <c r="C48" i="5"/>
  <c r="D47" i="5"/>
  <c r="O46" i="5"/>
  <c r="I46" i="5"/>
  <c r="C46" i="5"/>
  <c r="O42" i="5"/>
  <c r="I42" i="5"/>
  <c r="C42" i="5"/>
  <c r="O41" i="5"/>
  <c r="I41" i="5"/>
  <c r="C41" i="5"/>
  <c r="O38" i="5"/>
  <c r="I38" i="5"/>
  <c r="C38" i="5"/>
  <c r="O35" i="5"/>
  <c r="I35" i="5"/>
  <c r="C35" i="5"/>
  <c r="O34" i="5"/>
  <c r="I34" i="5"/>
  <c r="C34" i="5"/>
  <c r="D33" i="5"/>
  <c r="O31" i="5"/>
  <c r="I31" i="5"/>
  <c r="C31" i="5"/>
  <c r="D28" i="5"/>
  <c r="D27" i="5"/>
  <c r="J26" i="5"/>
  <c r="D26" i="5"/>
  <c r="D40" i="5" s="1"/>
  <c r="D25" i="5"/>
  <c r="D60" i="5" s="1"/>
  <c r="J24" i="5"/>
  <c r="D24" i="5"/>
  <c r="D52" i="5" s="1"/>
  <c r="D22" i="5"/>
  <c r="P21" i="5"/>
  <c r="J21" i="5"/>
  <c r="P20" i="5"/>
  <c r="J20" i="5"/>
  <c r="K20" i="5"/>
  <c r="P19" i="5"/>
  <c r="J19" i="5"/>
  <c r="P18" i="5"/>
  <c r="J18" i="5"/>
  <c r="P17" i="5"/>
  <c r="P22" i="5" s="1"/>
  <c r="J17" i="5"/>
  <c r="D15" i="5"/>
  <c r="P14" i="5"/>
  <c r="P28" i="5" s="1"/>
  <c r="K14" i="5"/>
  <c r="J14" i="5"/>
  <c r="J28" i="5" s="1"/>
  <c r="K21" i="5"/>
  <c r="Q13" i="5"/>
  <c r="P13" i="5"/>
  <c r="P27" i="5" s="1"/>
  <c r="K13" i="5"/>
  <c r="J13" i="5"/>
  <c r="J27" i="5" s="1"/>
  <c r="F13" i="5"/>
  <c r="Q12" i="5"/>
  <c r="R12" i="5" s="1"/>
  <c r="P12" i="5"/>
  <c r="P26" i="5" s="1"/>
  <c r="J12" i="5"/>
  <c r="F12" i="5"/>
  <c r="P11" i="5"/>
  <c r="P25" i="5" s="1"/>
  <c r="K11" i="5"/>
  <c r="J11" i="5"/>
  <c r="J25" i="5" s="1"/>
  <c r="P10" i="5"/>
  <c r="K10" i="5"/>
  <c r="J10" i="5"/>
  <c r="J15" i="5" s="1"/>
  <c r="R8" i="5"/>
  <c r="Q8" i="5"/>
  <c r="P8" i="5"/>
  <c r="L8" i="5"/>
  <c r="K8" i="5"/>
  <c r="J8" i="5"/>
  <c r="F7" i="5"/>
  <c r="F6" i="5"/>
  <c r="F5" i="5"/>
  <c r="F4" i="5"/>
  <c r="E59" i="8" l="1"/>
  <c r="F17" i="8"/>
  <c r="D18" i="8"/>
  <c r="E60" i="8"/>
  <c r="L27" i="7"/>
  <c r="D63" i="7"/>
  <c r="D35" i="7"/>
  <c r="D60" i="7"/>
  <c r="F3" i="7"/>
  <c r="P62" i="7"/>
  <c r="P55" i="7"/>
  <c r="P48" i="7"/>
  <c r="E28" i="7"/>
  <c r="Q21" i="7"/>
  <c r="F21" i="7"/>
  <c r="F28" i="7" s="1"/>
  <c r="J52" i="7"/>
  <c r="J38" i="7"/>
  <c r="J31" i="7"/>
  <c r="P46" i="7"/>
  <c r="P60" i="7"/>
  <c r="K27" i="7"/>
  <c r="J29" i="7"/>
  <c r="P34" i="7"/>
  <c r="P69" i="7" s="1"/>
  <c r="P41" i="7"/>
  <c r="L11" i="7"/>
  <c r="F12" i="7"/>
  <c r="P61" i="7"/>
  <c r="P54" i="7"/>
  <c r="P40" i="7"/>
  <c r="P47" i="7"/>
  <c r="E15" i="7"/>
  <c r="P15" i="7"/>
  <c r="P24" i="7"/>
  <c r="D40" i="7"/>
  <c r="D54" i="7"/>
  <c r="D33" i="7"/>
  <c r="D68" i="7" s="1"/>
  <c r="D47" i="7"/>
  <c r="J56" i="7"/>
  <c r="J35" i="7"/>
  <c r="J63" i="7"/>
  <c r="J49" i="7"/>
  <c r="J42" i="7"/>
  <c r="E8" i="7"/>
  <c r="L10" i="7"/>
  <c r="F11" i="7"/>
  <c r="J33" i="7"/>
  <c r="J68" i="7" s="1"/>
  <c r="J61" i="7"/>
  <c r="R12" i="7"/>
  <c r="P56" i="7"/>
  <c r="P49" i="7"/>
  <c r="P35" i="7"/>
  <c r="Q20" i="7"/>
  <c r="R20" i="7" s="1"/>
  <c r="F20" i="7"/>
  <c r="K21" i="7"/>
  <c r="E26" i="7"/>
  <c r="D62" i="7"/>
  <c r="D55" i="7"/>
  <c r="D34" i="7"/>
  <c r="D48" i="7"/>
  <c r="D41" i="7"/>
  <c r="P33" i="7"/>
  <c r="J40" i="7"/>
  <c r="P42" i="7"/>
  <c r="P53" i="7"/>
  <c r="D59" i="7"/>
  <c r="D64" i="7" s="1"/>
  <c r="D38" i="7"/>
  <c r="D52" i="7"/>
  <c r="D45" i="7"/>
  <c r="D31" i="7"/>
  <c r="D29" i="7"/>
  <c r="F27" i="7"/>
  <c r="F10" i="7"/>
  <c r="R11" i="7"/>
  <c r="K12" i="7"/>
  <c r="Q13" i="7"/>
  <c r="E27" i="7"/>
  <c r="R14" i="7"/>
  <c r="K15" i="7"/>
  <c r="J62" i="7"/>
  <c r="J55" i="7"/>
  <c r="J48" i="7"/>
  <c r="J34" i="7"/>
  <c r="J69" i="7" s="1"/>
  <c r="P32" i="7"/>
  <c r="P39" i="7"/>
  <c r="J45" i="7"/>
  <c r="J50" i="7" s="1"/>
  <c r="J59" i="7"/>
  <c r="J64" i="7" s="1"/>
  <c r="J60" i="7"/>
  <c r="J46" i="7"/>
  <c r="J39" i="7"/>
  <c r="D49" i="7"/>
  <c r="D70" i="7" s="1"/>
  <c r="J53" i="7"/>
  <c r="D46" i="7"/>
  <c r="D32" i="7"/>
  <c r="J32" i="7"/>
  <c r="J67" i="7" s="1"/>
  <c r="D42" i="7"/>
  <c r="D53" i="7"/>
  <c r="L28" i="6"/>
  <c r="Q11" i="6"/>
  <c r="R11" i="6" s="1"/>
  <c r="D53" i="5"/>
  <c r="P59" i="6"/>
  <c r="P31" i="6"/>
  <c r="P45" i="6"/>
  <c r="P38" i="6"/>
  <c r="P52" i="6"/>
  <c r="P29" i="6"/>
  <c r="P32" i="6"/>
  <c r="P39" i="6"/>
  <c r="P46" i="6"/>
  <c r="P60" i="6"/>
  <c r="P53" i="6"/>
  <c r="P40" i="6"/>
  <c r="P47" i="6"/>
  <c r="P61" i="6"/>
  <c r="P54" i="6"/>
  <c r="P33" i="6"/>
  <c r="P68" i="6" s="1"/>
  <c r="P41" i="6"/>
  <c r="P48" i="6"/>
  <c r="P62" i="6"/>
  <c r="P55" i="6"/>
  <c r="P34" i="6"/>
  <c r="E52" i="6"/>
  <c r="E31" i="6"/>
  <c r="E59" i="6"/>
  <c r="E38" i="6"/>
  <c r="E45" i="6"/>
  <c r="P42" i="6"/>
  <c r="P63" i="6"/>
  <c r="P49" i="6"/>
  <c r="P56" i="6"/>
  <c r="P35" i="6"/>
  <c r="P70" i="6" s="1"/>
  <c r="K17" i="6"/>
  <c r="Q17" i="6"/>
  <c r="F17" i="6"/>
  <c r="K18" i="6"/>
  <c r="L18" i="6" s="1"/>
  <c r="Q18" i="6"/>
  <c r="R18" i="6" s="1"/>
  <c r="R25" i="6" s="1"/>
  <c r="F18" i="6"/>
  <c r="K20" i="6"/>
  <c r="L20" i="6" s="1"/>
  <c r="Q20" i="6"/>
  <c r="R20" i="6" s="1"/>
  <c r="F20" i="6"/>
  <c r="J29" i="6"/>
  <c r="J45" i="6"/>
  <c r="J31" i="6"/>
  <c r="J52" i="6"/>
  <c r="J38" i="6"/>
  <c r="J59" i="6"/>
  <c r="J39" i="6"/>
  <c r="J60" i="6"/>
  <c r="J46" i="6"/>
  <c r="J53" i="6"/>
  <c r="J32" i="6"/>
  <c r="J47" i="6"/>
  <c r="J61" i="6"/>
  <c r="J54" i="6"/>
  <c r="J33" i="6"/>
  <c r="J40" i="6"/>
  <c r="J41" i="6"/>
  <c r="J48" i="6"/>
  <c r="J62" i="6"/>
  <c r="J55" i="6"/>
  <c r="J34" i="6"/>
  <c r="J63" i="6"/>
  <c r="J42" i="6"/>
  <c r="J49" i="6"/>
  <c r="J56" i="6"/>
  <c r="J35" i="6"/>
  <c r="J70" i="6" s="1"/>
  <c r="F8" i="6"/>
  <c r="F10" i="6"/>
  <c r="F11" i="6"/>
  <c r="F25" i="6" s="1"/>
  <c r="F12" i="6"/>
  <c r="F13" i="6"/>
  <c r="P15" i="6"/>
  <c r="F21" i="6"/>
  <c r="F28" i="6" s="1"/>
  <c r="D24" i="6"/>
  <c r="E27" i="6"/>
  <c r="D42" i="6"/>
  <c r="D49" i="6"/>
  <c r="D56" i="6"/>
  <c r="D63" i="6"/>
  <c r="D35" i="6"/>
  <c r="K28" i="6"/>
  <c r="J15" i="6"/>
  <c r="Q15" i="6"/>
  <c r="Q21" i="6"/>
  <c r="R21" i="6" s="1"/>
  <c r="R28" i="6" s="1"/>
  <c r="D60" i="6"/>
  <c r="D46" i="6"/>
  <c r="D32" i="6"/>
  <c r="D53" i="6"/>
  <c r="D39" i="6"/>
  <c r="E28" i="6"/>
  <c r="K10" i="6"/>
  <c r="R10" i="6"/>
  <c r="K11" i="6"/>
  <c r="K12" i="6"/>
  <c r="K13" i="6"/>
  <c r="R13" i="6"/>
  <c r="R27" i="6" s="1"/>
  <c r="E25" i="6"/>
  <c r="D61" i="6"/>
  <c r="D54" i="6"/>
  <c r="D33" i="6"/>
  <c r="D40" i="6"/>
  <c r="D47" i="6"/>
  <c r="E15" i="6"/>
  <c r="D41" i="6"/>
  <c r="D48" i="6"/>
  <c r="D62" i="6"/>
  <c r="D55" i="6"/>
  <c r="D34" i="6"/>
  <c r="K27" i="5"/>
  <c r="K41" i="5" s="1"/>
  <c r="Q21" i="5"/>
  <c r="R21" i="5" s="1"/>
  <c r="E28" i="5"/>
  <c r="E49" i="5" s="1"/>
  <c r="L20" i="5"/>
  <c r="E27" i="5"/>
  <c r="E34" i="5" s="1"/>
  <c r="K18" i="5"/>
  <c r="L18" i="5" s="1"/>
  <c r="Q18" i="5"/>
  <c r="R18" i="5" s="1"/>
  <c r="F18" i="5"/>
  <c r="F25" i="5" s="1"/>
  <c r="F11" i="5"/>
  <c r="Q11" i="5"/>
  <c r="R11" i="5" s="1"/>
  <c r="F21" i="5"/>
  <c r="F14" i="5"/>
  <c r="F28" i="5" s="1"/>
  <c r="L21" i="5"/>
  <c r="E15" i="5"/>
  <c r="F10" i="5"/>
  <c r="Q10" i="5"/>
  <c r="R10" i="5" s="1"/>
  <c r="D68" i="5"/>
  <c r="P62" i="5"/>
  <c r="P55" i="5"/>
  <c r="P41" i="5"/>
  <c r="P48" i="5"/>
  <c r="P34" i="5"/>
  <c r="J56" i="5"/>
  <c r="J63" i="5"/>
  <c r="J49" i="5"/>
  <c r="J35" i="5"/>
  <c r="J42" i="5"/>
  <c r="J60" i="5"/>
  <c r="J46" i="5"/>
  <c r="J39" i="5"/>
  <c r="J32" i="5"/>
  <c r="J53" i="5"/>
  <c r="L12" i="5"/>
  <c r="J52" i="5"/>
  <c r="J38" i="5"/>
  <c r="J45" i="5"/>
  <c r="J29" i="5"/>
  <c r="J59" i="5"/>
  <c r="J31" i="5"/>
  <c r="J33" i="5"/>
  <c r="J47" i="5"/>
  <c r="J40" i="5"/>
  <c r="E55" i="5"/>
  <c r="E48" i="5"/>
  <c r="F48" i="5" s="1"/>
  <c r="D56" i="5"/>
  <c r="D63" i="5"/>
  <c r="D35" i="5"/>
  <c r="D49" i="5"/>
  <c r="F49" i="5" s="1"/>
  <c r="D42" i="5"/>
  <c r="L11" i="5"/>
  <c r="P61" i="5"/>
  <c r="P54" i="5"/>
  <c r="P33" i="5"/>
  <c r="P47" i="5"/>
  <c r="R14" i="5"/>
  <c r="K34" i="5"/>
  <c r="E35" i="5"/>
  <c r="E42" i="5"/>
  <c r="D29" i="5"/>
  <c r="J54" i="5"/>
  <c r="F3" i="5"/>
  <c r="K24" i="5"/>
  <c r="K15" i="5"/>
  <c r="L10" i="5"/>
  <c r="P46" i="5"/>
  <c r="P39" i="5"/>
  <c r="P53" i="5"/>
  <c r="P32" i="5"/>
  <c r="P60" i="5"/>
  <c r="J62" i="5"/>
  <c r="J55" i="5"/>
  <c r="R13" i="5"/>
  <c r="K28" i="5"/>
  <c r="L14" i="5"/>
  <c r="F17" i="5"/>
  <c r="Q17" i="5"/>
  <c r="D59" i="5"/>
  <c r="D64" i="5" s="1"/>
  <c r="D38" i="5"/>
  <c r="D45" i="5"/>
  <c r="D31" i="5"/>
  <c r="J34" i="5"/>
  <c r="J69" i="5" s="1"/>
  <c r="J48" i="5"/>
  <c r="P24" i="5"/>
  <c r="L13" i="5"/>
  <c r="L27" i="5" s="1"/>
  <c r="P56" i="5"/>
  <c r="P63" i="5"/>
  <c r="P35" i="5"/>
  <c r="P15" i="5"/>
  <c r="J22" i="5"/>
  <c r="F20" i="5"/>
  <c r="F27" i="5" s="1"/>
  <c r="Q20" i="5"/>
  <c r="R20" i="5" s="1"/>
  <c r="E24" i="5"/>
  <c r="K25" i="5"/>
  <c r="D62" i="5"/>
  <c r="D55" i="5"/>
  <c r="D41" i="5"/>
  <c r="D34" i="5"/>
  <c r="P40" i="5"/>
  <c r="J41" i="5"/>
  <c r="P42" i="5"/>
  <c r="J61" i="5"/>
  <c r="K62" i="5"/>
  <c r="L62" i="5" s="1"/>
  <c r="E25" i="5"/>
  <c r="E22" i="5"/>
  <c r="D46" i="5"/>
  <c r="D32" i="5"/>
  <c r="D39" i="5"/>
  <c r="D61" i="5"/>
  <c r="Q17" i="3"/>
  <c r="Q18" i="3"/>
  <c r="Q19" i="3"/>
  <c r="Q20" i="3"/>
  <c r="Q21" i="3"/>
  <c r="P18" i="3"/>
  <c r="P19" i="3"/>
  <c r="P20" i="3"/>
  <c r="P21" i="3"/>
  <c r="P17" i="3"/>
  <c r="K17" i="3"/>
  <c r="K18" i="3"/>
  <c r="K19" i="3"/>
  <c r="K20" i="3"/>
  <c r="K21" i="3"/>
  <c r="J18" i="3"/>
  <c r="J19" i="3"/>
  <c r="J20" i="3"/>
  <c r="J21" i="3"/>
  <c r="J17" i="3"/>
  <c r="K10" i="3"/>
  <c r="K11" i="3"/>
  <c r="K12" i="3"/>
  <c r="K13" i="3"/>
  <c r="K14" i="3"/>
  <c r="J11" i="3"/>
  <c r="J12" i="3"/>
  <c r="J13" i="3"/>
  <c r="J14" i="3"/>
  <c r="J10" i="3"/>
  <c r="E20" i="3"/>
  <c r="E19" i="3"/>
  <c r="E18" i="3"/>
  <c r="E17" i="3"/>
  <c r="E11" i="3"/>
  <c r="E12" i="3"/>
  <c r="E13" i="3"/>
  <c r="E14" i="3"/>
  <c r="E10" i="3"/>
  <c r="E3" i="3"/>
  <c r="D3" i="3"/>
  <c r="F18" i="8" l="1"/>
  <c r="D19" i="8"/>
  <c r="E61" i="8"/>
  <c r="D43" i="7"/>
  <c r="D57" i="7"/>
  <c r="D67" i="7"/>
  <c r="Q17" i="7"/>
  <c r="E22" i="7"/>
  <c r="K17" i="7"/>
  <c r="F17" i="7"/>
  <c r="Q27" i="7"/>
  <c r="R13" i="7"/>
  <c r="R27" i="7" s="1"/>
  <c r="E47" i="7"/>
  <c r="F47" i="7" s="1"/>
  <c r="E40" i="7"/>
  <c r="F40" i="7" s="1"/>
  <c r="E54" i="7"/>
  <c r="F54" i="7" s="1"/>
  <c r="E61" i="7"/>
  <c r="F61" i="7" s="1"/>
  <c r="E33" i="7"/>
  <c r="K26" i="7"/>
  <c r="L12" i="7"/>
  <c r="L15" i="7" s="1"/>
  <c r="D69" i="7"/>
  <c r="Q18" i="7"/>
  <c r="F18" i="7"/>
  <c r="F25" i="7" s="1"/>
  <c r="E25" i="7"/>
  <c r="K18" i="7"/>
  <c r="J70" i="7"/>
  <c r="J66" i="7"/>
  <c r="J71" i="7" s="1"/>
  <c r="J36" i="7"/>
  <c r="Q28" i="7"/>
  <c r="R21" i="7"/>
  <c r="R28" i="7" s="1"/>
  <c r="D36" i="7"/>
  <c r="D66" i="7"/>
  <c r="P68" i="7"/>
  <c r="K28" i="7"/>
  <c r="L21" i="7"/>
  <c r="L28" i="7" s="1"/>
  <c r="R15" i="7"/>
  <c r="K34" i="7"/>
  <c r="K62" i="7"/>
  <c r="L62" i="7" s="1"/>
  <c r="K48" i="7"/>
  <c r="L48" i="7" s="1"/>
  <c r="K55" i="7"/>
  <c r="L55" i="7" s="1"/>
  <c r="K41" i="7"/>
  <c r="L41" i="7" s="1"/>
  <c r="J43" i="7"/>
  <c r="E63" i="7"/>
  <c r="F63" i="7" s="1"/>
  <c r="E35" i="7"/>
  <c r="E49" i="7"/>
  <c r="F49" i="7" s="1"/>
  <c r="E42" i="7"/>
  <c r="F42" i="7" s="1"/>
  <c r="E56" i="7"/>
  <c r="F56" i="7" s="1"/>
  <c r="F8" i="7"/>
  <c r="P67" i="7"/>
  <c r="E34" i="7"/>
  <c r="E55" i="7"/>
  <c r="F55" i="7" s="1"/>
  <c r="E48" i="7"/>
  <c r="F48" i="7" s="1"/>
  <c r="E41" i="7"/>
  <c r="F41" i="7" s="1"/>
  <c r="E62" i="7"/>
  <c r="F62" i="7" s="1"/>
  <c r="F15" i="7"/>
  <c r="D50" i="7"/>
  <c r="P70" i="7"/>
  <c r="Q15" i="7"/>
  <c r="P45" i="7"/>
  <c r="P50" i="7" s="1"/>
  <c r="P38" i="7"/>
  <c r="P43" i="7" s="1"/>
  <c r="P59" i="7"/>
  <c r="P64" i="7" s="1"/>
  <c r="P31" i="7"/>
  <c r="P29" i="7"/>
  <c r="P52" i="7"/>
  <c r="P57" i="7" s="1"/>
  <c r="J57" i="7"/>
  <c r="Q19" i="7"/>
  <c r="F19" i="7"/>
  <c r="F26" i="7" s="1"/>
  <c r="K19" i="7"/>
  <c r="L19" i="7" s="1"/>
  <c r="E24" i="7"/>
  <c r="F27" i="6"/>
  <c r="Q25" i="6"/>
  <c r="Q60" i="6" s="1"/>
  <c r="R60" i="6" s="1"/>
  <c r="F24" i="6"/>
  <c r="D69" i="6"/>
  <c r="D57" i="5"/>
  <c r="F42" i="5"/>
  <c r="K19" i="6"/>
  <c r="L19" i="6" s="1"/>
  <c r="Q19" i="6"/>
  <c r="Q22" i="6" s="1"/>
  <c r="F19" i="6"/>
  <c r="F26" i="6" s="1"/>
  <c r="D68" i="6"/>
  <c r="R15" i="6"/>
  <c r="Q46" i="6"/>
  <c r="R46" i="6" s="1"/>
  <c r="J68" i="6"/>
  <c r="J67" i="6"/>
  <c r="J36" i="6"/>
  <c r="J66" i="6"/>
  <c r="Q28" i="6"/>
  <c r="E26" i="6"/>
  <c r="Q27" i="6"/>
  <c r="E66" i="6"/>
  <c r="P67" i="6"/>
  <c r="P50" i="6"/>
  <c r="K27" i="6"/>
  <c r="L13" i="6"/>
  <c r="L27" i="6" s="1"/>
  <c r="L10" i="6"/>
  <c r="K15" i="6"/>
  <c r="K24" i="6"/>
  <c r="K49" i="6"/>
  <c r="L49" i="6" s="1"/>
  <c r="K56" i="6"/>
  <c r="L56" i="6" s="1"/>
  <c r="K35" i="6"/>
  <c r="K63" i="6"/>
  <c r="L63" i="6" s="1"/>
  <c r="K42" i="6"/>
  <c r="L42" i="6" s="1"/>
  <c r="D45" i="6"/>
  <c r="D50" i="6" s="1"/>
  <c r="D52" i="6"/>
  <c r="D57" i="6" s="1"/>
  <c r="D31" i="6"/>
  <c r="D59" i="6"/>
  <c r="D64" i="6" s="1"/>
  <c r="D38" i="6"/>
  <c r="D43" i="6" s="1"/>
  <c r="D29" i="6"/>
  <c r="J64" i="6"/>
  <c r="J50" i="6"/>
  <c r="E22" i="6"/>
  <c r="F45" i="6"/>
  <c r="P36" i="6"/>
  <c r="P66" i="6"/>
  <c r="L12" i="6"/>
  <c r="K26" i="6"/>
  <c r="E49" i="6"/>
  <c r="F49" i="6" s="1"/>
  <c r="E56" i="6"/>
  <c r="F56" i="6" s="1"/>
  <c r="E63" i="6"/>
  <c r="F63" i="6" s="1"/>
  <c r="E35" i="6"/>
  <c r="E42" i="6"/>
  <c r="F42" i="6" s="1"/>
  <c r="D67" i="6"/>
  <c r="D70" i="6"/>
  <c r="J69" i="6"/>
  <c r="J43" i="6"/>
  <c r="R17" i="6"/>
  <c r="Q24" i="6"/>
  <c r="P69" i="6"/>
  <c r="P57" i="6"/>
  <c r="P64" i="6"/>
  <c r="E60" i="6"/>
  <c r="F60" i="6" s="1"/>
  <c r="E46" i="6"/>
  <c r="F46" i="6" s="1"/>
  <c r="E32" i="6"/>
  <c r="E53" i="6"/>
  <c r="F53" i="6" s="1"/>
  <c r="E39" i="6"/>
  <c r="F39" i="6" s="1"/>
  <c r="L11" i="6"/>
  <c r="L25" i="6" s="1"/>
  <c r="K25" i="6"/>
  <c r="E48" i="6"/>
  <c r="F48" i="6" s="1"/>
  <c r="E62" i="6"/>
  <c r="F62" i="6" s="1"/>
  <c r="E55" i="6"/>
  <c r="F55" i="6" s="1"/>
  <c r="E34" i="6"/>
  <c r="E41" i="6"/>
  <c r="F41" i="6" s="1"/>
  <c r="F15" i="6"/>
  <c r="J57" i="6"/>
  <c r="L17" i="6"/>
  <c r="P43" i="6"/>
  <c r="E63" i="5"/>
  <c r="F63" i="5" s="1"/>
  <c r="K55" i="5"/>
  <c r="K69" i="5" s="1"/>
  <c r="L69" i="5" s="1"/>
  <c r="E41" i="5"/>
  <c r="E62" i="5"/>
  <c r="K48" i="5"/>
  <c r="L48" i="5" s="1"/>
  <c r="Q27" i="5"/>
  <c r="Q48" i="5" s="1"/>
  <c r="R48" i="5" s="1"/>
  <c r="R25" i="5"/>
  <c r="Q24" i="5"/>
  <c r="Q38" i="5" s="1"/>
  <c r="R28" i="5"/>
  <c r="Q28" i="5"/>
  <c r="Q49" i="5" s="1"/>
  <c r="R49" i="5" s="1"/>
  <c r="E56" i="5"/>
  <c r="F56" i="5" s="1"/>
  <c r="E26" i="5"/>
  <c r="E47" i="5" s="1"/>
  <c r="F47" i="5" s="1"/>
  <c r="L28" i="5"/>
  <c r="L25" i="5"/>
  <c r="Q25" i="5"/>
  <c r="Q46" i="5" s="1"/>
  <c r="R46" i="5" s="1"/>
  <c r="F15" i="5"/>
  <c r="Q15" i="5"/>
  <c r="E53" i="5"/>
  <c r="F53" i="5" s="1"/>
  <c r="E39" i="5"/>
  <c r="F39" i="5" s="1"/>
  <c r="E60" i="5"/>
  <c r="F60" i="5" s="1"/>
  <c r="E46" i="5"/>
  <c r="F46" i="5" s="1"/>
  <c r="E32" i="5"/>
  <c r="E52" i="5"/>
  <c r="E38" i="5"/>
  <c r="E31" i="5"/>
  <c r="E45" i="5"/>
  <c r="E59" i="5"/>
  <c r="D43" i="5"/>
  <c r="Q34" i="5"/>
  <c r="Q62" i="5"/>
  <c r="R62" i="5" s="1"/>
  <c r="Q41" i="5"/>
  <c r="R41" i="5" s="1"/>
  <c r="J66" i="5"/>
  <c r="J36" i="5"/>
  <c r="J43" i="5"/>
  <c r="D67" i="5"/>
  <c r="P70" i="5"/>
  <c r="P45" i="5"/>
  <c r="P50" i="5" s="1"/>
  <c r="P38" i="5"/>
  <c r="P43" i="5" s="1"/>
  <c r="P52" i="5"/>
  <c r="P57" i="5" s="1"/>
  <c r="P31" i="5"/>
  <c r="P29" i="5"/>
  <c r="P59" i="5"/>
  <c r="P64" i="5" s="1"/>
  <c r="D36" i="5"/>
  <c r="D66" i="5"/>
  <c r="K59" i="5"/>
  <c r="K52" i="5"/>
  <c r="K45" i="5"/>
  <c r="K38" i="5"/>
  <c r="K31" i="5"/>
  <c r="L41" i="5"/>
  <c r="E61" i="5"/>
  <c r="F61" i="5" s="1"/>
  <c r="D70" i="5"/>
  <c r="F55" i="5"/>
  <c r="J64" i="5"/>
  <c r="J57" i="5"/>
  <c r="Q59" i="5"/>
  <c r="Q45" i="5"/>
  <c r="J70" i="5"/>
  <c r="P69" i="5"/>
  <c r="L55" i="5"/>
  <c r="K35" i="5"/>
  <c r="K49" i="5"/>
  <c r="L49" i="5" s="1"/>
  <c r="K63" i="5"/>
  <c r="L63" i="5" s="1"/>
  <c r="K56" i="5"/>
  <c r="L56" i="5" s="1"/>
  <c r="K42" i="5"/>
  <c r="L42" i="5" s="1"/>
  <c r="L34" i="5"/>
  <c r="P68" i="5"/>
  <c r="F62" i="5"/>
  <c r="J68" i="5"/>
  <c r="K19" i="5"/>
  <c r="Q19" i="5"/>
  <c r="Q22" i="5" s="1"/>
  <c r="F19" i="5"/>
  <c r="F26" i="5" s="1"/>
  <c r="D69" i="5"/>
  <c r="K53" i="5"/>
  <c r="L53" i="5" s="1"/>
  <c r="K32" i="5"/>
  <c r="K60" i="5"/>
  <c r="L60" i="5" s="1"/>
  <c r="K39" i="5"/>
  <c r="L39" i="5" s="1"/>
  <c r="K46" i="5"/>
  <c r="L46" i="5" s="1"/>
  <c r="D50" i="5"/>
  <c r="R17" i="5"/>
  <c r="R24" i="5" s="1"/>
  <c r="R27" i="5"/>
  <c r="P67" i="5"/>
  <c r="L15" i="5"/>
  <c r="L24" i="5"/>
  <c r="F24" i="5"/>
  <c r="F8" i="5"/>
  <c r="F41" i="5"/>
  <c r="F35" i="5"/>
  <c r="R15" i="5"/>
  <c r="F34" i="5"/>
  <c r="E69" i="5"/>
  <c r="F69" i="5" s="1"/>
  <c r="Q53" i="5"/>
  <c r="R53" i="5" s="1"/>
  <c r="Q39" i="5"/>
  <c r="R39" i="5" s="1"/>
  <c r="Q32" i="5"/>
  <c r="J50" i="5"/>
  <c r="J67" i="5"/>
  <c r="Q10" i="3"/>
  <c r="R17" i="3" s="1"/>
  <c r="Q11" i="3"/>
  <c r="Q12" i="3"/>
  <c r="Q13" i="3"/>
  <c r="Q14" i="3"/>
  <c r="P11" i="3"/>
  <c r="P25" i="3" s="1"/>
  <c r="P60" i="3" s="1"/>
  <c r="P12" i="3"/>
  <c r="P13" i="3"/>
  <c r="P14" i="3"/>
  <c r="P10" i="3"/>
  <c r="O62" i="3"/>
  <c r="O56" i="3"/>
  <c r="O55" i="3"/>
  <c r="O53" i="3"/>
  <c r="O49" i="3"/>
  <c r="O48" i="3"/>
  <c r="O46" i="3"/>
  <c r="O42" i="3"/>
  <c r="O41" i="3"/>
  <c r="O38" i="3"/>
  <c r="O35" i="3"/>
  <c r="O34" i="3"/>
  <c r="O31" i="3"/>
  <c r="P27" i="3"/>
  <c r="P62" i="3" s="1"/>
  <c r="P26" i="3"/>
  <c r="P54" i="3" s="1"/>
  <c r="P22" i="3"/>
  <c r="R14" i="3"/>
  <c r="I62" i="3"/>
  <c r="C62" i="3"/>
  <c r="I56" i="3"/>
  <c r="I55" i="3"/>
  <c r="I53" i="3"/>
  <c r="I49" i="3"/>
  <c r="I48" i="3"/>
  <c r="I46" i="3"/>
  <c r="I42" i="3"/>
  <c r="I41" i="3"/>
  <c r="I38" i="3"/>
  <c r="I35" i="3"/>
  <c r="I34" i="3"/>
  <c r="I31" i="3"/>
  <c r="J28" i="3"/>
  <c r="J35" i="3" s="1"/>
  <c r="J27" i="3"/>
  <c r="J62" i="3" s="1"/>
  <c r="J26" i="3"/>
  <c r="J61" i="3" s="1"/>
  <c r="J25" i="3"/>
  <c r="J60" i="3" s="1"/>
  <c r="J22" i="3"/>
  <c r="J15" i="3"/>
  <c r="L20" i="3"/>
  <c r="L12" i="3"/>
  <c r="L18" i="3"/>
  <c r="K8" i="3"/>
  <c r="J8" i="3"/>
  <c r="L8" i="3"/>
  <c r="J24" i="3"/>
  <c r="J38" i="3" s="1"/>
  <c r="C56" i="3"/>
  <c r="C55" i="3"/>
  <c r="C53" i="3"/>
  <c r="C49" i="3"/>
  <c r="C48" i="3"/>
  <c r="C46" i="3"/>
  <c r="C42" i="3"/>
  <c r="C41" i="3"/>
  <c r="C38" i="3"/>
  <c r="D63" i="3"/>
  <c r="D56" i="3"/>
  <c r="D42" i="3"/>
  <c r="D35" i="3"/>
  <c r="C35" i="3"/>
  <c r="C34" i="3"/>
  <c r="C31" i="3"/>
  <c r="F4" i="3"/>
  <c r="F5" i="3"/>
  <c r="F6" i="3"/>
  <c r="F7" i="3"/>
  <c r="K12" i="4"/>
  <c r="K10" i="4"/>
  <c r="J10" i="4"/>
  <c r="I12" i="4"/>
  <c r="I10" i="4"/>
  <c r="H12" i="4"/>
  <c r="H10" i="4"/>
  <c r="G12" i="4"/>
  <c r="G10" i="4"/>
  <c r="F12" i="4"/>
  <c r="F10" i="4"/>
  <c r="F19" i="8" l="1"/>
  <c r="D20" i="8"/>
  <c r="D71" i="7"/>
  <c r="E29" i="7"/>
  <c r="E59" i="7"/>
  <c r="E45" i="7"/>
  <c r="E31" i="7"/>
  <c r="E52" i="7"/>
  <c r="E38" i="7"/>
  <c r="K40" i="7"/>
  <c r="L40" i="7" s="1"/>
  <c r="K61" i="7"/>
  <c r="L61" i="7" s="1"/>
  <c r="K54" i="7"/>
  <c r="L54" i="7" s="1"/>
  <c r="K33" i="7"/>
  <c r="K47" i="7"/>
  <c r="L47" i="7" s="1"/>
  <c r="Q34" i="7"/>
  <c r="Q48" i="7"/>
  <c r="R48" i="7" s="1"/>
  <c r="Q62" i="7"/>
  <c r="R62" i="7" s="1"/>
  <c r="Q55" i="7"/>
  <c r="R55" i="7" s="1"/>
  <c r="Q41" i="7"/>
  <c r="R41" i="7" s="1"/>
  <c r="Q22" i="7"/>
  <c r="R17" i="7"/>
  <c r="Q24" i="7"/>
  <c r="K69" i="7"/>
  <c r="L69" i="7" s="1"/>
  <c r="L34" i="7"/>
  <c r="R18" i="7"/>
  <c r="R25" i="7" s="1"/>
  <c r="Q25" i="7"/>
  <c r="F22" i="7"/>
  <c r="F24" i="7"/>
  <c r="F29" i="7" s="1"/>
  <c r="E70" i="7"/>
  <c r="F70" i="7" s="1"/>
  <c r="F35" i="7"/>
  <c r="Q35" i="7"/>
  <c r="Q49" i="7"/>
  <c r="R49" i="7" s="1"/>
  <c r="Q56" i="7"/>
  <c r="R56" i="7" s="1"/>
  <c r="Q42" i="7"/>
  <c r="R42" i="7" s="1"/>
  <c r="Q63" i="7"/>
  <c r="R63" i="7" s="1"/>
  <c r="L18" i="7"/>
  <c r="L25" i="7" s="1"/>
  <c r="K25" i="7"/>
  <c r="E68" i="7"/>
  <c r="F68" i="7" s="1"/>
  <c r="F33" i="7"/>
  <c r="L17" i="7"/>
  <c r="K22" i="7"/>
  <c r="K24" i="7"/>
  <c r="R19" i="7"/>
  <c r="R26" i="7" s="1"/>
  <c r="Q26" i="7"/>
  <c r="P36" i="7"/>
  <c r="P66" i="7"/>
  <c r="P71" i="7" s="1"/>
  <c r="E69" i="7"/>
  <c r="F69" i="7" s="1"/>
  <c r="F34" i="7"/>
  <c r="K35" i="7"/>
  <c r="K63" i="7"/>
  <c r="L63" i="7" s="1"/>
  <c r="K56" i="7"/>
  <c r="L56" i="7" s="1"/>
  <c r="K49" i="7"/>
  <c r="L49" i="7" s="1"/>
  <c r="K42" i="7"/>
  <c r="L42" i="7" s="1"/>
  <c r="E53" i="7"/>
  <c r="F53" i="7" s="1"/>
  <c r="E39" i="7"/>
  <c r="F39" i="7" s="1"/>
  <c r="E60" i="7"/>
  <c r="F60" i="7" s="1"/>
  <c r="E46" i="7"/>
  <c r="F46" i="7" s="1"/>
  <c r="E32" i="7"/>
  <c r="L26" i="7"/>
  <c r="F22" i="6"/>
  <c r="Q32" i="6"/>
  <c r="Q67" i="6" s="1"/>
  <c r="R67" i="6" s="1"/>
  <c r="Q39" i="6"/>
  <c r="R39" i="6" s="1"/>
  <c r="Q53" i="6"/>
  <c r="R53" i="6" s="1"/>
  <c r="F29" i="6"/>
  <c r="L26" i="6"/>
  <c r="L22" i="6"/>
  <c r="K22" i="6"/>
  <c r="F59" i="6"/>
  <c r="F38" i="6"/>
  <c r="P71" i="6"/>
  <c r="D36" i="6"/>
  <c r="D66" i="6"/>
  <c r="D71" i="6" s="1"/>
  <c r="K45" i="6"/>
  <c r="K31" i="6"/>
  <c r="K52" i="6"/>
  <c r="K38" i="6"/>
  <c r="K59" i="6"/>
  <c r="K29" i="6"/>
  <c r="K48" i="6"/>
  <c r="L48" i="6" s="1"/>
  <c r="K62" i="6"/>
  <c r="L62" i="6" s="1"/>
  <c r="K55" i="6"/>
  <c r="L55" i="6" s="1"/>
  <c r="K34" i="6"/>
  <c r="K41" i="6"/>
  <c r="L41" i="6" s="1"/>
  <c r="E33" i="6"/>
  <c r="E40" i="6"/>
  <c r="E47" i="6"/>
  <c r="E61" i="6"/>
  <c r="E54" i="6"/>
  <c r="F54" i="6" s="1"/>
  <c r="K70" i="6"/>
  <c r="L70" i="6" s="1"/>
  <c r="L35" i="6"/>
  <c r="F66" i="6"/>
  <c r="Q63" i="6"/>
  <c r="R63" i="6" s="1"/>
  <c r="Q49" i="6"/>
  <c r="R49" i="6" s="1"/>
  <c r="Q56" i="6"/>
  <c r="R56" i="6" s="1"/>
  <c r="Q35" i="6"/>
  <c r="Q42" i="6"/>
  <c r="R42" i="6" s="1"/>
  <c r="E69" i="6"/>
  <c r="F69" i="6" s="1"/>
  <c r="F34" i="6"/>
  <c r="K60" i="6"/>
  <c r="L60" i="6" s="1"/>
  <c r="K46" i="6"/>
  <c r="L46" i="6" s="1"/>
  <c r="K53" i="6"/>
  <c r="L53" i="6" s="1"/>
  <c r="K32" i="6"/>
  <c r="K39" i="6"/>
  <c r="L39" i="6" s="1"/>
  <c r="F32" i="6"/>
  <c r="E67" i="6"/>
  <c r="F67" i="6" s="1"/>
  <c r="Q31" i="6"/>
  <c r="Q45" i="6"/>
  <c r="Q38" i="6"/>
  <c r="Q52" i="6"/>
  <c r="Q59" i="6"/>
  <c r="E70" i="6"/>
  <c r="F70" i="6" s="1"/>
  <c r="F35" i="6"/>
  <c r="K61" i="6"/>
  <c r="L61" i="6" s="1"/>
  <c r="K54" i="6"/>
  <c r="L54" i="6" s="1"/>
  <c r="K33" i="6"/>
  <c r="K40" i="6"/>
  <c r="L40" i="6" s="1"/>
  <c r="K47" i="6"/>
  <c r="L47" i="6" s="1"/>
  <c r="F52" i="6"/>
  <c r="L15" i="6"/>
  <c r="L24" i="6"/>
  <c r="Q48" i="6"/>
  <c r="R48" i="6" s="1"/>
  <c r="Q62" i="6"/>
  <c r="R62" i="6" s="1"/>
  <c r="Q55" i="6"/>
  <c r="R55" i="6" s="1"/>
  <c r="Q34" i="6"/>
  <c r="Q41" i="6"/>
  <c r="R41" i="6" s="1"/>
  <c r="J71" i="6"/>
  <c r="E29" i="6"/>
  <c r="E57" i="6"/>
  <c r="F31" i="6"/>
  <c r="R24" i="6"/>
  <c r="R19" i="6"/>
  <c r="R26" i="6" s="1"/>
  <c r="Q26" i="6"/>
  <c r="Q55" i="5"/>
  <c r="R55" i="5" s="1"/>
  <c r="Q31" i="5"/>
  <c r="Q52" i="5"/>
  <c r="R52" i="5" s="1"/>
  <c r="Q60" i="5"/>
  <c r="R60" i="5" s="1"/>
  <c r="Q56" i="5"/>
  <c r="R56" i="5" s="1"/>
  <c r="Q35" i="5"/>
  <c r="Q42" i="5"/>
  <c r="R42" i="5" s="1"/>
  <c r="Q63" i="5"/>
  <c r="R63" i="5" s="1"/>
  <c r="E70" i="5"/>
  <c r="F70" i="5" s="1"/>
  <c r="E33" i="5"/>
  <c r="E36" i="5" s="1"/>
  <c r="E54" i="5"/>
  <c r="F54" i="5" s="1"/>
  <c r="E29" i="5"/>
  <c r="E40" i="5"/>
  <c r="F40" i="5" s="1"/>
  <c r="R38" i="5"/>
  <c r="F33" i="5"/>
  <c r="K66" i="5"/>
  <c r="L31" i="5"/>
  <c r="L52" i="5"/>
  <c r="F22" i="5"/>
  <c r="F31" i="5"/>
  <c r="E66" i="5"/>
  <c r="E67" i="5"/>
  <c r="F67" i="5" s="1"/>
  <c r="F32" i="5"/>
  <c r="R32" i="5"/>
  <c r="Q67" i="5"/>
  <c r="R67" i="5" s="1"/>
  <c r="L32" i="5"/>
  <c r="K67" i="5"/>
  <c r="L67" i="5" s="1"/>
  <c r="R19" i="5"/>
  <c r="R26" i="5" s="1"/>
  <c r="R29" i="5" s="1"/>
  <c r="Q26" i="5"/>
  <c r="R45" i="5"/>
  <c r="L59" i="5"/>
  <c r="F38" i="5"/>
  <c r="F29" i="5"/>
  <c r="L19" i="5"/>
  <c r="K26" i="5"/>
  <c r="K22" i="5"/>
  <c r="L35" i="5"/>
  <c r="K70" i="5"/>
  <c r="L70" i="5" s="1"/>
  <c r="R59" i="5"/>
  <c r="L38" i="5"/>
  <c r="D71" i="5"/>
  <c r="P36" i="5"/>
  <c r="P66" i="5"/>
  <c r="P71" i="5" s="1"/>
  <c r="J71" i="5"/>
  <c r="F59" i="5"/>
  <c r="F64" i="5" s="1"/>
  <c r="E64" i="5"/>
  <c r="F52" i="5"/>
  <c r="Q66" i="5"/>
  <c r="R31" i="5"/>
  <c r="L45" i="5"/>
  <c r="R34" i="5"/>
  <c r="F45" i="5"/>
  <c r="F50" i="5" s="1"/>
  <c r="E50" i="5"/>
  <c r="P47" i="3"/>
  <c r="P40" i="3"/>
  <c r="J32" i="3"/>
  <c r="J33" i="3"/>
  <c r="J34" i="3"/>
  <c r="J42" i="3"/>
  <c r="J49" i="3"/>
  <c r="J56" i="3"/>
  <c r="J63" i="3"/>
  <c r="J39" i="3"/>
  <c r="J46" i="3"/>
  <c r="J53" i="3"/>
  <c r="J40" i="3"/>
  <c r="J47" i="3"/>
  <c r="J54" i="3"/>
  <c r="J29" i="3"/>
  <c r="J41" i="3"/>
  <c r="J48" i="3"/>
  <c r="J55" i="3"/>
  <c r="J45" i="3"/>
  <c r="J52" i="3"/>
  <c r="J31" i="3"/>
  <c r="J59" i="3"/>
  <c r="Q26" i="3"/>
  <c r="P41" i="3"/>
  <c r="P34" i="3"/>
  <c r="P55" i="3"/>
  <c r="D41" i="3"/>
  <c r="P48" i="3"/>
  <c r="P33" i="3"/>
  <c r="P61" i="3"/>
  <c r="P32" i="3"/>
  <c r="P39" i="3"/>
  <c r="P46" i="3"/>
  <c r="P53" i="3"/>
  <c r="Q28" i="3"/>
  <c r="R12" i="3"/>
  <c r="P15" i="3"/>
  <c r="P28" i="3"/>
  <c r="R10" i="3"/>
  <c r="P24" i="3"/>
  <c r="Q8" i="3"/>
  <c r="P8" i="3"/>
  <c r="R18" i="3"/>
  <c r="Q15" i="3"/>
  <c r="R11" i="3"/>
  <c r="R20" i="3"/>
  <c r="R13" i="3"/>
  <c r="Q22" i="3"/>
  <c r="Q24" i="3"/>
  <c r="K15" i="3"/>
  <c r="L10" i="3"/>
  <c r="K27" i="3"/>
  <c r="L21" i="3"/>
  <c r="L14" i="3"/>
  <c r="L19" i="3"/>
  <c r="L26" i="3" s="1"/>
  <c r="K25" i="3"/>
  <c r="L11" i="3"/>
  <c r="L25" i="3" s="1"/>
  <c r="L13" i="3"/>
  <c r="L27" i="3" s="1"/>
  <c r="D70" i="3"/>
  <c r="D49" i="3"/>
  <c r="G7" i="4"/>
  <c r="H7" i="4" s="1"/>
  <c r="H5" i="4"/>
  <c r="G5" i="4"/>
  <c r="D25" i="3"/>
  <c r="D26" i="3"/>
  <c r="D27" i="3"/>
  <c r="D28" i="3"/>
  <c r="D21" i="8" l="1"/>
  <c r="F20" i="8"/>
  <c r="K70" i="7"/>
  <c r="L70" i="7" s="1"/>
  <c r="L35" i="7"/>
  <c r="K53" i="7"/>
  <c r="L53" i="7" s="1"/>
  <c r="K32" i="7"/>
  <c r="K39" i="7"/>
  <c r="L39" i="7" s="1"/>
  <c r="K60" i="7"/>
  <c r="L60" i="7" s="1"/>
  <c r="K46" i="7"/>
  <c r="L46" i="7" s="1"/>
  <c r="R22" i="7"/>
  <c r="R24" i="7"/>
  <c r="R29" i="7" s="1"/>
  <c r="L33" i="7"/>
  <c r="K68" i="7"/>
  <c r="L68" i="7" s="1"/>
  <c r="E43" i="7"/>
  <c r="F38" i="7"/>
  <c r="F43" i="7" s="1"/>
  <c r="E64" i="7"/>
  <c r="F59" i="7"/>
  <c r="F64" i="7" s="1"/>
  <c r="Q33" i="7"/>
  <c r="Q47" i="7"/>
  <c r="R47" i="7" s="1"/>
  <c r="Q61" i="7"/>
  <c r="R61" i="7" s="1"/>
  <c r="Q40" i="7"/>
  <c r="R40" i="7" s="1"/>
  <c r="Q54" i="7"/>
  <c r="R54" i="7" s="1"/>
  <c r="L22" i="7"/>
  <c r="L24" i="7"/>
  <c r="L29" i="7" s="1"/>
  <c r="E57" i="7"/>
  <c r="F52" i="7"/>
  <c r="F57" i="7" s="1"/>
  <c r="Q70" i="7"/>
  <c r="R70" i="7" s="1"/>
  <c r="R35" i="7"/>
  <c r="Q69" i="7"/>
  <c r="R69" i="7" s="1"/>
  <c r="R34" i="7"/>
  <c r="E66" i="7"/>
  <c r="E36" i="7"/>
  <c r="F31" i="7"/>
  <c r="F32" i="7"/>
  <c r="E67" i="7"/>
  <c r="F67" i="7" s="1"/>
  <c r="K59" i="7"/>
  <c r="K38" i="7"/>
  <c r="K31" i="7"/>
  <c r="K52" i="7"/>
  <c r="K29" i="7"/>
  <c r="K45" i="7"/>
  <c r="Q60" i="7"/>
  <c r="R60" i="7" s="1"/>
  <c r="Q53" i="7"/>
  <c r="R53" i="7" s="1"/>
  <c r="Q32" i="7"/>
  <c r="Q46" i="7"/>
  <c r="R46" i="7" s="1"/>
  <c r="Q39" i="7"/>
  <c r="R39" i="7" s="1"/>
  <c r="Q52" i="7"/>
  <c r="Q45" i="7"/>
  <c r="Q31" i="7"/>
  <c r="Q29" i="7"/>
  <c r="Q38" i="7"/>
  <c r="Q59" i="7"/>
  <c r="F45" i="7"/>
  <c r="F50" i="7" s="1"/>
  <c r="E50" i="7"/>
  <c r="L29" i="6"/>
  <c r="R32" i="6"/>
  <c r="F57" i="6"/>
  <c r="Q47" i="6"/>
  <c r="R47" i="6" s="1"/>
  <c r="Q61" i="6"/>
  <c r="R61" i="6" s="1"/>
  <c r="Q54" i="6"/>
  <c r="R54" i="6" s="1"/>
  <c r="Q33" i="6"/>
  <c r="Q40" i="6"/>
  <c r="R40" i="6" s="1"/>
  <c r="L33" i="6"/>
  <c r="K68" i="6"/>
  <c r="L68" i="6" s="1"/>
  <c r="R45" i="6"/>
  <c r="Q50" i="6"/>
  <c r="F40" i="6"/>
  <c r="F43" i="6" s="1"/>
  <c r="E43" i="6"/>
  <c r="L59" i="6"/>
  <c r="L64" i="6" s="1"/>
  <c r="K64" i="6"/>
  <c r="K50" i="6"/>
  <c r="L45" i="6"/>
  <c r="L50" i="6" s="1"/>
  <c r="R22" i="6"/>
  <c r="R59" i="6"/>
  <c r="R64" i="6" s="1"/>
  <c r="Q64" i="6"/>
  <c r="Q29" i="6"/>
  <c r="R35" i="6"/>
  <c r="Q70" i="6"/>
  <c r="R70" i="6" s="1"/>
  <c r="E68" i="6"/>
  <c r="F68" i="6" s="1"/>
  <c r="F71" i="6" s="1"/>
  <c r="F33" i="6"/>
  <c r="L38" i="6"/>
  <c r="L43" i="6" s="1"/>
  <c r="K43" i="6"/>
  <c r="R29" i="6"/>
  <c r="Q57" i="6"/>
  <c r="R52" i="6"/>
  <c r="Q36" i="6"/>
  <c r="Q66" i="6"/>
  <c r="R31" i="6"/>
  <c r="K67" i="6"/>
  <c r="L67" i="6" s="1"/>
  <c r="L32" i="6"/>
  <c r="E71" i="6"/>
  <c r="F61" i="6"/>
  <c r="F64" i="6" s="1"/>
  <c r="E64" i="6"/>
  <c r="L52" i="6"/>
  <c r="L57" i="6" s="1"/>
  <c r="K57" i="6"/>
  <c r="F36" i="6"/>
  <c r="R34" i="6"/>
  <c r="Q69" i="6"/>
  <c r="R69" i="6" s="1"/>
  <c r="R38" i="6"/>
  <c r="F47" i="6"/>
  <c r="F50" i="6" s="1"/>
  <c r="E50" i="6"/>
  <c r="L34" i="6"/>
  <c r="K69" i="6"/>
  <c r="L69" i="6" s="1"/>
  <c r="K36" i="6"/>
  <c r="K66" i="6"/>
  <c r="L31" i="6"/>
  <c r="L36" i="6" s="1"/>
  <c r="E36" i="6"/>
  <c r="Q69" i="5"/>
  <c r="R69" i="5" s="1"/>
  <c r="F57" i="5"/>
  <c r="E57" i="5"/>
  <c r="Q70" i="5"/>
  <c r="R70" i="5" s="1"/>
  <c r="R35" i="5"/>
  <c r="F43" i="5"/>
  <c r="E68" i="5"/>
  <c r="F68" i="5" s="1"/>
  <c r="E43" i="5"/>
  <c r="R22" i="5"/>
  <c r="F66" i="5"/>
  <c r="K40" i="5"/>
  <c r="K54" i="5"/>
  <c r="K33" i="5"/>
  <c r="K61" i="5"/>
  <c r="K47" i="5"/>
  <c r="K29" i="5"/>
  <c r="F36" i="5"/>
  <c r="L22" i="5"/>
  <c r="L26" i="5"/>
  <c r="L29" i="5" s="1"/>
  <c r="R66" i="5"/>
  <c r="Q33" i="5"/>
  <c r="Q54" i="5"/>
  <c r="Q40" i="5"/>
  <c r="Q61" i="5"/>
  <c r="Q47" i="5"/>
  <c r="Q29" i="5"/>
  <c r="L66" i="5"/>
  <c r="J43" i="3"/>
  <c r="P63" i="3"/>
  <c r="P42" i="3"/>
  <c r="P56" i="3"/>
  <c r="P49" i="3"/>
  <c r="P35" i="3"/>
  <c r="P36" i="3" s="1"/>
  <c r="P69" i="3"/>
  <c r="J69" i="3"/>
  <c r="J70" i="3"/>
  <c r="L28" i="3"/>
  <c r="J68" i="3"/>
  <c r="K60" i="3"/>
  <c r="L60" i="3" s="1"/>
  <c r="K53" i="3"/>
  <c r="L53" i="3" s="1"/>
  <c r="K46" i="3"/>
  <c r="L46" i="3" s="1"/>
  <c r="K39" i="3"/>
  <c r="L39" i="3" s="1"/>
  <c r="K32" i="3"/>
  <c r="K62" i="3"/>
  <c r="L62" i="3" s="1"/>
  <c r="K55" i="3"/>
  <c r="L55" i="3" s="1"/>
  <c r="K48" i="3"/>
  <c r="L48" i="3" s="1"/>
  <c r="K41" i="3"/>
  <c r="L41" i="3" s="1"/>
  <c r="K34" i="3"/>
  <c r="L34" i="3" s="1"/>
  <c r="J50" i="3"/>
  <c r="R19" i="3"/>
  <c r="R26" i="3" s="1"/>
  <c r="Q63" i="3"/>
  <c r="Q35" i="3"/>
  <c r="Q56" i="3"/>
  <c r="Q49" i="3"/>
  <c r="Q42" i="3"/>
  <c r="R42" i="3" s="1"/>
  <c r="Q61" i="3"/>
  <c r="R61" i="3" s="1"/>
  <c r="Q33" i="3"/>
  <c r="Q40" i="3"/>
  <c r="R40" i="3" s="1"/>
  <c r="Q47" i="3"/>
  <c r="R47" i="3" s="1"/>
  <c r="Q54" i="3"/>
  <c r="R54" i="3" s="1"/>
  <c r="R33" i="3"/>
  <c r="Q52" i="3"/>
  <c r="Q45" i="3"/>
  <c r="Q38" i="3"/>
  <c r="Q59" i="3"/>
  <c r="Q31" i="3"/>
  <c r="D48" i="3"/>
  <c r="D34" i="3"/>
  <c r="D62" i="3"/>
  <c r="D55" i="3"/>
  <c r="R27" i="3"/>
  <c r="P68" i="3"/>
  <c r="D54" i="3"/>
  <c r="D40" i="3"/>
  <c r="D61" i="3"/>
  <c r="D47" i="3"/>
  <c r="D33" i="3"/>
  <c r="D46" i="3"/>
  <c r="D39" i="3"/>
  <c r="D60" i="3"/>
  <c r="D53" i="3"/>
  <c r="D32" i="3"/>
  <c r="P67" i="3"/>
  <c r="P38" i="3"/>
  <c r="P43" i="3" s="1"/>
  <c r="P59" i="3"/>
  <c r="P31" i="3"/>
  <c r="P52" i="3"/>
  <c r="P45" i="3"/>
  <c r="P29" i="3"/>
  <c r="R21" i="3"/>
  <c r="R28" i="3" s="1"/>
  <c r="R15" i="3"/>
  <c r="Q25" i="3"/>
  <c r="R25" i="3"/>
  <c r="P57" i="3"/>
  <c r="R24" i="3"/>
  <c r="R8" i="3"/>
  <c r="Q27" i="3"/>
  <c r="J67" i="3"/>
  <c r="L17" i="3"/>
  <c r="K22" i="3"/>
  <c r="K26" i="3"/>
  <c r="J57" i="3"/>
  <c r="J66" i="3"/>
  <c r="J36" i="3"/>
  <c r="K24" i="3"/>
  <c r="K28" i="3"/>
  <c r="L15" i="3"/>
  <c r="J64" i="3"/>
  <c r="F13" i="3"/>
  <c r="F18" i="3"/>
  <c r="E25" i="3"/>
  <c r="F12" i="3"/>
  <c r="F10" i="3"/>
  <c r="F11" i="3"/>
  <c r="F14" i="3"/>
  <c r="E21" i="3"/>
  <c r="F21" i="8" l="1"/>
  <c r="D22" i="8"/>
  <c r="R59" i="7"/>
  <c r="R64" i="7" s="1"/>
  <c r="Q64" i="7"/>
  <c r="Q50" i="7"/>
  <c r="R45" i="7"/>
  <c r="R50" i="7" s="1"/>
  <c r="R32" i="7"/>
  <c r="Q67" i="7"/>
  <c r="R67" i="7" s="1"/>
  <c r="K64" i="7"/>
  <c r="L59" i="7"/>
  <c r="L64" i="7" s="1"/>
  <c r="Q43" i="7"/>
  <c r="R38" i="7"/>
  <c r="R43" i="7" s="1"/>
  <c r="Q57" i="7"/>
  <c r="R52" i="7"/>
  <c r="R57" i="7" s="1"/>
  <c r="K57" i="7"/>
  <c r="L52" i="7"/>
  <c r="L57" i="7" s="1"/>
  <c r="F66" i="7"/>
  <c r="F71" i="7" s="1"/>
  <c r="E71" i="7"/>
  <c r="K36" i="7"/>
  <c r="K66" i="7"/>
  <c r="L31" i="7"/>
  <c r="R33" i="7"/>
  <c r="Q68" i="7"/>
  <c r="R68" i="7" s="1"/>
  <c r="K67" i="7"/>
  <c r="L67" i="7" s="1"/>
  <c r="L32" i="7"/>
  <c r="Q66" i="7"/>
  <c r="Q36" i="7"/>
  <c r="R31" i="7"/>
  <c r="K50" i="7"/>
  <c r="L45" i="7"/>
  <c r="L50" i="7" s="1"/>
  <c r="K43" i="7"/>
  <c r="L38" i="7"/>
  <c r="L43" i="7" s="1"/>
  <c r="F36" i="7"/>
  <c r="Q43" i="6"/>
  <c r="R43" i="6"/>
  <c r="R57" i="6"/>
  <c r="R50" i="6"/>
  <c r="F71" i="5"/>
  <c r="Q68" i="6"/>
  <c r="R68" i="6" s="1"/>
  <c r="R33" i="6"/>
  <c r="R36" i="6" s="1"/>
  <c r="Q71" i="6"/>
  <c r="R66" i="6"/>
  <c r="K71" i="6"/>
  <c r="L66" i="6"/>
  <c r="L71" i="6" s="1"/>
  <c r="E71" i="5"/>
  <c r="R40" i="5"/>
  <c r="R43" i="5" s="1"/>
  <c r="Q43" i="5"/>
  <c r="L47" i="5"/>
  <c r="L50" i="5" s="1"/>
  <c r="K50" i="5"/>
  <c r="L40" i="5"/>
  <c r="L43" i="5" s="1"/>
  <c r="K43" i="5"/>
  <c r="R54" i="5"/>
  <c r="R57" i="5" s="1"/>
  <c r="Q57" i="5"/>
  <c r="L61" i="5"/>
  <c r="L64" i="5" s="1"/>
  <c r="K64" i="5"/>
  <c r="R47" i="5"/>
  <c r="R50" i="5" s="1"/>
  <c r="Q50" i="5"/>
  <c r="Q68" i="5"/>
  <c r="R33" i="5"/>
  <c r="R36" i="5" s="1"/>
  <c r="Q36" i="5"/>
  <c r="K68" i="5"/>
  <c r="L33" i="5"/>
  <c r="L36" i="5" s="1"/>
  <c r="K36" i="5"/>
  <c r="R61" i="5"/>
  <c r="R64" i="5" s="1"/>
  <c r="Q64" i="5"/>
  <c r="L54" i="5"/>
  <c r="L57" i="5" s="1"/>
  <c r="K57" i="5"/>
  <c r="P70" i="3"/>
  <c r="P71" i="3" s="1"/>
  <c r="R38" i="3"/>
  <c r="P50" i="3"/>
  <c r="R63" i="3"/>
  <c r="Q70" i="3"/>
  <c r="R56" i="3"/>
  <c r="R49" i="3"/>
  <c r="K69" i="3"/>
  <c r="L69" i="3" s="1"/>
  <c r="K61" i="3"/>
  <c r="L61" i="3" s="1"/>
  <c r="K54" i="3"/>
  <c r="L54" i="3" s="1"/>
  <c r="K47" i="3"/>
  <c r="L47" i="3" s="1"/>
  <c r="K40" i="3"/>
  <c r="L40" i="3" s="1"/>
  <c r="K33" i="3"/>
  <c r="K63" i="3"/>
  <c r="L63" i="3" s="1"/>
  <c r="K56" i="3"/>
  <c r="L56" i="3" s="1"/>
  <c r="K49" i="3"/>
  <c r="L49" i="3" s="1"/>
  <c r="K42" i="3"/>
  <c r="L42" i="3" s="1"/>
  <c r="K35" i="3"/>
  <c r="J71" i="3"/>
  <c r="K67" i="3"/>
  <c r="L67" i="3" s="1"/>
  <c r="L32" i="3"/>
  <c r="K52" i="3"/>
  <c r="K45" i="3"/>
  <c r="K38" i="3"/>
  <c r="K59" i="3"/>
  <c r="K31" i="3"/>
  <c r="R35" i="3"/>
  <c r="F25" i="3"/>
  <c r="R70" i="3"/>
  <c r="R45" i="3"/>
  <c r="Q41" i="3"/>
  <c r="R41" i="3" s="1"/>
  <c r="Q62" i="3"/>
  <c r="R62" i="3" s="1"/>
  <c r="Q48" i="3"/>
  <c r="R48" i="3" s="1"/>
  <c r="Q34" i="3"/>
  <c r="Q55" i="3"/>
  <c r="R55" i="3" s="1"/>
  <c r="Q68" i="3"/>
  <c r="R68" i="3" s="1"/>
  <c r="Q60" i="3"/>
  <c r="R60" i="3" s="1"/>
  <c r="Q53" i="3"/>
  <c r="R53" i="3" s="1"/>
  <c r="Q46" i="3"/>
  <c r="Q39" i="3"/>
  <c r="Q32" i="3"/>
  <c r="E46" i="3"/>
  <c r="E60" i="3"/>
  <c r="E39" i="3"/>
  <c r="F39" i="3" s="1"/>
  <c r="E32" i="3"/>
  <c r="F32" i="3" s="1"/>
  <c r="E53" i="3"/>
  <c r="Q66" i="3"/>
  <c r="R52" i="3"/>
  <c r="D69" i="3"/>
  <c r="D68" i="3"/>
  <c r="D67" i="3"/>
  <c r="P66" i="3"/>
  <c r="R31" i="3"/>
  <c r="R59" i="3"/>
  <c r="P64" i="3"/>
  <c r="R22" i="3"/>
  <c r="Q29" i="3"/>
  <c r="R29" i="3"/>
  <c r="K29" i="3"/>
  <c r="L22" i="3"/>
  <c r="L24" i="3"/>
  <c r="L29" i="3" s="1"/>
  <c r="F19" i="3"/>
  <c r="F26" i="3" s="1"/>
  <c r="F20" i="3"/>
  <c r="F27" i="3" s="1"/>
  <c r="F15" i="3"/>
  <c r="F21" i="3"/>
  <c r="E28" i="3"/>
  <c r="E27" i="3"/>
  <c r="E26" i="3"/>
  <c r="F17" i="3"/>
  <c r="E22" i="3"/>
  <c r="D22" i="3"/>
  <c r="E15" i="3"/>
  <c r="D15" i="3"/>
  <c r="D24" i="3"/>
  <c r="D23" i="8" l="1"/>
  <c r="F22" i="8"/>
  <c r="R36" i="7"/>
  <c r="K71" i="7"/>
  <c r="L66" i="7"/>
  <c r="L71" i="7" s="1"/>
  <c r="R66" i="7"/>
  <c r="R71" i="7" s="1"/>
  <c r="Q71" i="7"/>
  <c r="L36" i="7"/>
  <c r="R71" i="6"/>
  <c r="L68" i="5"/>
  <c r="L71" i="5" s="1"/>
  <c r="K71" i="5"/>
  <c r="R68" i="5"/>
  <c r="R71" i="5" s="1"/>
  <c r="Q71" i="5"/>
  <c r="L35" i="3"/>
  <c r="K70" i="3"/>
  <c r="L70" i="3" s="1"/>
  <c r="K68" i="3"/>
  <c r="L68" i="3" s="1"/>
  <c r="L33" i="3"/>
  <c r="L31" i="3"/>
  <c r="K66" i="3"/>
  <c r="K36" i="3"/>
  <c r="K57" i="3"/>
  <c r="L52" i="3"/>
  <c r="L57" i="3" s="1"/>
  <c r="K64" i="3"/>
  <c r="L59" i="3"/>
  <c r="L64" i="3" s="1"/>
  <c r="K43" i="3"/>
  <c r="L38" i="3"/>
  <c r="L43" i="3" s="1"/>
  <c r="L45" i="3"/>
  <c r="L50" i="3" s="1"/>
  <c r="K50" i="3"/>
  <c r="E63" i="3"/>
  <c r="E42" i="3"/>
  <c r="E56" i="3"/>
  <c r="E35" i="3"/>
  <c r="E49" i="3"/>
  <c r="R57" i="3"/>
  <c r="Q57" i="3"/>
  <c r="R66" i="3"/>
  <c r="E62" i="3"/>
  <c r="E55" i="3"/>
  <c r="E41" i="3"/>
  <c r="E34" i="3"/>
  <c r="E48" i="3"/>
  <c r="R64" i="3"/>
  <c r="R34" i="3"/>
  <c r="Q69" i="3"/>
  <c r="R69" i="3" s="1"/>
  <c r="Q36" i="3"/>
  <c r="Q64" i="3"/>
  <c r="E61" i="3"/>
  <c r="E54" i="3"/>
  <c r="E33" i="3"/>
  <c r="E47" i="3"/>
  <c r="E40" i="3"/>
  <c r="Q43" i="3"/>
  <c r="R39" i="3"/>
  <c r="R43" i="3" s="1"/>
  <c r="Q50" i="3"/>
  <c r="R46" i="3"/>
  <c r="R50" i="3" s="1"/>
  <c r="E67" i="3"/>
  <c r="F67" i="3" s="1"/>
  <c r="Q67" i="3"/>
  <c r="R67" i="3" s="1"/>
  <c r="R32" i="3"/>
  <c r="D31" i="3"/>
  <c r="D59" i="3"/>
  <c r="D45" i="3"/>
  <c r="D52" i="3"/>
  <c r="D38" i="3"/>
  <c r="F53" i="3"/>
  <c r="F42" i="3"/>
  <c r="D8" i="3"/>
  <c r="F40" i="3"/>
  <c r="D36" i="3"/>
  <c r="D29" i="3"/>
  <c r="F22" i="3"/>
  <c r="F28" i="3"/>
  <c r="F3" i="3"/>
  <c r="E24" i="3"/>
  <c r="E29" i="3"/>
  <c r="F41" i="3"/>
  <c r="E8" i="3"/>
  <c r="F2" i="2"/>
  <c r="F23" i="8" l="1"/>
  <c r="D24" i="8"/>
  <c r="L36" i="3"/>
  <c r="K71" i="3"/>
  <c r="L66" i="3"/>
  <c r="L71" i="3" s="1"/>
  <c r="R36" i="3"/>
  <c r="F35" i="3"/>
  <c r="E70" i="3"/>
  <c r="F70" i="3" s="1"/>
  <c r="R71" i="3"/>
  <c r="E69" i="3"/>
  <c r="F69" i="3" s="1"/>
  <c r="F34" i="3"/>
  <c r="E68" i="3"/>
  <c r="F68" i="3" s="1"/>
  <c r="F33" i="3"/>
  <c r="Q71" i="3"/>
  <c r="E59" i="3"/>
  <c r="E31" i="3"/>
  <c r="E36" i="3" s="1"/>
  <c r="E45" i="3"/>
  <c r="E52" i="3"/>
  <c r="E38" i="3"/>
  <c r="F38" i="3" s="1"/>
  <c r="D66" i="3"/>
  <c r="F31" i="3"/>
  <c r="F60" i="3"/>
  <c r="F46" i="3"/>
  <c r="F55" i="3"/>
  <c r="F47" i="3"/>
  <c r="F49" i="3"/>
  <c r="F24" i="3"/>
  <c r="F8" i="3"/>
  <c r="D25" i="8" l="1"/>
  <c r="D26" i="8" s="1"/>
  <c r="F24" i="8"/>
  <c r="E66" i="3"/>
  <c r="E71" i="3" s="1"/>
  <c r="D71" i="3"/>
  <c r="F62" i="3"/>
  <c r="F48" i="3"/>
  <c r="E43" i="3"/>
  <c r="E50" i="3"/>
  <c r="D43" i="3"/>
  <c r="F29" i="3"/>
  <c r="F36" i="3"/>
  <c r="F10" i="2"/>
  <c r="D27" i="8" l="1"/>
  <c r="D28" i="8" s="1"/>
  <c r="D29" i="8" s="1"/>
  <c r="D30" i="8" s="1"/>
  <c r="D31" i="8" s="1"/>
  <c r="D32" i="8" s="1"/>
  <c r="D33" i="8" s="1"/>
  <c r="D34" i="8" s="1"/>
  <c r="D35" i="8" s="1"/>
  <c r="F34" i="8"/>
  <c r="F25" i="8"/>
  <c r="F11" i="2"/>
  <c r="F66" i="3"/>
  <c r="F71" i="3" s="1"/>
  <c r="F63" i="3"/>
  <c r="F56" i="3"/>
  <c r="F61" i="3"/>
  <c r="F54" i="3"/>
  <c r="D50" i="3"/>
  <c r="F45" i="3"/>
  <c r="E57" i="3"/>
  <c r="E60" i="2"/>
  <c r="F12" i="2"/>
  <c r="E59" i="2"/>
  <c r="F35" i="8" l="1"/>
  <c r="D36" i="8"/>
  <c r="F26" i="8"/>
  <c r="D59" i="8"/>
  <c r="E64" i="3"/>
  <c r="D57" i="3"/>
  <c r="F52" i="3"/>
  <c r="F43" i="3"/>
  <c r="F50" i="3"/>
  <c r="F13" i="2"/>
  <c r="F36" i="8" l="1"/>
  <c r="D37" i="8"/>
  <c r="F27" i="8"/>
  <c r="D64" i="3"/>
  <c r="F59" i="3"/>
  <c r="F57" i="3"/>
  <c r="E61" i="2"/>
  <c r="F14" i="2"/>
  <c r="D38" i="8" l="1"/>
  <c r="F37" i="8"/>
  <c r="F28" i="8"/>
  <c r="F64" i="3"/>
  <c r="F15" i="2"/>
  <c r="D60" i="8" l="1"/>
  <c r="D39" i="8"/>
  <c r="F38" i="8"/>
  <c r="F29" i="8"/>
  <c r="F16" i="2"/>
  <c r="F39" i="8" l="1"/>
  <c r="D40" i="8"/>
  <c r="F30" i="8"/>
  <c r="F17" i="2"/>
  <c r="F40" i="8" l="1"/>
  <c r="D41" i="8"/>
  <c r="F31" i="8"/>
  <c r="F18" i="2"/>
  <c r="F41" i="8" l="1"/>
  <c r="D42" i="8"/>
  <c r="F32" i="8"/>
  <c r="F19" i="2"/>
  <c r="D43" i="8" l="1"/>
  <c r="F42" i="8"/>
  <c r="F33" i="8"/>
  <c r="F20" i="2"/>
  <c r="F43" i="8" l="1"/>
  <c r="D44" i="8"/>
  <c r="F21" i="2"/>
  <c r="F44" i="8" l="1"/>
  <c r="D45" i="8"/>
  <c r="F22" i="2"/>
  <c r="F45" i="8" l="1"/>
  <c r="D46" i="8"/>
  <c r="F23" i="2"/>
  <c r="D47" i="8" l="1"/>
  <c r="F46" i="8"/>
  <c r="F24" i="2"/>
  <c r="F47" i="8" l="1"/>
  <c r="D48" i="8"/>
  <c r="F25" i="2"/>
  <c r="F48" i="8" l="1"/>
  <c r="D49" i="8"/>
  <c r="F26" i="2"/>
  <c r="D59" i="2"/>
  <c r="F49" i="8" l="1"/>
  <c r="D50" i="8"/>
  <c r="F27" i="2"/>
  <c r="D51" i="8" l="1"/>
  <c r="F50" i="8"/>
  <c r="F28" i="2"/>
  <c r="F51" i="8" l="1"/>
  <c r="D52" i="8"/>
  <c r="F29" i="2"/>
  <c r="F52" i="8" l="1"/>
  <c r="D53" i="8"/>
  <c r="F30" i="2"/>
  <c r="F53" i="8" l="1"/>
  <c r="D54" i="8"/>
  <c r="F31" i="2"/>
  <c r="D55" i="8" l="1"/>
  <c r="F54" i="8"/>
  <c r="F32" i="2"/>
  <c r="D56" i="8" l="1"/>
  <c r="F55" i="8"/>
  <c r="F33" i="2"/>
  <c r="F56" i="8" l="1"/>
  <c r="D57" i="8"/>
  <c r="F57" i="8" s="1"/>
  <c r="F34" i="2"/>
  <c r="F35" i="2" l="1"/>
  <c r="F36" i="2" l="1"/>
  <c r="D61" i="8" l="1"/>
  <c r="F37" i="2"/>
  <c r="F38" i="2" l="1"/>
  <c r="D60" i="2"/>
  <c r="F39" i="2" l="1"/>
  <c r="F40" i="2" l="1"/>
  <c r="F41" i="2" l="1"/>
  <c r="F42" i="2" l="1"/>
  <c r="F43" i="2" l="1"/>
  <c r="F44" i="2" l="1"/>
  <c r="F45" i="2" l="1"/>
  <c r="F46" i="2" l="1"/>
  <c r="F47" i="2" l="1"/>
  <c r="F48" i="2" l="1"/>
  <c r="F49" i="2" l="1"/>
  <c r="F50" i="2" l="1"/>
  <c r="D61" i="2"/>
  <c r="F51" i="2" l="1"/>
  <c r="F52" i="2" l="1"/>
  <c r="F53" i="2" l="1"/>
  <c r="F54" i="2" l="1"/>
  <c r="F55" i="2" l="1"/>
  <c r="F56" i="2" l="1"/>
  <c r="F57" i="2"/>
  <c r="F6" i="1" l="1"/>
  <c r="F4" i="1"/>
  <c r="F5" i="1"/>
  <c r="F3" i="1"/>
  <c r="E10" i="1"/>
  <c r="E11" i="1" s="1"/>
  <c r="E12" i="1" s="1"/>
  <c r="E13" i="1" s="1"/>
  <c r="E14" i="1" s="1"/>
  <c r="D10" i="1"/>
  <c r="D11" i="1" s="1"/>
  <c r="D12" i="1" s="1"/>
  <c r="D13" i="1" s="1"/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F10" i="1"/>
  <c r="D14" i="1"/>
  <c r="F11" i="1" l="1"/>
  <c r="E27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59" i="1"/>
  <c r="F13" i="1"/>
  <c r="F12" i="1"/>
  <c r="F14" i="1"/>
  <c r="D15" i="1"/>
  <c r="E39" i="1" l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60" i="1"/>
  <c r="F15" i="1"/>
  <c r="D16" i="1"/>
  <c r="E61" i="1" l="1"/>
  <c r="D17" i="1"/>
  <c r="F16" i="1"/>
  <c r="D18" i="1" l="1"/>
  <c r="F17" i="1"/>
  <c r="F18" i="1" l="1"/>
  <c r="D19" i="1"/>
  <c r="F19" i="1" l="1"/>
  <c r="D20" i="1"/>
  <c r="D21" i="1" l="1"/>
  <c r="F20" i="1"/>
  <c r="F21" i="1" l="1"/>
  <c r="D22" i="1"/>
  <c r="D23" i="1" l="1"/>
  <c r="F22" i="1"/>
  <c r="D24" i="1" l="1"/>
  <c r="F23" i="1"/>
  <c r="D25" i="1" l="1"/>
  <c r="F24" i="1"/>
  <c r="D26" i="1" l="1"/>
  <c r="F25" i="1"/>
  <c r="D27" i="1" l="1"/>
  <c r="F26" i="1"/>
  <c r="D59" i="1"/>
  <c r="D28" i="1" l="1"/>
  <c r="F27" i="1"/>
  <c r="D29" i="1" l="1"/>
  <c r="F28" i="1"/>
  <c r="D30" i="1" l="1"/>
  <c r="F29" i="1"/>
  <c r="F30" i="1" l="1"/>
  <c r="D31" i="1"/>
  <c r="F31" i="1" l="1"/>
  <c r="D32" i="1"/>
  <c r="F32" i="1" l="1"/>
  <c r="D33" i="1"/>
  <c r="D34" i="1" l="1"/>
  <c r="F33" i="1"/>
  <c r="F34" i="1" l="1"/>
  <c r="D35" i="1"/>
  <c r="D36" i="1" l="1"/>
  <c r="F35" i="1"/>
  <c r="D37" i="1" l="1"/>
  <c r="F36" i="1"/>
  <c r="D38" i="1" l="1"/>
  <c r="F37" i="1"/>
  <c r="D39" i="1" l="1"/>
  <c r="F38" i="1"/>
  <c r="D60" i="1"/>
  <c r="D40" i="1" l="1"/>
  <c r="F39" i="1"/>
  <c r="F40" i="1" l="1"/>
  <c r="D41" i="1"/>
  <c r="F41" i="1" l="1"/>
  <c r="D42" i="1"/>
  <c r="F42" i="1" l="1"/>
  <c r="D43" i="1"/>
  <c r="F43" i="1" l="1"/>
  <c r="D44" i="1"/>
  <c r="F44" i="1" l="1"/>
  <c r="D45" i="1"/>
  <c r="F45" i="1" l="1"/>
  <c r="D46" i="1"/>
  <c r="D47" i="1" l="1"/>
  <c r="F46" i="1"/>
  <c r="D48" i="1" l="1"/>
  <c r="F47" i="1"/>
  <c r="D49" i="1" l="1"/>
  <c r="F48" i="1"/>
  <c r="F49" i="1" l="1"/>
  <c r="D50" i="1"/>
  <c r="F50" i="1" l="1"/>
  <c r="D51" i="1"/>
  <c r="D61" i="1"/>
  <c r="D52" i="1" l="1"/>
  <c r="F51" i="1"/>
  <c r="F52" i="1" l="1"/>
  <c r="D53" i="1"/>
  <c r="F53" i="1" l="1"/>
  <c r="D54" i="1"/>
  <c r="F54" i="1" l="1"/>
  <c r="D55" i="1"/>
  <c r="D56" i="1" l="1"/>
  <c r="F55" i="1"/>
  <c r="F56" i="1" l="1"/>
  <c r="D57" i="1"/>
  <c r="F57" i="1" s="1"/>
</calcChain>
</file>

<file path=xl/sharedStrings.xml><?xml version="1.0" encoding="utf-8"?>
<sst xmlns="http://schemas.openxmlformats.org/spreadsheetml/2006/main" count="741" uniqueCount="38">
  <si>
    <t>WA E</t>
  </si>
  <si>
    <t>ID E</t>
  </si>
  <si>
    <t>WA G</t>
  </si>
  <si>
    <t>ID G</t>
  </si>
  <si>
    <t>Amortization of Excess Plant ADFIT</t>
  </si>
  <si>
    <t>Accumulated Amortization of Excess ADFIT</t>
  </si>
  <si>
    <t>Total</t>
  </si>
  <si>
    <t>AMA (5/1/2018-4/30/2019)</t>
  </si>
  <si>
    <t>AMA (5/1/2019-4/30/2020)</t>
  </si>
  <si>
    <t>AMA (5/1/2020-4/30/2021)</t>
  </si>
  <si>
    <t>Accumulated Amortization of Non-Plant Excess ADFIT</t>
  </si>
  <si>
    <t>Excess Non-Plant ADFIT included in Rate Base</t>
  </si>
  <si>
    <t>Begin Refund to Customers</t>
  </si>
  <si>
    <t>Electric</t>
  </si>
  <si>
    <t>Gas North</t>
  </si>
  <si>
    <t>Gas South</t>
  </si>
  <si>
    <t>CD.AA</t>
  </si>
  <si>
    <t>CD.AN</t>
  </si>
  <si>
    <t>Before Tax Law Change</t>
  </si>
  <si>
    <t>After Tax Law Change</t>
  </si>
  <si>
    <t>Normal DFIT on Tax vs Book Expense</t>
  </si>
  <si>
    <t>Pre-2018 Flow-thru</t>
  </si>
  <si>
    <t>2018 Excess ADFIT</t>
  </si>
  <si>
    <t>DFIT Expense</t>
  </si>
  <si>
    <t>WA</t>
  </si>
  <si>
    <t>ID</t>
  </si>
  <si>
    <t>Oregon</t>
  </si>
  <si>
    <t>OR</t>
  </si>
  <si>
    <t>WA Electric</t>
  </si>
  <si>
    <t>ID Electric</t>
  </si>
  <si>
    <t>WA Gas</t>
  </si>
  <si>
    <t>ID Gas</t>
  </si>
  <si>
    <t>Oregon Gas</t>
  </si>
  <si>
    <t>Change</t>
  </si>
  <si>
    <t>DFIT Expense - Impact</t>
  </si>
  <si>
    <t>ADFIT Impact</t>
  </si>
  <si>
    <t>Number of Months</t>
  </si>
  <si>
    <t>Monthly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</si>
</sst>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4" fontId="0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64" fontId="0" fillId="2" borderId="0" xfId="1" applyNumberFormat="1" applyFont="1" applyFill="1"/>
    <xf numFmtId="164" fontId="0" fillId="2" borderId="5" xfId="1" applyNumberFormat="1" applyFont="1" applyFill="1" applyBorder="1"/>
    <xf numFmtId="14" fontId="0" fillId="0" borderId="6" xfId="0" applyNumberFormat="1" applyBorder="1"/>
    <xf numFmtId="0" fontId="0" fillId="0" borderId="6" xfId="0" applyBorder="1"/>
    <xf numFmtId="164" fontId="0" fillId="3" borderId="5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F63"/>
  <sheetViews>
    <sheetView tabSelected="1" workbookViewId="0">
      <selection activeCell="J23" sqref="J23"/>
    </sheetView>
  </sheetViews>
  <sheetFormatPr defaultRowHeight="15" x14ac:dyDescent="0.25"/>
  <cols>
    <col min="3" max="3" width="36.42578125" bestFit="1" customWidth="1"/>
    <col min="4" max="4" width="11.5703125" bestFit="1" customWidth="1"/>
    <col min="5" max="5" width="10.5703125" bestFit="1" customWidth="1"/>
    <col min="6" max="6" width="11.5703125" bestFit="1" customWidth="1"/>
  </cols>
  <sheetData>
    <row r="2" spans="3:6" x14ac:dyDescent="0.25">
      <c r="C2" t="s">
        <v>4</v>
      </c>
      <c r="D2" s="2" t="s">
        <v>0</v>
      </c>
      <c r="E2" s="2" t="s">
        <v>2</v>
      </c>
      <c r="F2" s="2" t="s">
        <v>6</v>
      </c>
    </row>
    <row r="3" spans="3:6" x14ac:dyDescent="0.25">
      <c r="C3">
        <v>2018</v>
      </c>
      <c r="D3" s="3">
        <f>'2018 Impact Plant'!$R$36</f>
        <v>4414693.835497722</v>
      </c>
      <c r="E3" s="3">
        <f>'2018 Impact Plant'!$R$50</f>
        <v>910786.87186489813</v>
      </c>
      <c r="F3" s="3">
        <f>SUM(D3:E3)</f>
        <v>5325480.7073626202</v>
      </c>
    </row>
    <row r="4" spans="3:6" x14ac:dyDescent="0.25">
      <c r="C4">
        <v>2019</v>
      </c>
      <c r="D4" s="3">
        <f>'2019 Impact Plant'!$R$36</f>
        <v>4956297.8065826278</v>
      </c>
      <c r="E4" s="3">
        <f>'2019 Impact Plant'!$R$50</f>
        <v>1079321.7331300182</v>
      </c>
      <c r="F4" s="3">
        <f>SUM(D4:E4)</f>
        <v>6035619.539712646</v>
      </c>
    </row>
    <row r="5" spans="3:6" x14ac:dyDescent="0.25">
      <c r="C5">
        <v>2020</v>
      </c>
      <c r="D5" s="3">
        <f>'2020 Impact Plant'!$R$36</f>
        <v>5564829.9004102051</v>
      </c>
      <c r="E5" s="3">
        <f>'2020 Impact Plant'!$R$50</f>
        <v>1319859.4141648095</v>
      </c>
      <c r="F5" s="3">
        <f>SUM(D5:E5)</f>
        <v>6884689.3145750146</v>
      </c>
    </row>
    <row r="6" spans="3:6" x14ac:dyDescent="0.25">
      <c r="C6">
        <v>2021</v>
      </c>
      <c r="D6" s="3">
        <f>'2021 Impact Plant'!$R$36</f>
        <v>5858968.9187783515</v>
      </c>
      <c r="E6" s="3">
        <f>'2021 Impact Plant'!$R$50</f>
        <v>1687838.6787638674</v>
      </c>
      <c r="F6" s="3">
        <f>SUM(D6:E6)</f>
        <v>7546807.5975422189</v>
      </c>
    </row>
    <row r="9" spans="3:6" x14ac:dyDescent="0.25">
      <c r="C9" t="s">
        <v>5</v>
      </c>
      <c r="D9" s="2" t="s">
        <v>0</v>
      </c>
      <c r="E9" s="2" t="s">
        <v>2</v>
      </c>
      <c r="F9" s="2" t="s">
        <v>6</v>
      </c>
    </row>
    <row r="10" spans="3:6" x14ac:dyDescent="0.25">
      <c r="C10" s="1">
        <v>43131</v>
      </c>
      <c r="D10" s="3">
        <f>D3/12</f>
        <v>367891.1529581435</v>
      </c>
      <c r="E10" s="3">
        <f t="shared" ref="E10" si="0">E3/12</f>
        <v>75898.905988741506</v>
      </c>
      <c r="F10" s="3">
        <f t="shared" ref="F10:F57" si="1">SUM(D10:E10)</f>
        <v>443790.05894688499</v>
      </c>
    </row>
    <row r="11" spans="3:6" x14ac:dyDescent="0.25">
      <c r="C11" s="1">
        <v>43159</v>
      </c>
      <c r="D11" s="3">
        <f>D10+($D$3/12)</f>
        <v>735782.305916287</v>
      </c>
      <c r="E11" s="3">
        <f>E10+($E$3/12)</f>
        <v>151797.81197748301</v>
      </c>
      <c r="F11" s="3">
        <f t="shared" si="1"/>
        <v>887580.11789376999</v>
      </c>
    </row>
    <row r="12" spans="3:6" x14ac:dyDescent="0.25">
      <c r="C12" s="1">
        <v>43190</v>
      </c>
      <c r="D12" s="3">
        <f t="shared" ref="D12:D21" si="2">D11+($D$3/12)</f>
        <v>1103673.4588744305</v>
      </c>
      <c r="E12" s="3">
        <f t="shared" ref="E12:E21" si="3">E11+($E$3/12)</f>
        <v>227696.71796622453</v>
      </c>
      <c r="F12" s="3">
        <f t="shared" si="1"/>
        <v>1331370.176840655</v>
      </c>
    </row>
    <row r="13" spans="3:6" x14ac:dyDescent="0.25">
      <c r="C13" s="1">
        <v>43220</v>
      </c>
      <c r="D13" s="3">
        <f t="shared" si="2"/>
        <v>1471564.611832574</v>
      </c>
      <c r="E13" s="3">
        <f t="shared" si="3"/>
        <v>303595.62395496602</v>
      </c>
      <c r="F13" s="3">
        <f t="shared" si="1"/>
        <v>1775160.23578754</v>
      </c>
    </row>
    <row r="14" spans="3:6" x14ac:dyDescent="0.25">
      <c r="C14" s="1">
        <v>43251</v>
      </c>
      <c r="D14" s="3">
        <f t="shared" si="2"/>
        <v>1839455.7647907175</v>
      </c>
      <c r="E14" s="3">
        <f t="shared" si="3"/>
        <v>379494.52994370752</v>
      </c>
      <c r="F14" s="3">
        <f t="shared" si="1"/>
        <v>2218950.2947344249</v>
      </c>
    </row>
    <row r="15" spans="3:6" x14ac:dyDescent="0.25">
      <c r="C15" s="1">
        <v>43281</v>
      </c>
      <c r="D15" s="3">
        <f t="shared" si="2"/>
        <v>2207346.917748861</v>
      </c>
      <c r="E15" s="3">
        <f t="shared" si="3"/>
        <v>455393.43593244901</v>
      </c>
      <c r="F15" s="3">
        <f t="shared" si="1"/>
        <v>2662740.3536813101</v>
      </c>
    </row>
    <row r="16" spans="3:6" x14ac:dyDescent="0.25">
      <c r="C16" s="1">
        <v>43312</v>
      </c>
      <c r="D16" s="3">
        <f t="shared" si="2"/>
        <v>2575238.0707070045</v>
      </c>
      <c r="E16" s="3">
        <f t="shared" si="3"/>
        <v>531292.3419211905</v>
      </c>
      <c r="F16" s="3">
        <f t="shared" si="1"/>
        <v>3106530.4126281952</v>
      </c>
    </row>
    <row r="17" spans="3:6" x14ac:dyDescent="0.25">
      <c r="C17" s="1">
        <v>43343</v>
      </c>
      <c r="D17" s="3">
        <f t="shared" si="2"/>
        <v>2943129.223665148</v>
      </c>
      <c r="E17" s="3">
        <f t="shared" si="3"/>
        <v>607191.24790993205</v>
      </c>
      <c r="F17" s="3">
        <f t="shared" si="1"/>
        <v>3550320.47157508</v>
      </c>
    </row>
    <row r="18" spans="3:6" x14ac:dyDescent="0.25">
      <c r="C18" s="1">
        <v>43373</v>
      </c>
      <c r="D18" s="3">
        <f t="shared" si="2"/>
        <v>3311020.3766232915</v>
      </c>
      <c r="E18" s="3">
        <f t="shared" si="3"/>
        <v>683090.1538986736</v>
      </c>
      <c r="F18" s="3">
        <f t="shared" si="1"/>
        <v>3994110.5305219651</v>
      </c>
    </row>
    <row r="19" spans="3:6" x14ac:dyDescent="0.25">
      <c r="C19" s="1">
        <v>43404</v>
      </c>
      <c r="D19" s="3">
        <f t="shared" si="2"/>
        <v>3678911.529581435</v>
      </c>
      <c r="E19" s="3">
        <f t="shared" si="3"/>
        <v>758989.05988741515</v>
      </c>
      <c r="F19" s="3">
        <f t="shared" si="1"/>
        <v>4437900.5894688498</v>
      </c>
    </row>
    <row r="20" spans="3:6" x14ac:dyDescent="0.25">
      <c r="C20" s="1">
        <v>43434</v>
      </c>
      <c r="D20" s="3">
        <f t="shared" si="2"/>
        <v>4046802.6825395785</v>
      </c>
      <c r="E20" s="3">
        <f t="shared" si="3"/>
        <v>834887.9658761567</v>
      </c>
      <c r="F20" s="3">
        <f t="shared" si="1"/>
        <v>4881690.648415735</v>
      </c>
    </row>
    <row r="21" spans="3:6" x14ac:dyDescent="0.25">
      <c r="C21" s="1">
        <v>43465</v>
      </c>
      <c r="D21" s="3">
        <f t="shared" si="2"/>
        <v>4414693.835497722</v>
      </c>
      <c r="E21" s="3">
        <f t="shared" si="3"/>
        <v>910786.87186489825</v>
      </c>
      <c r="F21" s="3">
        <f t="shared" si="1"/>
        <v>5325480.7073626202</v>
      </c>
    </row>
    <row r="22" spans="3:6" x14ac:dyDescent="0.25">
      <c r="C22" s="1">
        <v>43496</v>
      </c>
      <c r="D22" s="3">
        <f>D21+($D$4/12)</f>
        <v>4827718.6527129412</v>
      </c>
      <c r="E22" s="3">
        <f>E21+($E$4/12)</f>
        <v>1000730.3496257331</v>
      </c>
      <c r="F22" s="3">
        <f t="shared" si="1"/>
        <v>5828449.0023386739</v>
      </c>
    </row>
    <row r="23" spans="3:6" x14ac:dyDescent="0.25">
      <c r="C23" s="1">
        <v>43524</v>
      </c>
      <c r="D23" s="3">
        <f t="shared" ref="D23:D33" si="4">D22+($D$4/12)</f>
        <v>5240743.4699281603</v>
      </c>
      <c r="E23" s="3">
        <f t="shared" ref="E23:E33" si="5">E22+($E$4/12)</f>
        <v>1090673.8273865678</v>
      </c>
      <c r="F23" s="3">
        <f t="shared" si="1"/>
        <v>6331417.2973147277</v>
      </c>
    </row>
    <row r="24" spans="3:6" x14ac:dyDescent="0.25">
      <c r="C24" s="1">
        <v>43555</v>
      </c>
      <c r="D24" s="3">
        <f t="shared" si="4"/>
        <v>5653768.2871433794</v>
      </c>
      <c r="E24" s="3">
        <f t="shared" si="5"/>
        <v>1180617.3051474027</v>
      </c>
      <c r="F24" s="3">
        <f t="shared" si="1"/>
        <v>6834385.5922907824</v>
      </c>
    </row>
    <row r="25" spans="3:6" x14ac:dyDescent="0.25">
      <c r="C25" s="1">
        <v>43585</v>
      </c>
      <c r="D25" s="3">
        <f t="shared" si="4"/>
        <v>6066793.1043585986</v>
      </c>
      <c r="E25" s="3">
        <f t="shared" si="5"/>
        <v>1270560.7829082375</v>
      </c>
      <c r="F25" s="3">
        <f t="shared" si="1"/>
        <v>7337353.8872668361</v>
      </c>
    </row>
    <row r="26" spans="3:6" x14ac:dyDescent="0.25">
      <c r="C26" s="1">
        <v>43616</v>
      </c>
      <c r="D26" s="3">
        <f t="shared" si="4"/>
        <v>6479817.9215738177</v>
      </c>
      <c r="E26" s="3">
        <f t="shared" si="5"/>
        <v>1360504.2606690724</v>
      </c>
      <c r="F26" s="3">
        <f t="shared" si="1"/>
        <v>7840322.1822428899</v>
      </c>
    </row>
    <row r="27" spans="3:6" x14ac:dyDescent="0.25">
      <c r="C27" s="1">
        <v>43646</v>
      </c>
      <c r="D27" s="3">
        <f t="shared" si="4"/>
        <v>6892842.7387890369</v>
      </c>
      <c r="E27" s="3">
        <f t="shared" si="5"/>
        <v>1450447.7384299072</v>
      </c>
      <c r="F27" s="3">
        <f t="shared" si="1"/>
        <v>8343290.4772189446</v>
      </c>
    </row>
    <row r="28" spans="3:6" x14ac:dyDescent="0.25">
      <c r="C28" s="1">
        <v>43677</v>
      </c>
      <c r="D28" s="3">
        <f t="shared" si="4"/>
        <v>7305867.556004256</v>
      </c>
      <c r="E28" s="3">
        <f t="shared" si="5"/>
        <v>1540391.2161907421</v>
      </c>
      <c r="F28" s="3">
        <f t="shared" si="1"/>
        <v>8846258.7721949983</v>
      </c>
    </row>
    <row r="29" spans="3:6" x14ac:dyDescent="0.25">
      <c r="C29" s="1">
        <v>43708</v>
      </c>
      <c r="D29" s="3">
        <f t="shared" si="4"/>
        <v>7718892.3732194752</v>
      </c>
      <c r="E29" s="3">
        <f t="shared" si="5"/>
        <v>1630334.6939515769</v>
      </c>
      <c r="F29" s="3">
        <f t="shared" si="1"/>
        <v>9349227.0671710521</v>
      </c>
    </row>
    <row r="30" spans="3:6" x14ac:dyDescent="0.25">
      <c r="C30" s="1">
        <v>43738</v>
      </c>
      <c r="D30" s="3">
        <f t="shared" si="4"/>
        <v>8131917.1904346943</v>
      </c>
      <c r="E30" s="3">
        <f t="shared" si="5"/>
        <v>1720278.1717124118</v>
      </c>
      <c r="F30" s="3">
        <f t="shared" si="1"/>
        <v>9852195.3621471059</v>
      </c>
    </row>
    <row r="31" spans="3:6" x14ac:dyDescent="0.25">
      <c r="C31" s="1">
        <v>43769</v>
      </c>
      <c r="D31" s="3">
        <f t="shared" si="4"/>
        <v>8544942.0076499134</v>
      </c>
      <c r="E31" s="3">
        <f t="shared" si="5"/>
        <v>1810221.6494732467</v>
      </c>
      <c r="F31" s="3">
        <f t="shared" si="1"/>
        <v>10355163.65712316</v>
      </c>
    </row>
    <row r="32" spans="3:6" x14ac:dyDescent="0.25">
      <c r="C32" s="1">
        <v>43799</v>
      </c>
      <c r="D32" s="3">
        <f t="shared" si="4"/>
        <v>8957966.8248651326</v>
      </c>
      <c r="E32" s="3">
        <f t="shared" si="5"/>
        <v>1900165.1272340815</v>
      </c>
      <c r="F32" s="3">
        <f t="shared" si="1"/>
        <v>10858131.952099213</v>
      </c>
    </row>
    <row r="33" spans="3:6" x14ac:dyDescent="0.25">
      <c r="C33" s="1">
        <v>43830</v>
      </c>
      <c r="D33" s="3">
        <f t="shared" si="4"/>
        <v>9370991.6420803517</v>
      </c>
      <c r="E33" s="3">
        <f t="shared" si="5"/>
        <v>1990108.6049949164</v>
      </c>
      <c r="F33" s="3">
        <f t="shared" si="1"/>
        <v>11361100.247075267</v>
      </c>
    </row>
    <row r="34" spans="3:6" x14ac:dyDescent="0.25">
      <c r="C34" s="1">
        <v>43861</v>
      </c>
      <c r="D34" s="3">
        <f>D33+($D$5/12)</f>
        <v>9834727.4671145361</v>
      </c>
      <c r="E34" s="3">
        <f>E33+($E$5/12)</f>
        <v>2100096.8895086506</v>
      </c>
      <c r="F34" s="3">
        <f t="shared" si="1"/>
        <v>11934824.356623188</v>
      </c>
    </row>
    <row r="35" spans="3:6" x14ac:dyDescent="0.25">
      <c r="C35" s="1">
        <v>43890</v>
      </c>
      <c r="D35" s="3">
        <f t="shared" ref="D35:D45" si="6">D34+($D$5/12)</f>
        <v>10298463.29214872</v>
      </c>
      <c r="E35" s="3">
        <f t="shared" ref="E35:E45" si="7">E34+($E$5/12)</f>
        <v>2210085.1740223849</v>
      </c>
      <c r="F35" s="3">
        <f t="shared" si="1"/>
        <v>12508548.466171104</v>
      </c>
    </row>
    <row r="36" spans="3:6" x14ac:dyDescent="0.25">
      <c r="C36" s="1">
        <v>43921</v>
      </c>
      <c r="D36" s="3">
        <f t="shared" si="6"/>
        <v>10762199.117182905</v>
      </c>
      <c r="E36" s="3">
        <f t="shared" si="7"/>
        <v>2320073.4585361192</v>
      </c>
      <c r="F36" s="3">
        <f t="shared" si="1"/>
        <v>13082272.575719025</v>
      </c>
    </row>
    <row r="37" spans="3:6" x14ac:dyDescent="0.25">
      <c r="C37" s="1">
        <v>43951</v>
      </c>
      <c r="D37" s="3">
        <f t="shared" si="6"/>
        <v>11225934.942217089</v>
      </c>
      <c r="E37" s="3">
        <f t="shared" si="7"/>
        <v>2430061.7430498535</v>
      </c>
      <c r="F37" s="3">
        <f t="shared" si="1"/>
        <v>13655996.685266942</v>
      </c>
    </row>
    <row r="38" spans="3:6" x14ac:dyDescent="0.25">
      <c r="C38" s="1">
        <v>43982</v>
      </c>
      <c r="D38" s="3">
        <f t="shared" si="6"/>
        <v>11689670.767251274</v>
      </c>
      <c r="E38" s="3">
        <f t="shared" si="7"/>
        <v>2540050.0275635878</v>
      </c>
      <c r="F38" s="3">
        <f t="shared" si="1"/>
        <v>14229720.794814862</v>
      </c>
    </row>
    <row r="39" spans="3:6" x14ac:dyDescent="0.25">
      <c r="C39" s="1">
        <v>44012</v>
      </c>
      <c r="D39" s="3">
        <f t="shared" si="6"/>
        <v>12153406.592285458</v>
      </c>
      <c r="E39" s="3">
        <f t="shared" si="7"/>
        <v>2650038.312077322</v>
      </c>
      <c r="F39" s="3">
        <f t="shared" si="1"/>
        <v>14803444.904362779</v>
      </c>
    </row>
    <row r="40" spans="3:6" x14ac:dyDescent="0.25">
      <c r="C40" s="1">
        <v>44043</v>
      </c>
      <c r="D40" s="3">
        <f t="shared" si="6"/>
        <v>12617142.417319642</v>
      </c>
      <c r="E40" s="3">
        <f t="shared" si="7"/>
        <v>2760026.5965910563</v>
      </c>
      <c r="F40" s="3">
        <f t="shared" si="1"/>
        <v>15377169.0139107</v>
      </c>
    </row>
    <row r="41" spans="3:6" x14ac:dyDescent="0.25">
      <c r="C41" s="1">
        <v>44074</v>
      </c>
      <c r="D41" s="3">
        <f t="shared" si="6"/>
        <v>13080878.242353827</v>
      </c>
      <c r="E41" s="3">
        <f t="shared" si="7"/>
        <v>2870014.8811047906</v>
      </c>
      <c r="F41" s="3">
        <f t="shared" si="1"/>
        <v>15950893.123458616</v>
      </c>
    </row>
    <row r="42" spans="3:6" x14ac:dyDescent="0.25">
      <c r="C42" s="1">
        <v>44104</v>
      </c>
      <c r="D42" s="3">
        <f t="shared" si="6"/>
        <v>13544614.067388011</v>
      </c>
      <c r="E42" s="3">
        <f t="shared" si="7"/>
        <v>2980003.1656185249</v>
      </c>
      <c r="F42" s="3">
        <f t="shared" si="1"/>
        <v>16524617.233006537</v>
      </c>
    </row>
    <row r="43" spans="3:6" x14ac:dyDescent="0.25">
      <c r="C43" s="1">
        <v>44135</v>
      </c>
      <c r="D43" s="3">
        <f t="shared" si="6"/>
        <v>14008349.892422196</v>
      </c>
      <c r="E43" s="3">
        <f t="shared" si="7"/>
        <v>3089991.4501322592</v>
      </c>
      <c r="F43" s="3">
        <f t="shared" si="1"/>
        <v>17098341.342554454</v>
      </c>
    </row>
    <row r="44" spans="3:6" x14ac:dyDescent="0.25">
      <c r="C44" s="1">
        <v>44165</v>
      </c>
      <c r="D44" s="3">
        <f t="shared" si="6"/>
        <v>14472085.71745638</v>
      </c>
      <c r="E44" s="3">
        <f t="shared" si="7"/>
        <v>3199979.7346459934</v>
      </c>
      <c r="F44" s="3">
        <f t="shared" si="1"/>
        <v>17672065.452102374</v>
      </c>
    </row>
    <row r="45" spans="3:6" x14ac:dyDescent="0.25">
      <c r="C45" s="1">
        <v>44196</v>
      </c>
      <c r="D45" s="3">
        <f t="shared" si="6"/>
        <v>14935821.542490564</v>
      </c>
      <c r="E45" s="3">
        <f t="shared" si="7"/>
        <v>3309968.0191597277</v>
      </c>
      <c r="F45" s="3">
        <f t="shared" si="1"/>
        <v>18245789.561650291</v>
      </c>
    </row>
    <row r="46" spans="3:6" x14ac:dyDescent="0.25">
      <c r="C46" s="1">
        <v>44227</v>
      </c>
      <c r="D46" s="3">
        <f>D45+($D$6/12)</f>
        <v>15424068.95238876</v>
      </c>
      <c r="E46" s="3">
        <f>E45+($E$6/12)</f>
        <v>3450621.2423900501</v>
      </c>
      <c r="F46" s="3">
        <f t="shared" si="1"/>
        <v>18874690.194778811</v>
      </c>
    </row>
    <row r="47" spans="3:6" x14ac:dyDescent="0.25">
      <c r="C47" s="1">
        <v>44255</v>
      </c>
      <c r="D47" s="3">
        <f t="shared" ref="D47:D57" si="8">D46+($D$6/12)</f>
        <v>15912316.362286955</v>
      </c>
      <c r="E47" s="3">
        <f t="shared" ref="E47:E57" si="9">E46+($E$6/12)</f>
        <v>3591274.4656203724</v>
      </c>
      <c r="F47" s="3">
        <f t="shared" si="1"/>
        <v>19503590.827907328</v>
      </c>
    </row>
    <row r="48" spans="3:6" x14ac:dyDescent="0.25">
      <c r="C48" s="1">
        <v>44286</v>
      </c>
      <c r="D48" s="3">
        <f t="shared" si="8"/>
        <v>16400563.772185151</v>
      </c>
      <c r="E48" s="3">
        <f t="shared" si="9"/>
        <v>3731927.6888506948</v>
      </c>
      <c r="F48" s="3">
        <f t="shared" si="1"/>
        <v>20132491.461035844</v>
      </c>
    </row>
    <row r="49" spans="3:6" x14ac:dyDescent="0.25">
      <c r="C49" s="1">
        <v>44316</v>
      </c>
      <c r="D49" s="3">
        <f t="shared" si="8"/>
        <v>16888811.182083346</v>
      </c>
      <c r="E49" s="3">
        <f t="shared" si="9"/>
        <v>3872580.9120810172</v>
      </c>
      <c r="F49" s="3">
        <f t="shared" si="1"/>
        <v>20761392.094164364</v>
      </c>
    </row>
    <row r="50" spans="3:6" x14ac:dyDescent="0.25">
      <c r="C50" s="1">
        <v>44347</v>
      </c>
      <c r="D50" s="3">
        <f t="shared" si="8"/>
        <v>17377058.591981541</v>
      </c>
      <c r="E50" s="3">
        <f t="shared" si="9"/>
        <v>4013234.1353113395</v>
      </c>
      <c r="F50" s="3">
        <f t="shared" si="1"/>
        <v>21390292.72729288</v>
      </c>
    </row>
    <row r="51" spans="3:6" x14ac:dyDescent="0.25">
      <c r="C51" s="1">
        <v>44377</v>
      </c>
      <c r="D51" s="3">
        <f t="shared" si="8"/>
        <v>17865306.001879737</v>
      </c>
      <c r="E51" s="3">
        <f t="shared" si="9"/>
        <v>4153887.3585416619</v>
      </c>
      <c r="F51" s="3">
        <f t="shared" si="1"/>
        <v>22019193.360421397</v>
      </c>
    </row>
    <row r="52" spans="3:6" x14ac:dyDescent="0.25">
      <c r="C52" s="1">
        <v>44408</v>
      </c>
      <c r="D52" s="3">
        <f t="shared" si="8"/>
        <v>18353553.411777932</v>
      </c>
      <c r="E52" s="3">
        <f t="shared" si="9"/>
        <v>4294540.5817719838</v>
      </c>
      <c r="F52" s="3">
        <f t="shared" si="1"/>
        <v>22648093.993549917</v>
      </c>
    </row>
    <row r="53" spans="3:6" x14ac:dyDescent="0.25">
      <c r="C53" s="1">
        <v>44439</v>
      </c>
      <c r="D53" s="3">
        <f t="shared" si="8"/>
        <v>18841800.821676128</v>
      </c>
      <c r="E53" s="3">
        <f t="shared" si="9"/>
        <v>4435193.8050023057</v>
      </c>
      <c r="F53" s="3">
        <f t="shared" si="1"/>
        <v>23276994.626678433</v>
      </c>
    </row>
    <row r="54" spans="3:6" x14ac:dyDescent="0.25">
      <c r="C54" s="1">
        <v>44469</v>
      </c>
      <c r="D54" s="3">
        <f t="shared" si="8"/>
        <v>19330048.231574323</v>
      </c>
      <c r="E54" s="3">
        <f t="shared" si="9"/>
        <v>4575847.0282326275</v>
      </c>
      <c r="F54" s="3">
        <f t="shared" si="1"/>
        <v>23905895.25980695</v>
      </c>
    </row>
    <row r="55" spans="3:6" x14ac:dyDescent="0.25">
      <c r="C55" s="1">
        <v>44500</v>
      </c>
      <c r="D55" s="3">
        <f t="shared" si="8"/>
        <v>19818295.641472518</v>
      </c>
      <c r="E55" s="3">
        <f t="shared" si="9"/>
        <v>4716500.2514629494</v>
      </c>
      <c r="F55" s="3">
        <f t="shared" si="1"/>
        <v>24534795.89293547</v>
      </c>
    </row>
    <row r="56" spans="3:6" x14ac:dyDescent="0.25">
      <c r="C56" s="1">
        <v>44530</v>
      </c>
      <c r="D56" s="3">
        <f t="shared" si="8"/>
        <v>20306543.051370714</v>
      </c>
      <c r="E56" s="3">
        <f t="shared" si="9"/>
        <v>4857153.4746932713</v>
      </c>
      <c r="F56" s="3">
        <f t="shared" si="1"/>
        <v>25163696.526063986</v>
      </c>
    </row>
    <row r="57" spans="3:6" x14ac:dyDescent="0.25">
      <c r="C57" s="1">
        <v>44561</v>
      </c>
      <c r="D57" s="3">
        <f t="shared" si="8"/>
        <v>20794790.461268909</v>
      </c>
      <c r="E57" s="3">
        <f t="shared" si="9"/>
        <v>4997806.6979235932</v>
      </c>
      <c r="F57" s="3">
        <f t="shared" si="1"/>
        <v>25792597.159192502</v>
      </c>
    </row>
    <row r="59" spans="3:6" x14ac:dyDescent="0.25">
      <c r="C59" t="s">
        <v>7</v>
      </c>
      <c r="D59" s="3">
        <f>(((D14+D26)/2)+(D15+D16+D17+D18+D19+D20+D21+D22+D23+D24+D25))/12</f>
        <v>4093816.9161406993</v>
      </c>
      <c r="E59" s="3">
        <f>(((E14+E26)/2)+(E15+E16+E17+E18+E19+E20+E21+E22+E23+E24+E25))/12</f>
        <v>849517.7281387538</v>
      </c>
    </row>
    <row r="60" spans="3:6" x14ac:dyDescent="0.25">
      <c r="C60" t="s">
        <v>8</v>
      </c>
      <c r="D60" s="3">
        <f>(((D26+D38)/2)+(D27+D28+D29+D30+D31+D32+D33+D34+D35+D36+D37))/12</f>
        <v>9010790.7913432233</v>
      </c>
      <c r="E60" s="3">
        <f>(((E26+E38)/2)+(E27+E28+E29+E30+E31+E32+E33+E34+E35+E36+E37))/12</f>
        <v>1921045.1342683516</v>
      </c>
    </row>
    <row r="61" spans="3:6" x14ac:dyDescent="0.25">
      <c r="C61" t="s">
        <v>9</v>
      </c>
      <c r="D61" s="3">
        <f>(((D38+D50)/2)+(D39+D40+D41+D42+D43+D44+D45+D46+D47+D48+D49))/12</f>
        <v>14497618.618356392</v>
      </c>
      <c r="E61" s="3">
        <f>(((E38+E50)/2)+(E39+E40+E41+E42+E43+E44+E45+E46+E47+E48+E49))/12</f>
        <v>3231922.379142439</v>
      </c>
    </row>
    <row r="62" spans="3:6" x14ac:dyDescent="0.25">
      <c r="D62" s="3"/>
      <c r="E62" s="3"/>
    </row>
    <row r="63" spans="3:6" x14ac:dyDescent="0.25">
      <c r="D63" s="3"/>
      <c r="E63" s="3"/>
    </row>
  </sheetData>
  <pageMargins left="0.7" right="0.7" top="0.75" bottom="0.75" header="0.3" footer="0.3"/>
  <pageSetup scale="77" orientation="portrait" r:id="rId1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/>
  </sheetViews>
  <sheetFormatPr defaultRowHeight="15" x14ac:dyDescent="0.25"/>
  <cols>
    <col min="1" max="1" width="31.5703125" bestFit="1" customWidth="1"/>
    <col min="2" max="2" width="9.28515625" bestFit="1" customWidth="1"/>
    <col min="3" max="3" width="8" bestFit="1" customWidth="1"/>
    <col min="4" max="4" width="13.7109375" bestFit="1" customWidth="1"/>
    <col min="5" max="5" width="12.28515625" bestFit="1" customWidth="1"/>
    <col min="6" max="6" width="11.5703125" bestFit="1" customWidth="1"/>
    <col min="7" max="7" width="1.42578125" customWidth="1"/>
    <col min="8" max="8" width="9.28515625" bestFit="1" customWidth="1"/>
    <col min="9" max="9" width="8" bestFit="1" customWidth="1"/>
    <col min="10" max="10" width="13.7109375" bestFit="1" customWidth="1"/>
    <col min="11" max="11" width="12.28515625" bestFit="1" customWidth="1"/>
    <col min="12" max="12" width="11.5703125" bestFit="1" customWidth="1"/>
    <col min="13" max="13" width="1.7109375" customWidth="1"/>
    <col min="14" max="14" width="9.28515625" bestFit="1" customWidth="1"/>
    <col min="15" max="15" width="8" bestFit="1" customWidth="1"/>
    <col min="16" max="16" width="13.7109375" bestFit="1" customWidth="1"/>
    <col min="17" max="17" width="12.28515625" bestFit="1" customWidth="1"/>
    <col min="18" max="18" width="11" bestFit="1" customWidth="1"/>
  </cols>
  <sheetData>
    <row r="1" spans="1:18" s="9" customFormat="1" ht="15.75" thickBot="1" x14ac:dyDescent="0.3">
      <c r="A1" s="11">
        <v>2018</v>
      </c>
      <c r="D1" s="17" t="s">
        <v>23</v>
      </c>
      <c r="E1" s="18"/>
      <c r="F1" s="19"/>
      <c r="J1" s="17" t="s">
        <v>34</v>
      </c>
      <c r="K1" s="18"/>
      <c r="L1" s="19"/>
      <c r="P1" s="17" t="s">
        <v>35</v>
      </c>
      <c r="Q1" s="18"/>
      <c r="R1" s="19"/>
    </row>
    <row r="2" spans="1:18" s="10" customFormat="1" ht="44.45" customHeight="1" x14ac:dyDescent="0.25">
      <c r="D2" s="10" t="s">
        <v>18</v>
      </c>
      <c r="E2" s="10" t="s">
        <v>19</v>
      </c>
      <c r="F2" s="10" t="s">
        <v>33</v>
      </c>
      <c r="J2" s="10" t="s">
        <v>18</v>
      </c>
      <c r="K2" s="10" t="s">
        <v>19</v>
      </c>
      <c r="L2" s="10" t="s">
        <v>33</v>
      </c>
      <c r="P2" s="10" t="s">
        <v>18</v>
      </c>
      <c r="Q2" s="10" t="s">
        <v>19</v>
      </c>
      <c r="R2" s="10" t="s">
        <v>33</v>
      </c>
    </row>
    <row r="3" spans="1:18" x14ac:dyDescent="0.25">
      <c r="A3" t="s">
        <v>20</v>
      </c>
      <c r="B3" t="s">
        <v>13</v>
      </c>
      <c r="D3" s="3">
        <f>8261970-861544</f>
        <v>7400426</v>
      </c>
      <c r="E3" s="3">
        <f>4957182-516927</f>
        <v>4440255</v>
      </c>
      <c r="F3" s="3">
        <f>E3-D3</f>
        <v>-2960171</v>
      </c>
      <c r="H3" t="s">
        <v>13</v>
      </c>
      <c r="J3" s="3"/>
      <c r="K3" s="3"/>
      <c r="L3" s="3"/>
      <c r="N3" t="s">
        <v>13</v>
      </c>
      <c r="P3" s="3"/>
      <c r="Q3" s="3"/>
      <c r="R3" s="3"/>
    </row>
    <row r="4" spans="1:18" x14ac:dyDescent="0.25">
      <c r="B4" t="s">
        <v>14</v>
      </c>
      <c r="D4" s="3">
        <v>2690495</v>
      </c>
      <c r="E4" s="3">
        <v>1614297</v>
      </c>
      <c r="F4" s="3">
        <f t="shared" ref="F4:F21" si="0">E4-D4</f>
        <v>-1076198</v>
      </c>
      <c r="H4" t="s">
        <v>14</v>
      </c>
      <c r="J4" s="3"/>
      <c r="K4" s="3"/>
      <c r="L4" s="3"/>
      <c r="N4" t="s">
        <v>14</v>
      </c>
      <c r="P4" s="3"/>
      <c r="Q4" s="3"/>
      <c r="R4" s="3"/>
    </row>
    <row r="5" spans="1:18" x14ac:dyDescent="0.25">
      <c r="B5" t="s">
        <v>15</v>
      </c>
      <c r="D5" s="3">
        <v>2132491</v>
      </c>
      <c r="E5" s="3">
        <v>1279495</v>
      </c>
      <c r="F5" s="3">
        <f t="shared" si="0"/>
        <v>-852996</v>
      </c>
      <c r="H5" t="s">
        <v>15</v>
      </c>
      <c r="J5" s="3"/>
      <c r="K5" s="3"/>
      <c r="L5" s="3"/>
      <c r="N5" t="s">
        <v>15</v>
      </c>
      <c r="P5" s="3"/>
      <c r="Q5" s="3"/>
      <c r="R5" s="3"/>
    </row>
    <row r="6" spans="1:18" x14ac:dyDescent="0.25">
      <c r="B6" t="s">
        <v>16</v>
      </c>
      <c r="D6" s="3">
        <v>3246620</v>
      </c>
      <c r="E6" s="3">
        <v>1947972</v>
      </c>
      <c r="F6" s="3">
        <f t="shared" si="0"/>
        <v>-1298648</v>
      </c>
      <c r="H6" t="s">
        <v>16</v>
      </c>
      <c r="J6" s="3"/>
      <c r="K6" s="3"/>
      <c r="L6" s="3"/>
      <c r="N6" t="s">
        <v>16</v>
      </c>
      <c r="P6" s="3"/>
      <c r="Q6" s="3"/>
      <c r="R6" s="3"/>
    </row>
    <row r="7" spans="1:18" x14ac:dyDescent="0.25">
      <c r="B7" t="s">
        <v>17</v>
      </c>
      <c r="D7" s="3">
        <v>54011</v>
      </c>
      <c r="E7" s="3">
        <v>32406</v>
      </c>
      <c r="F7" s="3">
        <f t="shared" si="0"/>
        <v>-21605</v>
      </c>
      <c r="H7" t="s">
        <v>17</v>
      </c>
      <c r="J7" s="3"/>
      <c r="K7" s="3"/>
      <c r="L7" s="3"/>
      <c r="N7" t="s">
        <v>17</v>
      </c>
      <c r="P7" s="3"/>
      <c r="Q7" s="3"/>
      <c r="R7" s="3"/>
    </row>
    <row r="8" spans="1:18" ht="15.75" thickBot="1" x14ac:dyDescent="0.3">
      <c r="D8" s="4">
        <f>SUM(D3:D7)</f>
        <v>15524043</v>
      </c>
      <c r="E8" s="4">
        <f>SUM(E3:E7)</f>
        <v>9314425</v>
      </c>
      <c r="F8" s="4">
        <f>SUM(F3:F7)</f>
        <v>-6209618</v>
      </c>
      <c r="J8" s="4">
        <f>SUM(J3:J7)</f>
        <v>0</v>
      </c>
      <c r="K8" s="4">
        <f>SUM(K3:K7)</f>
        <v>0</v>
      </c>
      <c r="L8" s="4">
        <f>SUM(L3:L7)</f>
        <v>0</v>
      </c>
      <c r="P8" s="4">
        <f>SUM(P3:P7)</f>
        <v>0</v>
      </c>
      <c r="Q8" s="4">
        <f>SUM(Q3:Q7)</f>
        <v>0</v>
      </c>
      <c r="R8" s="4">
        <f>SUM(R3:R7)</f>
        <v>0</v>
      </c>
    </row>
    <row r="9" spans="1:18" x14ac:dyDescent="0.25">
      <c r="D9" s="3"/>
      <c r="E9" s="3"/>
      <c r="F9" s="3"/>
      <c r="J9" s="3"/>
      <c r="K9" s="3"/>
      <c r="L9" s="3"/>
      <c r="P9" s="3"/>
      <c r="Q9" s="3"/>
      <c r="R9" s="3"/>
    </row>
    <row r="10" spans="1:18" x14ac:dyDescent="0.25">
      <c r="A10" t="s">
        <v>21</v>
      </c>
      <c r="B10" t="s">
        <v>13</v>
      </c>
      <c r="D10" s="3">
        <v>1230317</v>
      </c>
      <c r="E10" s="3">
        <f>D10*0.70100423</f>
        <v>862457.42124090996</v>
      </c>
      <c r="F10" s="3">
        <f t="shared" si="0"/>
        <v>-367859.57875909004</v>
      </c>
      <c r="H10" t="s">
        <v>13</v>
      </c>
      <c r="J10" s="3">
        <f>D10</f>
        <v>1230317</v>
      </c>
      <c r="K10" s="3">
        <f>E10</f>
        <v>862457.42124090996</v>
      </c>
      <c r="L10" s="3">
        <f t="shared" ref="L10:L14" si="1">K10-J10</f>
        <v>-367859.57875909004</v>
      </c>
      <c r="N10" t="s">
        <v>13</v>
      </c>
      <c r="P10" s="3">
        <f>-D10</f>
        <v>-1230317</v>
      </c>
      <c r="Q10" s="3">
        <f>-E10</f>
        <v>-862457.42124090996</v>
      </c>
      <c r="R10" s="3">
        <f t="shared" ref="R10:R14" si="2">Q10-P10</f>
        <v>367859.57875909004</v>
      </c>
    </row>
    <row r="11" spans="1:18" x14ac:dyDescent="0.25">
      <c r="B11" t="s">
        <v>14</v>
      </c>
      <c r="D11" s="3">
        <v>500705</v>
      </c>
      <c r="E11" s="3">
        <f t="shared" ref="E11:E14" si="3">D11*0.70100423</f>
        <v>350996.32298215001</v>
      </c>
      <c r="F11" s="3">
        <f t="shared" si="0"/>
        <v>-149708.67701784999</v>
      </c>
      <c r="H11" t="s">
        <v>14</v>
      </c>
      <c r="J11" s="3">
        <f t="shared" ref="J11:K14" si="4">D11</f>
        <v>500705</v>
      </c>
      <c r="K11" s="3">
        <f t="shared" si="4"/>
        <v>350996.32298215001</v>
      </c>
      <c r="L11" s="3">
        <f t="shared" si="1"/>
        <v>-149708.67701784999</v>
      </c>
      <c r="N11" t="s">
        <v>14</v>
      </c>
      <c r="P11" s="3">
        <f t="shared" ref="P11:Q14" si="5">-D11</f>
        <v>-500705</v>
      </c>
      <c r="Q11" s="3">
        <f t="shared" si="5"/>
        <v>-350996.32298215001</v>
      </c>
      <c r="R11" s="3">
        <f t="shared" si="2"/>
        <v>149708.67701784999</v>
      </c>
    </row>
    <row r="12" spans="1:18" x14ac:dyDescent="0.25">
      <c r="B12" t="s">
        <v>15</v>
      </c>
      <c r="D12" s="3">
        <v>1723</v>
      </c>
      <c r="E12" s="3">
        <f t="shared" si="3"/>
        <v>1207.83028829</v>
      </c>
      <c r="F12" s="3">
        <f t="shared" si="0"/>
        <v>-515.16971171</v>
      </c>
      <c r="H12" t="s">
        <v>15</v>
      </c>
      <c r="J12" s="3">
        <f t="shared" si="4"/>
        <v>1723</v>
      </c>
      <c r="K12" s="3">
        <f t="shared" si="4"/>
        <v>1207.83028829</v>
      </c>
      <c r="L12" s="3">
        <f t="shared" si="1"/>
        <v>-515.16971171</v>
      </c>
      <c r="N12" t="s">
        <v>15</v>
      </c>
      <c r="P12" s="3">
        <f t="shared" si="5"/>
        <v>-1723</v>
      </c>
      <c r="Q12" s="3">
        <f t="shared" si="5"/>
        <v>-1207.83028829</v>
      </c>
      <c r="R12" s="3">
        <f t="shared" si="2"/>
        <v>515.16971171</v>
      </c>
    </row>
    <row r="13" spans="1:18" x14ac:dyDescent="0.25">
      <c r="B13" t="s">
        <v>16</v>
      </c>
      <c r="D13" s="3">
        <v>2711</v>
      </c>
      <c r="E13" s="3">
        <f t="shared" si="3"/>
        <v>1900.4224675299999</v>
      </c>
      <c r="F13" s="3">
        <f t="shared" si="0"/>
        <v>-810.57753247000005</v>
      </c>
      <c r="H13" t="s">
        <v>16</v>
      </c>
      <c r="J13" s="3">
        <f t="shared" si="4"/>
        <v>2711</v>
      </c>
      <c r="K13" s="3">
        <f t="shared" si="4"/>
        <v>1900.4224675299999</v>
      </c>
      <c r="L13" s="3">
        <f t="shared" si="1"/>
        <v>-810.57753247000005</v>
      </c>
      <c r="N13" t="s">
        <v>16</v>
      </c>
      <c r="P13" s="3">
        <f t="shared" si="5"/>
        <v>-2711</v>
      </c>
      <c r="Q13" s="3">
        <f t="shared" si="5"/>
        <v>-1900.4224675299999</v>
      </c>
      <c r="R13" s="3">
        <f t="shared" si="2"/>
        <v>810.57753247000005</v>
      </c>
    </row>
    <row r="14" spans="1:18" x14ac:dyDescent="0.25">
      <c r="B14" t="s">
        <v>17</v>
      </c>
      <c r="D14" s="3">
        <v>0</v>
      </c>
      <c r="E14" s="3">
        <f t="shared" si="3"/>
        <v>0</v>
      </c>
      <c r="F14" s="3">
        <f t="shared" si="0"/>
        <v>0</v>
      </c>
      <c r="H14" t="s">
        <v>17</v>
      </c>
      <c r="J14" s="3">
        <f t="shared" si="4"/>
        <v>0</v>
      </c>
      <c r="K14" s="3">
        <f t="shared" si="4"/>
        <v>0</v>
      </c>
      <c r="L14" s="3">
        <f t="shared" si="1"/>
        <v>0</v>
      </c>
      <c r="N14" t="s">
        <v>17</v>
      </c>
      <c r="P14" s="3">
        <f t="shared" si="5"/>
        <v>0</v>
      </c>
      <c r="Q14" s="3">
        <f t="shared" si="5"/>
        <v>0</v>
      </c>
      <c r="R14" s="3">
        <f t="shared" si="2"/>
        <v>0</v>
      </c>
    </row>
    <row r="15" spans="1:18" ht="15.75" thickBot="1" x14ac:dyDescent="0.3">
      <c r="D15" s="4">
        <f>SUM(D10:D14)</f>
        <v>1735456</v>
      </c>
      <c r="E15" s="4">
        <f>SUM(E10:E14)</f>
        <v>1216561.9969788801</v>
      </c>
      <c r="F15" s="4">
        <f>SUM(F10:F14)</f>
        <v>-518894.00302112004</v>
      </c>
      <c r="J15" s="4">
        <f>SUM(J10:J14)</f>
        <v>1735456</v>
      </c>
      <c r="K15" s="4">
        <f>SUM(K10:K14)</f>
        <v>1216561.9969788801</v>
      </c>
      <c r="L15" s="4">
        <f>SUM(L10:L14)</f>
        <v>-518894.00302112004</v>
      </c>
      <c r="P15" s="4">
        <f>SUM(P10:P14)</f>
        <v>-1735456</v>
      </c>
      <c r="Q15" s="4">
        <f>SUM(Q10:Q14)</f>
        <v>-1216561.9969788801</v>
      </c>
      <c r="R15" s="4">
        <f>SUM(R10:R14)</f>
        <v>518894.00302112004</v>
      </c>
    </row>
    <row r="16" spans="1:18" x14ac:dyDescent="0.25">
      <c r="D16" s="3"/>
      <c r="E16" s="3"/>
      <c r="F16" s="3"/>
      <c r="J16" s="3"/>
      <c r="K16" s="3"/>
      <c r="L16" s="3"/>
      <c r="P16" s="3"/>
      <c r="Q16" s="3"/>
      <c r="R16" s="3"/>
    </row>
    <row r="17" spans="1:18" x14ac:dyDescent="0.25">
      <c r="A17" t="s">
        <v>22</v>
      </c>
      <c r="B17" t="s">
        <v>13</v>
      </c>
      <c r="D17" s="3">
        <v>0</v>
      </c>
      <c r="E17" s="3">
        <f>-3799328-E10</f>
        <v>-4661785.42124091</v>
      </c>
      <c r="F17" s="3">
        <f t="shared" si="0"/>
        <v>-4661785.42124091</v>
      </c>
      <c r="H17" t="s">
        <v>13</v>
      </c>
      <c r="J17" s="3">
        <f>D17</f>
        <v>0</v>
      </c>
      <c r="K17" s="3">
        <f>E17</f>
        <v>-4661785.42124091</v>
      </c>
      <c r="L17" s="3">
        <f t="shared" ref="L17:L21" si="6">K17-J17</f>
        <v>-4661785.42124091</v>
      </c>
      <c r="N17" t="s">
        <v>13</v>
      </c>
      <c r="P17" s="3">
        <f>-D17</f>
        <v>0</v>
      </c>
      <c r="Q17" s="3">
        <f>-E17</f>
        <v>4661785.42124091</v>
      </c>
      <c r="R17" s="3">
        <f t="shared" ref="R17:R21" si="7">Q17-P17</f>
        <v>4661785.42124091</v>
      </c>
    </row>
    <row r="18" spans="1:18" x14ac:dyDescent="0.25">
      <c r="B18" t="s">
        <v>14</v>
      </c>
      <c r="D18" s="3">
        <v>0</v>
      </c>
      <c r="E18" s="3">
        <f>-354173-E11</f>
        <v>-705169.32298215001</v>
      </c>
      <c r="F18" s="3">
        <f t="shared" si="0"/>
        <v>-705169.32298215001</v>
      </c>
      <c r="H18" t="s">
        <v>14</v>
      </c>
      <c r="J18" s="3">
        <f t="shared" ref="J18:K21" si="8">D18</f>
        <v>0</v>
      </c>
      <c r="K18" s="3">
        <f t="shared" si="8"/>
        <v>-705169.32298215001</v>
      </c>
      <c r="L18" s="3">
        <f t="shared" si="6"/>
        <v>-705169.32298215001</v>
      </c>
      <c r="N18" t="s">
        <v>14</v>
      </c>
      <c r="P18" s="3">
        <f t="shared" ref="P18:Q21" si="9">-D18</f>
        <v>0</v>
      </c>
      <c r="Q18" s="3">
        <f t="shared" si="9"/>
        <v>705169.32298215001</v>
      </c>
      <c r="R18" s="3">
        <f t="shared" si="7"/>
        <v>705169.32298215001</v>
      </c>
    </row>
    <row r="19" spans="1:18" x14ac:dyDescent="0.25">
      <c r="B19" t="s">
        <v>15</v>
      </c>
      <c r="D19" s="3">
        <v>0</v>
      </c>
      <c r="E19" s="3">
        <f>-244869-E12</f>
        <v>-246076.83028828999</v>
      </c>
      <c r="F19" s="3">
        <f t="shared" si="0"/>
        <v>-246076.83028828999</v>
      </c>
      <c r="H19" t="s">
        <v>15</v>
      </c>
      <c r="J19" s="3">
        <f t="shared" si="8"/>
        <v>0</v>
      </c>
      <c r="K19" s="3">
        <f t="shared" si="8"/>
        <v>-246076.83028828999</v>
      </c>
      <c r="L19" s="3">
        <f t="shared" si="6"/>
        <v>-246076.83028828999</v>
      </c>
      <c r="N19" t="s">
        <v>15</v>
      </c>
      <c r="P19" s="3">
        <f t="shared" si="9"/>
        <v>0</v>
      </c>
      <c r="Q19" s="3">
        <f t="shared" si="9"/>
        <v>246076.83028828999</v>
      </c>
      <c r="R19" s="3">
        <f t="shared" si="7"/>
        <v>246076.83028828999</v>
      </c>
    </row>
    <row r="20" spans="1:18" x14ac:dyDescent="0.25">
      <c r="B20" t="s">
        <v>16</v>
      </c>
      <c r="D20" s="3">
        <v>0</v>
      </c>
      <c r="E20" s="3">
        <f>-2048365-E13</f>
        <v>-2050265.42246753</v>
      </c>
      <c r="F20" s="3">
        <f t="shared" si="0"/>
        <v>-2050265.42246753</v>
      </c>
      <c r="H20" t="s">
        <v>16</v>
      </c>
      <c r="J20" s="3">
        <f t="shared" si="8"/>
        <v>0</v>
      </c>
      <c r="K20" s="3">
        <f t="shared" si="8"/>
        <v>-2050265.42246753</v>
      </c>
      <c r="L20" s="3">
        <f t="shared" si="6"/>
        <v>-2050265.42246753</v>
      </c>
      <c r="N20" t="s">
        <v>16</v>
      </c>
      <c r="P20" s="3">
        <f t="shared" si="9"/>
        <v>0</v>
      </c>
      <c r="Q20" s="3">
        <f t="shared" si="9"/>
        <v>2050265.42246753</v>
      </c>
      <c r="R20" s="3">
        <f t="shared" si="7"/>
        <v>2050265.42246753</v>
      </c>
    </row>
    <row r="21" spans="1:18" x14ac:dyDescent="0.25">
      <c r="B21" t="s">
        <v>17</v>
      </c>
      <c r="D21" s="3">
        <v>0</v>
      </c>
      <c r="E21" s="3">
        <f>-442-E14</f>
        <v>-442</v>
      </c>
      <c r="F21" s="3">
        <f t="shared" si="0"/>
        <v>-442</v>
      </c>
      <c r="H21" t="s">
        <v>17</v>
      </c>
      <c r="J21" s="3">
        <f t="shared" si="8"/>
        <v>0</v>
      </c>
      <c r="K21" s="3">
        <f t="shared" si="8"/>
        <v>-442</v>
      </c>
      <c r="L21" s="3">
        <f t="shared" si="6"/>
        <v>-442</v>
      </c>
      <c r="N21" t="s">
        <v>17</v>
      </c>
      <c r="P21" s="3">
        <f t="shared" si="9"/>
        <v>0</v>
      </c>
      <c r="Q21" s="3">
        <f t="shared" si="9"/>
        <v>442</v>
      </c>
      <c r="R21" s="3">
        <f t="shared" si="7"/>
        <v>442</v>
      </c>
    </row>
    <row r="22" spans="1:18" ht="15.75" thickBot="1" x14ac:dyDescent="0.3">
      <c r="D22" s="4">
        <f>SUM(D17:D21)</f>
        <v>0</v>
      </c>
      <c r="E22" s="4">
        <f>SUM(E17:E21)</f>
        <v>-7663738.9969788799</v>
      </c>
      <c r="F22" s="4">
        <f>SUM(F17:F21)</f>
        <v>-7663738.9969788799</v>
      </c>
      <c r="J22" s="4">
        <f>SUM(J17:J21)</f>
        <v>0</v>
      </c>
      <c r="K22" s="4">
        <f>SUM(K17:K21)</f>
        <v>-7663738.9969788799</v>
      </c>
      <c r="L22" s="4">
        <f>SUM(L17:L21)</f>
        <v>-7663738.9969788799</v>
      </c>
      <c r="P22" s="4">
        <f>SUM(P17:P21)</f>
        <v>0</v>
      </c>
      <c r="Q22" s="4">
        <f>SUM(Q17:Q21)</f>
        <v>7663738.9969788799</v>
      </c>
      <c r="R22" s="4">
        <f>SUM(R17:R21)</f>
        <v>7663738.9969788799</v>
      </c>
    </row>
    <row r="23" spans="1:18" x14ac:dyDescent="0.25">
      <c r="D23" s="3"/>
      <c r="E23" s="3"/>
      <c r="F23" s="3"/>
      <c r="J23" s="3"/>
      <c r="K23" s="3"/>
      <c r="L23" s="3"/>
      <c r="P23" s="3"/>
      <c r="Q23" s="3"/>
      <c r="R23" s="3"/>
    </row>
    <row r="24" spans="1:18" x14ac:dyDescent="0.25">
      <c r="A24" t="s">
        <v>6</v>
      </c>
      <c r="B24" t="s">
        <v>13</v>
      </c>
      <c r="D24" s="3">
        <f>SUM(D3,D10,D17)</f>
        <v>8630743</v>
      </c>
      <c r="E24" s="3">
        <f>SUM(E3,E10,E17)</f>
        <v>640927</v>
      </c>
      <c r="F24" s="3">
        <f>SUM(F3,F10,F17)</f>
        <v>-7989816</v>
      </c>
      <c r="H24" t="s">
        <v>13</v>
      </c>
      <c r="J24" s="3">
        <f>SUM(J3,J10,J17)</f>
        <v>1230317</v>
      </c>
      <c r="K24" s="3">
        <f>SUM(K3,K10,K17)</f>
        <v>-3799328</v>
      </c>
      <c r="L24" s="3">
        <f>SUM(L3,L10,L17)</f>
        <v>-5029645</v>
      </c>
      <c r="N24" t="s">
        <v>13</v>
      </c>
      <c r="P24" s="3">
        <f>SUM(P3,P10,P17)</f>
        <v>-1230317</v>
      </c>
      <c r="Q24" s="3">
        <f>SUM(Q3,Q10,Q17)</f>
        <v>3799328</v>
      </c>
      <c r="R24" s="3">
        <f>SUM(R3,R10,R17)</f>
        <v>5029645</v>
      </c>
    </row>
    <row r="25" spans="1:18" x14ac:dyDescent="0.25">
      <c r="B25" t="s">
        <v>14</v>
      </c>
      <c r="D25" s="3">
        <f t="shared" ref="D25:E28" si="10">SUM(D4,D11,D18)</f>
        <v>3191200</v>
      </c>
      <c r="E25" s="3">
        <f t="shared" si="10"/>
        <v>1260124</v>
      </c>
      <c r="F25" s="3">
        <f t="shared" ref="F25" si="11">SUM(F4,F11,F18)</f>
        <v>-1931076</v>
      </c>
      <c r="H25" t="s">
        <v>14</v>
      </c>
      <c r="J25" s="3">
        <f t="shared" ref="J25:L28" si="12">SUM(J4,J11,J18)</f>
        <v>500705</v>
      </c>
      <c r="K25" s="3">
        <f t="shared" si="12"/>
        <v>-354173</v>
      </c>
      <c r="L25" s="3">
        <f t="shared" si="12"/>
        <v>-854878</v>
      </c>
      <c r="N25" t="s">
        <v>14</v>
      </c>
      <c r="P25" s="3">
        <f t="shared" ref="P25:R25" si="13">SUM(P4,P11,P18)</f>
        <v>-500705</v>
      </c>
      <c r="Q25" s="3">
        <f t="shared" si="13"/>
        <v>354173</v>
      </c>
      <c r="R25" s="3">
        <f t="shared" si="13"/>
        <v>854878</v>
      </c>
    </row>
    <row r="26" spans="1:18" x14ac:dyDescent="0.25">
      <c r="B26" t="s">
        <v>15</v>
      </c>
      <c r="D26" s="3">
        <f t="shared" si="10"/>
        <v>2134214</v>
      </c>
      <c r="E26" s="3">
        <f t="shared" si="10"/>
        <v>1034626</v>
      </c>
      <c r="F26" s="3">
        <f t="shared" ref="F26" si="14">SUM(F5,F12,F19)</f>
        <v>-1099588</v>
      </c>
      <c r="H26" t="s">
        <v>15</v>
      </c>
      <c r="J26" s="3">
        <f t="shared" ref="J26:K26" si="15">SUM(J5,J12,J19)</f>
        <v>1723</v>
      </c>
      <c r="K26" s="3">
        <f t="shared" si="15"/>
        <v>-244869</v>
      </c>
      <c r="L26" s="3">
        <f t="shared" si="12"/>
        <v>-246592</v>
      </c>
      <c r="N26" t="s">
        <v>15</v>
      </c>
      <c r="P26" s="3">
        <f t="shared" ref="P26:R26" si="16">SUM(P5,P12,P19)</f>
        <v>-1723</v>
      </c>
      <c r="Q26" s="3">
        <f t="shared" si="16"/>
        <v>244869</v>
      </c>
      <c r="R26" s="3">
        <f t="shared" si="16"/>
        <v>246592</v>
      </c>
    </row>
    <row r="27" spans="1:18" x14ac:dyDescent="0.25">
      <c r="B27" t="s">
        <v>16</v>
      </c>
      <c r="D27" s="3">
        <f t="shared" si="10"/>
        <v>3249331</v>
      </c>
      <c r="E27" s="3">
        <f t="shared" si="10"/>
        <v>-100393</v>
      </c>
      <c r="F27" s="3">
        <f t="shared" ref="F27" si="17">SUM(F6,F13,F20)</f>
        <v>-3349724</v>
      </c>
      <c r="H27" t="s">
        <v>16</v>
      </c>
      <c r="J27" s="3">
        <f t="shared" ref="J27:K27" si="18">SUM(J6,J13,J20)</f>
        <v>2711</v>
      </c>
      <c r="K27" s="3">
        <f t="shared" si="18"/>
        <v>-2048365</v>
      </c>
      <c r="L27" s="3">
        <f t="shared" si="12"/>
        <v>-2051076</v>
      </c>
      <c r="N27" t="s">
        <v>16</v>
      </c>
      <c r="P27" s="3">
        <f t="shared" ref="P27:R27" si="19">SUM(P6,P13,P20)</f>
        <v>-2711</v>
      </c>
      <c r="Q27" s="3">
        <f t="shared" si="19"/>
        <v>2048365</v>
      </c>
      <c r="R27" s="3">
        <f t="shared" si="19"/>
        <v>2051076</v>
      </c>
    </row>
    <row r="28" spans="1:18" x14ac:dyDescent="0.25">
      <c r="B28" t="s">
        <v>17</v>
      </c>
      <c r="D28" s="3">
        <f t="shared" si="10"/>
        <v>54011</v>
      </c>
      <c r="E28" s="3">
        <f t="shared" si="10"/>
        <v>31964</v>
      </c>
      <c r="F28" s="3">
        <f t="shared" ref="F28" si="20">SUM(F7,F14,F21)</f>
        <v>-22047</v>
      </c>
      <c r="H28" t="s">
        <v>17</v>
      </c>
      <c r="J28" s="3">
        <f t="shared" ref="J28:K28" si="21">SUM(J7,J14,J21)</f>
        <v>0</v>
      </c>
      <c r="K28" s="3">
        <f t="shared" si="21"/>
        <v>-442</v>
      </c>
      <c r="L28" s="3">
        <f t="shared" si="12"/>
        <v>-442</v>
      </c>
      <c r="N28" t="s">
        <v>17</v>
      </c>
      <c r="P28" s="3">
        <f t="shared" ref="P28:R28" si="22">SUM(P7,P14,P21)</f>
        <v>0</v>
      </c>
      <c r="Q28" s="3">
        <f t="shared" si="22"/>
        <v>442</v>
      </c>
      <c r="R28" s="3">
        <f t="shared" si="22"/>
        <v>442</v>
      </c>
    </row>
    <row r="29" spans="1:18" ht="15.75" thickBot="1" x14ac:dyDescent="0.3">
      <c r="D29" s="4">
        <f>SUM(D24:D28)</f>
        <v>17259499</v>
      </c>
      <c r="E29" s="4">
        <f>SUM(E24:E28)</f>
        <v>2867248</v>
      </c>
      <c r="F29" s="4">
        <f>SUM(F24:F28)</f>
        <v>-14392251</v>
      </c>
      <c r="J29" s="4">
        <f>SUM(J24:J28)</f>
        <v>1735456</v>
      </c>
      <c r="K29" s="4">
        <f>SUM(K24:K28)</f>
        <v>-6447177</v>
      </c>
      <c r="L29" s="4">
        <f>SUM(L24:L28)</f>
        <v>-8182633</v>
      </c>
      <c r="P29" s="4">
        <f>SUM(P24:P28)</f>
        <v>-1735456</v>
      </c>
      <c r="Q29" s="4">
        <f>SUM(Q24:Q28)</f>
        <v>6447177</v>
      </c>
      <c r="R29" s="4">
        <f>SUM(R24:R28)</f>
        <v>8182633</v>
      </c>
    </row>
    <row r="30" spans="1:18" x14ac:dyDescent="0.25">
      <c r="D30" s="3"/>
      <c r="E30" s="3"/>
      <c r="F30" s="3"/>
      <c r="J30" s="3"/>
      <c r="K30" s="3"/>
      <c r="L30" s="3"/>
      <c r="P30" s="3"/>
      <c r="Q30" s="3"/>
      <c r="R30" s="3"/>
    </row>
    <row r="31" spans="1:18" x14ac:dyDescent="0.25">
      <c r="A31" t="s">
        <v>28</v>
      </c>
      <c r="B31" t="s">
        <v>13</v>
      </c>
      <c r="C31" s="6">
        <f>'Allocation Factors'!$F$5</f>
        <v>0.68249000000000004</v>
      </c>
      <c r="D31" s="3">
        <f>$D$24*C31</f>
        <v>5890395.7900700001</v>
      </c>
      <c r="E31" s="3">
        <f>$E$24*C31</f>
        <v>437426.26823000005</v>
      </c>
      <c r="F31" s="3">
        <f t="shared" ref="F31:F35" si="23">E31-D31</f>
        <v>-5452969.5218400005</v>
      </c>
      <c r="H31" t="s">
        <v>13</v>
      </c>
      <c r="I31" s="6">
        <f>'Allocation Factors'!$F$5</f>
        <v>0.68249000000000004</v>
      </c>
      <c r="J31" s="3">
        <f>$J$24*I31</f>
        <v>839679.04933000007</v>
      </c>
      <c r="K31" s="3">
        <f>$K$24*I31</f>
        <v>-2593003.3667200003</v>
      </c>
      <c r="L31" s="3">
        <f t="shared" ref="L31:L35" si="24">K31-J31</f>
        <v>-3432682.4160500001</v>
      </c>
      <c r="N31" t="s">
        <v>13</v>
      </c>
      <c r="O31" s="6">
        <f>'Allocation Factors'!$F$5</f>
        <v>0.68249000000000004</v>
      </c>
      <c r="P31" s="3">
        <f>$P$24*O31</f>
        <v>-839679.04933000007</v>
      </c>
      <c r="Q31" s="3">
        <f>$Q$24*O31</f>
        <v>2593003.3667200003</v>
      </c>
      <c r="R31" s="3">
        <f t="shared" ref="R31:R35" si="25">Q31-P31</f>
        <v>3432682.4160500001</v>
      </c>
    </row>
    <row r="32" spans="1:18" x14ac:dyDescent="0.25">
      <c r="B32" t="s">
        <v>14</v>
      </c>
      <c r="C32" s="6">
        <v>0</v>
      </c>
      <c r="D32" s="3">
        <f>$D$25*C32</f>
        <v>0</v>
      </c>
      <c r="E32" s="3">
        <f>$E$25*C32</f>
        <v>0</v>
      </c>
      <c r="F32" s="3">
        <f t="shared" si="23"/>
        <v>0</v>
      </c>
      <c r="H32" t="s">
        <v>14</v>
      </c>
      <c r="I32" s="6">
        <v>0</v>
      </c>
      <c r="J32" s="3">
        <f>$J$25*I32</f>
        <v>0</v>
      </c>
      <c r="K32" s="3">
        <f>$K$25*I32</f>
        <v>0</v>
      </c>
      <c r="L32" s="3">
        <f t="shared" si="24"/>
        <v>0</v>
      </c>
      <c r="N32" t="s">
        <v>14</v>
      </c>
      <c r="O32" s="6">
        <v>0</v>
      </c>
      <c r="P32" s="3">
        <f>$P$25*O32</f>
        <v>0</v>
      </c>
      <c r="Q32" s="3">
        <f>$Q$25*O32</f>
        <v>0</v>
      </c>
      <c r="R32" s="3">
        <f t="shared" si="25"/>
        <v>0</v>
      </c>
    </row>
    <row r="33" spans="1:18" x14ac:dyDescent="0.25">
      <c r="B33" t="s">
        <v>15</v>
      </c>
      <c r="C33" s="6">
        <v>0</v>
      </c>
      <c r="D33" s="3">
        <f>$D$26*C33</f>
        <v>0</v>
      </c>
      <c r="E33" s="3">
        <f>$E$26*C33</f>
        <v>0</v>
      </c>
      <c r="F33" s="3">
        <f t="shared" si="23"/>
        <v>0</v>
      </c>
      <c r="H33" t="s">
        <v>15</v>
      </c>
      <c r="I33" s="6">
        <v>0</v>
      </c>
      <c r="J33" s="3">
        <f>$J$26*I33</f>
        <v>0</v>
      </c>
      <c r="K33" s="3">
        <f>$K$26*I33</f>
        <v>0</v>
      </c>
      <c r="L33" s="3">
        <f t="shared" si="24"/>
        <v>0</v>
      </c>
      <c r="N33" t="s">
        <v>15</v>
      </c>
      <c r="O33" s="6">
        <v>0</v>
      </c>
      <c r="P33" s="3">
        <f>$P$26*O33</f>
        <v>0</v>
      </c>
      <c r="Q33" s="3">
        <f>$Q$26*O33</f>
        <v>0</v>
      </c>
      <c r="R33" s="3">
        <f t="shared" si="25"/>
        <v>0</v>
      </c>
    </row>
    <row r="34" spans="1:18" x14ac:dyDescent="0.25">
      <c r="B34" t="s">
        <v>16</v>
      </c>
      <c r="C34" s="6">
        <f>'Allocation Factors'!$F$10</f>
        <v>0.47866436150000002</v>
      </c>
      <c r="D34" s="3">
        <f>$D$27*C34</f>
        <v>1555338.9484171565</v>
      </c>
      <c r="E34" s="3">
        <f>$E$27*C34</f>
        <v>-48054.551244069502</v>
      </c>
      <c r="F34" s="3">
        <f t="shared" si="23"/>
        <v>-1603393.4996612261</v>
      </c>
      <c r="H34" t="s">
        <v>16</v>
      </c>
      <c r="I34" s="6">
        <f>'Allocation Factors'!$F$10</f>
        <v>0.47866436150000002</v>
      </c>
      <c r="J34" s="3">
        <f>$J$27*I34</f>
        <v>1297.6590840265001</v>
      </c>
      <c r="K34" s="3">
        <f>$K$27*I34</f>
        <v>-980479.32484394754</v>
      </c>
      <c r="L34" s="3">
        <f t="shared" si="24"/>
        <v>-981776.98392797401</v>
      </c>
      <c r="N34" t="s">
        <v>16</v>
      </c>
      <c r="O34" s="6">
        <f>'Allocation Factors'!$F$10</f>
        <v>0.47866436150000002</v>
      </c>
      <c r="P34" s="3">
        <f>$P$27*O34</f>
        <v>-1297.6590840265001</v>
      </c>
      <c r="Q34" s="3">
        <f>$Q$27*O34</f>
        <v>980479.32484394754</v>
      </c>
      <c r="R34" s="3">
        <f t="shared" si="25"/>
        <v>981776.98392797401</v>
      </c>
    </row>
    <row r="35" spans="1:18" x14ac:dyDescent="0.25">
      <c r="B35" t="s">
        <v>17</v>
      </c>
      <c r="C35" s="6">
        <f>'Allocation Factors'!$F$12</f>
        <v>0.53039710350000002</v>
      </c>
      <c r="D35" s="3">
        <f>$D$28*C35</f>
        <v>28647.2779571385</v>
      </c>
      <c r="E35" s="3">
        <f>$E$28*C35</f>
        <v>16953.613016274001</v>
      </c>
      <c r="F35" s="3">
        <f t="shared" si="23"/>
        <v>-11693.664940864499</v>
      </c>
      <c r="H35" t="s">
        <v>17</v>
      </c>
      <c r="I35" s="6">
        <f>'Allocation Factors'!$F$12</f>
        <v>0.53039710350000002</v>
      </c>
      <c r="J35" s="3">
        <f>$J$28*I35</f>
        <v>0</v>
      </c>
      <c r="K35" s="3">
        <f>$K$28*I35</f>
        <v>-234.435519747</v>
      </c>
      <c r="L35" s="3">
        <f t="shared" si="24"/>
        <v>-234.435519747</v>
      </c>
      <c r="N35" t="s">
        <v>17</v>
      </c>
      <c r="O35" s="6">
        <f>'Allocation Factors'!$F$12</f>
        <v>0.53039710350000002</v>
      </c>
      <c r="P35" s="3">
        <f>$P$28*O35</f>
        <v>0</v>
      </c>
      <c r="Q35" s="3">
        <f>$Q$28*O35</f>
        <v>234.435519747</v>
      </c>
      <c r="R35" s="3">
        <f t="shared" si="25"/>
        <v>234.435519747</v>
      </c>
    </row>
    <row r="36" spans="1:18" ht="15.75" thickBot="1" x14ac:dyDescent="0.3">
      <c r="C36" s="6"/>
      <c r="D36" s="4">
        <f>SUM(D31:D35)</f>
        <v>7474382.0164442947</v>
      </c>
      <c r="E36" s="4">
        <f>SUM(E31:E35)</f>
        <v>406325.33000220457</v>
      </c>
      <c r="F36" s="4">
        <f>SUM(F31:F35)</f>
        <v>-7068056.6864420911</v>
      </c>
      <c r="I36" s="6"/>
      <c r="J36" s="4">
        <f>SUM(J31:J35)</f>
        <v>840976.70841402654</v>
      </c>
      <c r="K36" s="4">
        <f>SUM(K31:K35)</f>
        <v>-3573717.127083695</v>
      </c>
      <c r="L36" s="4">
        <f>SUM(L31:L35)</f>
        <v>-4414693.835497722</v>
      </c>
      <c r="O36" s="6"/>
      <c r="P36" s="4">
        <f>SUM(P31:P35)</f>
        <v>-840976.70841402654</v>
      </c>
      <c r="Q36" s="4">
        <f>SUM(Q31:Q35)</f>
        <v>3573717.127083695</v>
      </c>
      <c r="R36" s="4">
        <f>SUM(R31:R35)</f>
        <v>4414693.835497722</v>
      </c>
    </row>
    <row r="37" spans="1:18" x14ac:dyDescent="0.25">
      <c r="C37" s="6"/>
      <c r="D37" s="8"/>
      <c r="E37" s="8"/>
      <c r="F37" s="8"/>
      <c r="I37" s="6"/>
      <c r="J37" s="8"/>
      <c r="K37" s="8"/>
      <c r="L37" s="8"/>
      <c r="O37" s="6"/>
      <c r="P37" s="8"/>
      <c r="Q37" s="8"/>
      <c r="R37" s="8"/>
    </row>
    <row r="38" spans="1:18" x14ac:dyDescent="0.25">
      <c r="A38" t="s">
        <v>29</v>
      </c>
      <c r="B38" t="s">
        <v>13</v>
      </c>
      <c r="C38" s="6">
        <f>'Allocation Factors'!$G$5</f>
        <v>0.31750999999999996</v>
      </c>
      <c r="D38" s="3">
        <f>$D$24*C38</f>
        <v>2740347.2099299994</v>
      </c>
      <c r="E38" s="3">
        <f>$E$24*C38</f>
        <v>203500.73176999998</v>
      </c>
      <c r="F38" s="3">
        <f t="shared" ref="F38:F42" si="26">E38-D38</f>
        <v>-2536846.4781599995</v>
      </c>
      <c r="H38" t="s">
        <v>13</v>
      </c>
      <c r="I38" s="6">
        <f>'Allocation Factors'!$G$5</f>
        <v>0.31750999999999996</v>
      </c>
      <c r="J38" s="3">
        <f>$J$24*I38</f>
        <v>390637.95066999993</v>
      </c>
      <c r="K38" s="3">
        <f>$K$24*I38</f>
        <v>-1206324.63328</v>
      </c>
      <c r="L38" s="3">
        <f t="shared" ref="L38:L42" si="27">K38-J38</f>
        <v>-1596962.5839499999</v>
      </c>
      <c r="N38" t="s">
        <v>13</v>
      </c>
      <c r="O38" s="6">
        <f>'Allocation Factors'!$G$5</f>
        <v>0.31750999999999996</v>
      </c>
      <c r="P38" s="3">
        <f>$P$24*O38</f>
        <v>-390637.95066999993</v>
      </c>
      <c r="Q38" s="3">
        <f>$Q$24*O38</f>
        <v>1206324.63328</v>
      </c>
      <c r="R38" s="3">
        <f t="shared" ref="R38:R42" si="28">Q38-P38</f>
        <v>1596962.5839499999</v>
      </c>
    </row>
    <row r="39" spans="1:18" x14ac:dyDescent="0.25">
      <c r="B39" t="s">
        <v>14</v>
      </c>
      <c r="C39" s="6">
        <v>0</v>
      </c>
      <c r="D39" s="3">
        <f>$D$25*C39</f>
        <v>0</v>
      </c>
      <c r="E39" s="3">
        <f>$E$25*C39</f>
        <v>0</v>
      </c>
      <c r="F39" s="3">
        <f t="shared" si="26"/>
        <v>0</v>
      </c>
      <c r="H39" t="s">
        <v>14</v>
      </c>
      <c r="I39" s="6">
        <v>0</v>
      </c>
      <c r="J39" s="3">
        <f>$J$25*I39</f>
        <v>0</v>
      </c>
      <c r="K39" s="3">
        <f>$K$25*I39</f>
        <v>0</v>
      </c>
      <c r="L39" s="3">
        <f t="shared" si="27"/>
        <v>0</v>
      </c>
      <c r="N39" t="s">
        <v>14</v>
      </c>
      <c r="O39" s="6">
        <v>0</v>
      </c>
      <c r="P39" s="3">
        <f>$P$25*O39</f>
        <v>0</v>
      </c>
      <c r="Q39" s="3">
        <f>$Q$25*O39</f>
        <v>0</v>
      </c>
      <c r="R39" s="3">
        <f t="shared" si="28"/>
        <v>0</v>
      </c>
    </row>
    <row r="40" spans="1:18" x14ac:dyDescent="0.25">
      <c r="B40" t="s">
        <v>15</v>
      </c>
      <c r="C40" s="6">
        <v>0</v>
      </c>
      <c r="D40" s="3">
        <f>$D$26*C40</f>
        <v>0</v>
      </c>
      <c r="E40" s="3">
        <f>$E$26*C40</f>
        <v>0</v>
      </c>
      <c r="F40" s="3">
        <f t="shared" si="26"/>
        <v>0</v>
      </c>
      <c r="H40" t="s">
        <v>15</v>
      </c>
      <c r="I40" s="6">
        <v>0</v>
      </c>
      <c r="J40" s="3">
        <f>$J$26*I40</f>
        <v>0</v>
      </c>
      <c r="K40" s="3">
        <f>$K$26*I40</f>
        <v>0</v>
      </c>
      <c r="L40" s="3">
        <f t="shared" si="27"/>
        <v>0</v>
      </c>
      <c r="N40" t="s">
        <v>15</v>
      </c>
      <c r="O40" s="6">
        <v>0</v>
      </c>
      <c r="P40" s="3">
        <f>$P$26*O40</f>
        <v>0</v>
      </c>
      <c r="Q40" s="3">
        <f>$Q$26*O40</f>
        <v>0</v>
      </c>
      <c r="R40" s="3">
        <f t="shared" si="28"/>
        <v>0</v>
      </c>
    </row>
    <row r="41" spans="1:18" x14ac:dyDescent="0.25">
      <c r="B41" t="s">
        <v>16</v>
      </c>
      <c r="C41" s="6">
        <f>'Allocation Factors'!$G$10</f>
        <v>0.22268563849999998</v>
      </c>
      <c r="D41" s="3">
        <f>$D$27*C41</f>
        <v>723579.34843284346</v>
      </c>
      <c r="E41" s="3">
        <f>$E$27*C41</f>
        <v>-22356.079305930496</v>
      </c>
      <c r="F41" s="3">
        <f t="shared" si="26"/>
        <v>-745935.42773877399</v>
      </c>
      <c r="H41" t="s">
        <v>16</v>
      </c>
      <c r="I41" s="6">
        <f>'Allocation Factors'!$G$10</f>
        <v>0.22268563849999998</v>
      </c>
      <c r="J41" s="3">
        <f>$J$27*I41</f>
        <v>603.70076597349998</v>
      </c>
      <c r="K41" s="3">
        <f>$K$27*I41</f>
        <v>-456141.46790605248</v>
      </c>
      <c r="L41" s="3">
        <f t="shared" si="27"/>
        <v>-456745.16867202596</v>
      </c>
      <c r="N41" t="s">
        <v>16</v>
      </c>
      <c r="O41" s="6">
        <f>'Allocation Factors'!$G$10</f>
        <v>0.22268563849999998</v>
      </c>
      <c r="P41" s="3">
        <f>$P$27*O41</f>
        <v>-603.70076597349998</v>
      </c>
      <c r="Q41" s="3">
        <f>$Q$27*O41</f>
        <v>456141.46790605248</v>
      </c>
      <c r="R41" s="3">
        <f t="shared" si="28"/>
        <v>456745.16867202596</v>
      </c>
    </row>
    <row r="42" spans="1:18" x14ac:dyDescent="0.25">
      <c r="B42" t="s">
        <v>17</v>
      </c>
      <c r="C42" s="6">
        <f>'Allocation Factors'!$G$12</f>
        <v>0.24675289649999996</v>
      </c>
      <c r="D42" s="3">
        <f>$D$28*C42</f>
        <v>13327.370692861497</v>
      </c>
      <c r="E42" s="3">
        <f>$E$28*C42</f>
        <v>7887.2095837259985</v>
      </c>
      <c r="F42" s="3">
        <f t="shared" si="26"/>
        <v>-5440.1611091354989</v>
      </c>
      <c r="H42" t="s">
        <v>17</v>
      </c>
      <c r="I42" s="6">
        <f>'Allocation Factors'!$G$12</f>
        <v>0.24675289649999996</v>
      </c>
      <c r="J42" s="3">
        <f>$J$28*I42</f>
        <v>0</v>
      </c>
      <c r="K42" s="3">
        <f>$K$28*I42</f>
        <v>-109.06478025299998</v>
      </c>
      <c r="L42" s="3">
        <f t="shared" si="27"/>
        <v>-109.06478025299998</v>
      </c>
      <c r="N42" t="s">
        <v>17</v>
      </c>
      <c r="O42" s="6">
        <f>'Allocation Factors'!$G$12</f>
        <v>0.24675289649999996</v>
      </c>
      <c r="P42" s="3">
        <f>$P$28*O42</f>
        <v>0</v>
      </c>
      <c r="Q42" s="3">
        <f>$Q$28*O42</f>
        <v>109.06478025299998</v>
      </c>
      <c r="R42" s="3">
        <f t="shared" si="28"/>
        <v>109.06478025299998</v>
      </c>
    </row>
    <row r="43" spans="1:18" ht="15.75" thickBot="1" x14ac:dyDescent="0.3">
      <c r="C43" s="6"/>
      <c r="D43" s="4">
        <f>SUM(D38:D42)</f>
        <v>3477253.9290557043</v>
      </c>
      <c r="E43" s="4">
        <f>SUM(E38:E42)</f>
        <v>189031.8620477955</v>
      </c>
      <c r="F43" s="4">
        <f>SUM(F38:F42)</f>
        <v>-3288222.0670079091</v>
      </c>
      <c r="I43" s="6"/>
      <c r="J43" s="4">
        <f>SUM(J38:J42)</f>
        <v>391241.65143597341</v>
      </c>
      <c r="K43" s="4">
        <f>SUM(K38:K42)</f>
        <v>-1662575.1659663054</v>
      </c>
      <c r="L43" s="4">
        <f>SUM(L38:L42)</f>
        <v>-2053816.8174022788</v>
      </c>
      <c r="O43" s="6"/>
      <c r="P43" s="4">
        <f>SUM(P38:P42)</f>
        <v>-391241.65143597341</v>
      </c>
      <c r="Q43" s="4">
        <f>SUM(Q38:Q42)</f>
        <v>1662575.1659663054</v>
      </c>
      <c r="R43" s="4">
        <f>SUM(R38:R42)</f>
        <v>2053816.8174022788</v>
      </c>
    </row>
    <row r="44" spans="1:18" x14ac:dyDescent="0.25">
      <c r="C44" s="6"/>
      <c r="D44" s="3"/>
      <c r="E44" s="3"/>
      <c r="F44" s="3"/>
      <c r="I44" s="6"/>
      <c r="J44" s="3"/>
      <c r="K44" s="3"/>
      <c r="L44" s="3"/>
      <c r="O44" s="6"/>
      <c r="P44" s="3"/>
      <c r="Q44" s="3"/>
      <c r="R44" s="3"/>
    </row>
    <row r="45" spans="1:18" x14ac:dyDescent="0.25">
      <c r="A45" t="s">
        <v>30</v>
      </c>
      <c r="B45" t="s">
        <v>13</v>
      </c>
      <c r="C45" s="6">
        <v>0</v>
      </c>
      <c r="D45" s="3">
        <f>$D$24*C45</f>
        <v>0</v>
      </c>
      <c r="E45" s="3">
        <f>$E$24*C45</f>
        <v>0</v>
      </c>
      <c r="F45" s="3">
        <f t="shared" ref="F45:F49" si="29">E45-D45</f>
        <v>0</v>
      </c>
      <c r="H45" t="s">
        <v>13</v>
      </c>
      <c r="I45" s="6">
        <v>0</v>
      </c>
      <c r="J45" s="3">
        <f>$J$24*I45</f>
        <v>0</v>
      </c>
      <c r="K45" s="3">
        <f>$K$24*I45</f>
        <v>0</v>
      </c>
      <c r="L45" s="3">
        <f t="shared" ref="L45:L49" si="30">K45-J45</f>
        <v>0</v>
      </c>
      <c r="N45" t="s">
        <v>13</v>
      </c>
      <c r="O45" s="6">
        <v>0</v>
      </c>
      <c r="P45" s="3">
        <f>$P$24*O45</f>
        <v>0</v>
      </c>
      <c r="Q45" s="3">
        <f>$Q$24*O45</f>
        <v>0</v>
      </c>
      <c r="R45" s="3">
        <f t="shared" ref="R45:R49" si="31">Q45-P45</f>
        <v>0</v>
      </c>
    </row>
    <row r="46" spans="1:18" x14ac:dyDescent="0.25">
      <c r="B46" t="s">
        <v>14</v>
      </c>
      <c r="C46" s="6">
        <f>'Allocation Factors'!$F$7</f>
        <v>0.71353</v>
      </c>
      <c r="D46" s="3">
        <f>$D$25*C46</f>
        <v>2277016.9360000002</v>
      </c>
      <c r="E46" s="3">
        <f>$E$25*C46</f>
        <v>899136.27772000001</v>
      </c>
      <c r="F46" s="3">
        <f t="shared" si="29"/>
        <v>-1377880.6582800001</v>
      </c>
      <c r="H46" t="s">
        <v>14</v>
      </c>
      <c r="I46" s="6">
        <f>'Allocation Factors'!$F$7</f>
        <v>0.71353</v>
      </c>
      <c r="J46" s="3">
        <f>$J$25*I46</f>
        <v>357268.03865</v>
      </c>
      <c r="K46" s="3">
        <f>$K$25*I46</f>
        <v>-252713.06069000001</v>
      </c>
      <c r="L46" s="3">
        <f t="shared" si="30"/>
        <v>-609981.09933999996</v>
      </c>
      <c r="N46" t="s">
        <v>14</v>
      </c>
      <c r="O46" s="6">
        <f>'Allocation Factors'!$F$7</f>
        <v>0.71353</v>
      </c>
      <c r="P46" s="3">
        <f>$P$25*O46</f>
        <v>-357268.03865</v>
      </c>
      <c r="Q46" s="3">
        <f>$Q$25*O46</f>
        <v>252713.06069000001</v>
      </c>
      <c r="R46" s="3">
        <f t="shared" si="31"/>
        <v>609981.09933999996</v>
      </c>
    </row>
    <row r="47" spans="1:18" x14ac:dyDescent="0.25">
      <c r="B47" t="s">
        <v>15</v>
      </c>
      <c r="C47" s="6">
        <v>0</v>
      </c>
      <c r="D47" s="3">
        <f>$D$26*C47</f>
        <v>0</v>
      </c>
      <c r="E47" s="3">
        <f>$E$26*C47</f>
        <v>0</v>
      </c>
      <c r="F47" s="3">
        <f t="shared" si="29"/>
        <v>0</v>
      </c>
      <c r="H47" t="s">
        <v>15</v>
      </c>
      <c r="I47" s="6">
        <v>0</v>
      </c>
      <c r="J47" s="3">
        <f>$J$26*I47</f>
        <v>0</v>
      </c>
      <c r="K47" s="3">
        <f>$K$26*I47</f>
        <v>0</v>
      </c>
      <c r="L47" s="3">
        <f t="shared" si="30"/>
        <v>0</v>
      </c>
      <c r="N47" t="s">
        <v>15</v>
      </c>
      <c r="O47" s="6">
        <v>0</v>
      </c>
      <c r="P47" s="3">
        <f>$P$26*O47</f>
        <v>0</v>
      </c>
      <c r="Q47" s="3">
        <f>$Q$26*O47</f>
        <v>0</v>
      </c>
      <c r="R47" s="3">
        <f t="shared" si="31"/>
        <v>0</v>
      </c>
    </row>
    <row r="48" spans="1:18" x14ac:dyDescent="0.25">
      <c r="B48" t="s">
        <v>16</v>
      </c>
      <c r="C48" s="6">
        <f>'Allocation Factors'!$H$10</f>
        <v>0.1466232797</v>
      </c>
      <c r="D48" s="3">
        <f>$D$27*C48</f>
        <v>476427.56805088068</v>
      </c>
      <c r="E48" s="3">
        <f>$E$27*C48</f>
        <v>-14719.950918922099</v>
      </c>
      <c r="F48" s="3">
        <f t="shared" si="29"/>
        <v>-491147.51896980277</v>
      </c>
      <c r="H48" t="s">
        <v>16</v>
      </c>
      <c r="I48" s="6">
        <f>'Allocation Factors'!$H$10</f>
        <v>0.1466232797</v>
      </c>
      <c r="J48" s="3">
        <f>$J$27*I48</f>
        <v>397.49571126669997</v>
      </c>
      <c r="K48" s="3">
        <f>$K$27*I48</f>
        <v>-300337.99432269047</v>
      </c>
      <c r="L48" s="3">
        <f t="shared" si="30"/>
        <v>-300735.49003395718</v>
      </c>
      <c r="N48" t="s">
        <v>16</v>
      </c>
      <c r="O48" s="6">
        <f>'Allocation Factors'!$H$10</f>
        <v>0.1466232797</v>
      </c>
      <c r="P48" s="3">
        <f>$P$27*O48</f>
        <v>-397.49571126669997</v>
      </c>
      <c r="Q48" s="3">
        <f>$Q$27*O48</f>
        <v>300337.99432269047</v>
      </c>
      <c r="R48" s="3">
        <f t="shared" si="31"/>
        <v>300735.49003395718</v>
      </c>
    </row>
    <row r="49" spans="1:18" x14ac:dyDescent="0.25">
      <c r="B49" t="s">
        <v>17</v>
      </c>
      <c r="C49" s="6">
        <f>'Allocation Factors'!$H$12</f>
        <v>0.1590101605</v>
      </c>
      <c r="D49" s="3">
        <f>$D$28*C49</f>
        <v>8588.2977787655</v>
      </c>
      <c r="E49" s="3">
        <f>$E$28*C49</f>
        <v>5082.6007702219995</v>
      </c>
      <c r="F49" s="3">
        <f t="shared" si="29"/>
        <v>-3505.6970085435005</v>
      </c>
      <c r="H49" t="s">
        <v>17</v>
      </c>
      <c r="I49" s="6">
        <f>'Allocation Factors'!$H$12</f>
        <v>0.1590101605</v>
      </c>
      <c r="J49" s="3">
        <f>$J$28*I49</f>
        <v>0</v>
      </c>
      <c r="K49" s="3">
        <f>$K$28*I49</f>
        <v>-70.282490940999992</v>
      </c>
      <c r="L49" s="3">
        <f t="shared" si="30"/>
        <v>-70.282490940999992</v>
      </c>
      <c r="N49" t="s">
        <v>17</v>
      </c>
      <c r="O49" s="6">
        <f>'Allocation Factors'!$H$12</f>
        <v>0.1590101605</v>
      </c>
      <c r="P49" s="3">
        <f>$P$28*O49</f>
        <v>0</v>
      </c>
      <c r="Q49" s="3">
        <f>$Q$28*O49</f>
        <v>70.282490940999992</v>
      </c>
      <c r="R49" s="3">
        <f t="shared" si="31"/>
        <v>70.282490940999992</v>
      </c>
    </row>
    <row r="50" spans="1:18" ht="15.75" thickBot="1" x14ac:dyDescent="0.3">
      <c r="C50" s="6"/>
      <c r="D50" s="4">
        <f>SUM(D45:D49)</f>
        <v>2762032.8018296463</v>
      </c>
      <c r="E50" s="4">
        <f>SUM(E45:E49)</f>
        <v>889498.92757129995</v>
      </c>
      <c r="F50" s="4">
        <f>SUM(F45:F49)</f>
        <v>-1872533.8742583462</v>
      </c>
      <c r="I50" s="6"/>
      <c r="J50" s="4">
        <f>SUM(J45:J49)</f>
        <v>357665.53436126671</v>
      </c>
      <c r="K50" s="4">
        <f>SUM(K45:K49)</f>
        <v>-553121.33750363148</v>
      </c>
      <c r="L50" s="4">
        <f>SUM(L45:L49)</f>
        <v>-910786.87186489813</v>
      </c>
      <c r="O50" s="6"/>
      <c r="P50" s="4">
        <f>SUM(P45:P49)</f>
        <v>-357665.53436126671</v>
      </c>
      <c r="Q50" s="4">
        <f>SUM(Q45:Q49)</f>
        <v>553121.33750363148</v>
      </c>
      <c r="R50" s="4">
        <f>SUM(R45:R49)</f>
        <v>910786.87186489813</v>
      </c>
    </row>
    <row r="51" spans="1:18" x14ac:dyDescent="0.25">
      <c r="C51" s="6"/>
      <c r="D51" s="3"/>
      <c r="E51" s="3"/>
      <c r="F51" s="3"/>
      <c r="I51" s="6"/>
      <c r="J51" s="3"/>
      <c r="K51" s="3"/>
      <c r="L51" s="3"/>
      <c r="O51" s="6"/>
      <c r="P51" s="3"/>
      <c r="Q51" s="3"/>
      <c r="R51" s="3"/>
    </row>
    <row r="52" spans="1:18" x14ac:dyDescent="0.25">
      <c r="A52" t="s">
        <v>31</v>
      </c>
      <c r="B52" t="s">
        <v>13</v>
      </c>
      <c r="C52" s="6">
        <v>0</v>
      </c>
      <c r="D52" s="3">
        <f>$D$24*C52</f>
        <v>0</v>
      </c>
      <c r="E52" s="3">
        <f>$E$24*C52</f>
        <v>0</v>
      </c>
      <c r="F52" s="3">
        <f t="shared" ref="F52:F56" si="32">E52-D52</f>
        <v>0</v>
      </c>
      <c r="H52" t="s">
        <v>13</v>
      </c>
      <c r="I52" s="6">
        <v>0</v>
      </c>
      <c r="J52" s="3">
        <f>$J$24*I52</f>
        <v>0</v>
      </c>
      <c r="K52" s="3">
        <f>$K$24*I52</f>
        <v>0</v>
      </c>
      <c r="L52" s="3">
        <f t="shared" ref="L52:L56" si="33">K52-J52</f>
        <v>0</v>
      </c>
      <c r="N52" t="s">
        <v>13</v>
      </c>
      <c r="O52" s="6">
        <v>0</v>
      </c>
      <c r="P52" s="3">
        <f>$P$24*O52</f>
        <v>0</v>
      </c>
      <c r="Q52" s="3">
        <f>$Q$24*O52</f>
        <v>0</v>
      </c>
      <c r="R52" s="3">
        <f t="shared" ref="R52:R56" si="34">Q52-P52</f>
        <v>0</v>
      </c>
    </row>
    <row r="53" spans="1:18" x14ac:dyDescent="0.25">
      <c r="B53" t="s">
        <v>14</v>
      </c>
      <c r="C53" s="6">
        <f>'Allocation Factors'!$G$7</f>
        <v>0.28647</v>
      </c>
      <c r="D53" s="3">
        <f>$D$25*C53</f>
        <v>914183.06400000001</v>
      </c>
      <c r="E53" s="3">
        <f>$E$25*C53</f>
        <v>360987.72227999999</v>
      </c>
      <c r="F53" s="3">
        <f t="shared" si="32"/>
        <v>-553195.34172000003</v>
      </c>
      <c r="H53" t="s">
        <v>14</v>
      </c>
      <c r="I53" s="6">
        <f>'Allocation Factors'!$G$7</f>
        <v>0.28647</v>
      </c>
      <c r="J53" s="3">
        <f>$J$25*I53</f>
        <v>143436.96135</v>
      </c>
      <c r="K53" s="3">
        <f>$K$25*I53</f>
        <v>-101459.93931</v>
      </c>
      <c r="L53" s="3">
        <f t="shared" si="33"/>
        <v>-244896.90065999998</v>
      </c>
      <c r="N53" t="s">
        <v>14</v>
      </c>
      <c r="O53" s="6">
        <f>'Allocation Factors'!$G$7</f>
        <v>0.28647</v>
      </c>
      <c r="P53" s="3">
        <f>$P$25*O53</f>
        <v>-143436.96135</v>
      </c>
      <c r="Q53" s="3">
        <f>$Q$25*O53</f>
        <v>101459.93931</v>
      </c>
      <c r="R53" s="3">
        <f t="shared" si="34"/>
        <v>244896.90065999998</v>
      </c>
    </row>
    <row r="54" spans="1:18" x14ac:dyDescent="0.25">
      <c r="B54" t="s">
        <v>15</v>
      </c>
      <c r="C54" s="6">
        <v>0</v>
      </c>
      <c r="D54" s="3">
        <f>$D$26*C54</f>
        <v>0</v>
      </c>
      <c r="E54" s="3">
        <f>$E$26*C54</f>
        <v>0</v>
      </c>
      <c r="F54" s="3">
        <f t="shared" si="32"/>
        <v>0</v>
      </c>
      <c r="H54" t="s">
        <v>15</v>
      </c>
      <c r="I54" s="6">
        <v>0</v>
      </c>
      <c r="J54" s="3">
        <f>$J$26*I54</f>
        <v>0</v>
      </c>
      <c r="K54" s="3">
        <f>$K$26*I54</f>
        <v>0</v>
      </c>
      <c r="L54" s="3">
        <f t="shared" si="33"/>
        <v>0</v>
      </c>
      <c r="N54" t="s">
        <v>15</v>
      </c>
      <c r="O54" s="6">
        <v>0</v>
      </c>
      <c r="P54" s="3">
        <f>$P$26*O54</f>
        <v>0</v>
      </c>
      <c r="Q54" s="3">
        <f>$Q$26*O54</f>
        <v>0</v>
      </c>
      <c r="R54" s="3">
        <f t="shared" si="34"/>
        <v>0</v>
      </c>
    </row>
    <row r="55" spans="1:18" x14ac:dyDescent="0.25">
      <c r="B55" t="s">
        <v>16</v>
      </c>
      <c r="C55" s="6">
        <f>'Allocation Factors'!$I$10</f>
        <v>5.8866720300000001E-2</v>
      </c>
      <c r="D55" s="3">
        <f>$D$27*C55</f>
        <v>191277.45913911931</v>
      </c>
      <c r="E55" s="3">
        <f>$E$27*C55</f>
        <v>-5909.8066510778999</v>
      </c>
      <c r="F55" s="3">
        <f t="shared" si="32"/>
        <v>-197187.26579019721</v>
      </c>
      <c r="H55" t="s">
        <v>16</v>
      </c>
      <c r="I55" s="6">
        <f>'Allocation Factors'!$I$10</f>
        <v>5.8866720300000001E-2</v>
      </c>
      <c r="J55" s="3">
        <f>$J$27*I55</f>
        <v>159.58767873330001</v>
      </c>
      <c r="K55" s="3">
        <f>$K$27*I55</f>
        <v>-120580.5295273095</v>
      </c>
      <c r="L55" s="3">
        <f t="shared" si="33"/>
        <v>-120740.11720604279</v>
      </c>
      <c r="N55" t="s">
        <v>16</v>
      </c>
      <c r="O55" s="6">
        <f>'Allocation Factors'!$I$10</f>
        <v>5.8866720300000001E-2</v>
      </c>
      <c r="P55" s="3">
        <f>$P$27*O55</f>
        <v>-159.58767873330001</v>
      </c>
      <c r="Q55" s="3">
        <f>$Q$27*O55</f>
        <v>120580.5295273095</v>
      </c>
      <c r="R55" s="3">
        <f t="shared" si="34"/>
        <v>120740.11720604279</v>
      </c>
    </row>
    <row r="56" spans="1:18" x14ac:dyDescent="0.25">
      <c r="B56" t="s">
        <v>17</v>
      </c>
      <c r="C56" s="6">
        <f>'Allocation Factors'!$I$12</f>
        <v>6.3839839499999995E-2</v>
      </c>
      <c r="D56" s="3">
        <f>$D$28*C56</f>
        <v>3448.0535712344999</v>
      </c>
      <c r="E56" s="3">
        <f>$E$28*C56</f>
        <v>2040.5766297779999</v>
      </c>
      <c r="F56" s="3">
        <f t="shared" si="32"/>
        <v>-1407.4769414565001</v>
      </c>
      <c r="H56" t="s">
        <v>17</v>
      </c>
      <c r="I56" s="6">
        <f>'Allocation Factors'!$I$12</f>
        <v>6.3839839499999995E-2</v>
      </c>
      <c r="J56" s="3">
        <f>$J$28*I56</f>
        <v>0</v>
      </c>
      <c r="K56" s="3">
        <f>$K$28*I56</f>
        <v>-28.217209058999998</v>
      </c>
      <c r="L56" s="3">
        <f t="shared" si="33"/>
        <v>-28.217209058999998</v>
      </c>
      <c r="N56" t="s">
        <v>17</v>
      </c>
      <c r="O56" s="6">
        <f>'Allocation Factors'!$I$12</f>
        <v>6.3839839499999995E-2</v>
      </c>
      <c r="P56" s="3">
        <f>$P$28*O56</f>
        <v>0</v>
      </c>
      <c r="Q56" s="3">
        <f>$Q$28*O56</f>
        <v>28.217209058999998</v>
      </c>
      <c r="R56" s="3">
        <f t="shared" si="34"/>
        <v>28.217209058999998</v>
      </c>
    </row>
    <row r="57" spans="1:18" ht="15.75" thickBot="1" x14ac:dyDescent="0.3">
      <c r="C57" s="6"/>
      <c r="D57" s="4">
        <f>SUM(D52:D56)</f>
        <v>1108908.5767103538</v>
      </c>
      <c r="E57" s="4">
        <f>SUM(E52:E56)</f>
        <v>357118.49225870013</v>
      </c>
      <c r="F57" s="4">
        <f>SUM(F52:F56)</f>
        <v>-751790.08445165376</v>
      </c>
      <c r="I57" s="6"/>
      <c r="J57" s="4">
        <f>SUM(J52:J56)</f>
        <v>143596.54902873331</v>
      </c>
      <c r="K57" s="4">
        <f>SUM(K52:K56)</f>
        <v>-222068.6860463685</v>
      </c>
      <c r="L57" s="4">
        <f>SUM(L52:L56)</f>
        <v>-365665.23507510178</v>
      </c>
      <c r="O57" s="6"/>
      <c r="P57" s="4">
        <f>SUM(P52:P56)</f>
        <v>-143596.54902873331</v>
      </c>
      <c r="Q57" s="4">
        <f>SUM(Q52:Q56)</f>
        <v>222068.6860463685</v>
      </c>
      <c r="R57" s="4">
        <f>SUM(R52:R56)</f>
        <v>365665.23507510178</v>
      </c>
    </row>
    <row r="58" spans="1:18" x14ac:dyDescent="0.25">
      <c r="C58" s="6"/>
      <c r="D58" s="3"/>
      <c r="E58" s="3"/>
      <c r="F58" s="3"/>
      <c r="I58" s="6"/>
      <c r="J58" s="3"/>
      <c r="K58" s="3"/>
      <c r="L58" s="3"/>
      <c r="O58" s="6"/>
      <c r="P58" s="3"/>
      <c r="Q58" s="3"/>
      <c r="R58" s="3"/>
    </row>
    <row r="59" spans="1:18" x14ac:dyDescent="0.25">
      <c r="A59" t="s">
        <v>32</v>
      </c>
      <c r="B59" t="s">
        <v>13</v>
      </c>
      <c r="C59" s="6">
        <v>0</v>
      </c>
      <c r="D59" s="3">
        <f>$D$24*C59</f>
        <v>0</v>
      </c>
      <c r="E59" s="3">
        <f>$E$24*C59</f>
        <v>0</v>
      </c>
      <c r="F59" s="3">
        <f t="shared" ref="F59:F63" si="35">E59-D59</f>
        <v>0</v>
      </c>
      <c r="H59" t="s">
        <v>13</v>
      </c>
      <c r="I59" s="6">
        <v>0</v>
      </c>
      <c r="J59" s="3">
        <f>$J$24*I59</f>
        <v>0</v>
      </c>
      <c r="K59" s="3">
        <f>$K$24*I59</f>
        <v>0</v>
      </c>
      <c r="L59" s="3">
        <f t="shared" ref="L59:L63" si="36">K59-J59</f>
        <v>0</v>
      </c>
      <c r="N59" t="s">
        <v>13</v>
      </c>
      <c r="O59" s="6">
        <v>0</v>
      </c>
      <c r="P59" s="3">
        <f>$P$24*O59</f>
        <v>0</v>
      </c>
      <c r="Q59" s="3">
        <f>$Q$24*O59</f>
        <v>0</v>
      </c>
      <c r="R59" s="3">
        <f t="shared" ref="R59:R63" si="37">Q59-P59</f>
        <v>0</v>
      </c>
    </row>
    <row r="60" spans="1:18" x14ac:dyDescent="0.25">
      <c r="B60" t="s">
        <v>14</v>
      </c>
      <c r="C60" s="6">
        <v>0</v>
      </c>
      <c r="D60" s="3">
        <f>$D$25*C60</f>
        <v>0</v>
      </c>
      <c r="E60" s="3">
        <f>$E$25*C60</f>
        <v>0</v>
      </c>
      <c r="F60" s="3">
        <f t="shared" si="35"/>
        <v>0</v>
      </c>
      <c r="H60" t="s">
        <v>14</v>
      </c>
      <c r="I60" s="6">
        <v>0</v>
      </c>
      <c r="J60" s="3">
        <f>$J$25*I60</f>
        <v>0</v>
      </c>
      <c r="K60" s="3">
        <f>$K$25*I60</f>
        <v>0</v>
      </c>
      <c r="L60" s="3">
        <f t="shared" si="36"/>
        <v>0</v>
      </c>
      <c r="N60" t="s">
        <v>14</v>
      </c>
      <c r="O60" s="6">
        <v>0</v>
      </c>
      <c r="P60" s="3">
        <f>$P$25*O60</f>
        <v>0</v>
      </c>
      <c r="Q60" s="3">
        <f>$Q$25*O60</f>
        <v>0</v>
      </c>
      <c r="R60" s="3">
        <f t="shared" si="37"/>
        <v>0</v>
      </c>
    </row>
    <row r="61" spans="1:18" x14ac:dyDescent="0.25">
      <c r="B61" t="s">
        <v>15</v>
      </c>
      <c r="C61" s="6">
        <v>1</v>
      </c>
      <c r="D61" s="3">
        <f>$D$26*C61</f>
        <v>2134214</v>
      </c>
      <c r="E61" s="3">
        <f>$E$26*C61</f>
        <v>1034626</v>
      </c>
      <c r="F61" s="3">
        <f t="shared" si="35"/>
        <v>-1099588</v>
      </c>
      <c r="H61" t="s">
        <v>15</v>
      </c>
      <c r="I61" s="6">
        <v>1</v>
      </c>
      <c r="J61" s="3">
        <f>$J$26*I61</f>
        <v>1723</v>
      </c>
      <c r="K61" s="3">
        <f>$K$26*I61</f>
        <v>-244869</v>
      </c>
      <c r="L61" s="3">
        <f t="shared" si="36"/>
        <v>-246592</v>
      </c>
      <c r="N61" t="s">
        <v>15</v>
      </c>
      <c r="O61" s="6">
        <v>1</v>
      </c>
      <c r="P61" s="3">
        <f>$P$26*O61</f>
        <v>-1723</v>
      </c>
      <c r="Q61" s="3">
        <f>$Q$26*O61</f>
        <v>244869</v>
      </c>
      <c r="R61" s="3">
        <f t="shared" si="37"/>
        <v>246592</v>
      </c>
    </row>
    <row r="62" spans="1:18" x14ac:dyDescent="0.25">
      <c r="B62" t="s">
        <v>16</v>
      </c>
      <c r="C62" s="6">
        <f>'Allocation Factors'!$J$10</f>
        <v>9.3160000000000007E-2</v>
      </c>
      <c r="D62" s="3">
        <f>$D$27*C62</f>
        <v>302707.67596000002</v>
      </c>
      <c r="E62" s="3">
        <f>$E$27*C62</f>
        <v>-9352.6118800000004</v>
      </c>
      <c r="F62" s="3">
        <f t="shared" si="35"/>
        <v>-312060.28784</v>
      </c>
      <c r="H62" t="s">
        <v>16</v>
      </c>
      <c r="I62" s="6">
        <f>'Allocation Factors'!$J$10</f>
        <v>9.3160000000000007E-2</v>
      </c>
      <c r="J62" s="3">
        <f>$J$27*I62</f>
        <v>252.55676000000003</v>
      </c>
      <c r="K62" s="3">
        <f>$K$27*I62</f>
        <v>-190825.68340000001</v>
      </c>
      <c r="L62" s="3">
        <f t="shared" si="36"/>
        <v>-191078.24016000002</v>
      </c>
      <c r="N62" t="s">
        <v>16</v>
      </c>
      <c r="O62" s="6">
        <f>'Allocation Factors'!$J$10</f>
        <v>9.3160000000000007E-2</v>
      </c>
      <c r="P62" s="3">
        <f>$P$27*O62</f>
        <v>-252.55676000000003</v>
      </c>
      <c r="Q62" s="3">
        <f>$Q$27*O62</f>
        <v>190825.68340000001</v>
      </c>
      <c r="R62" s="3">
        <f t="shared" si="37"/>
        <v>191078.24016000002</v>
      </c>
    </row>
    <row r="63" spans="1:18" x14ac:dyDescent="0.25">
      <c r="B63" t="s">
        <v>17</v>
      </c>
      <c r="C63" s="6">
        <v>0</v>
      </c>
      <c r="D63" s="3">
        <f>$D$28*C63</f>
        <v>0</v>
      </c>
      <c r="E63" s="3">
        <f>$E$28*C63</f>
        <v>0</v>
      </c>
      <c r="F63" s="3">
        <f t="shared" si="35"/>
        <v>0</v>
      </c>
      <c r="H63" t="s">
        <v>17</v>
      </c>
      <c r="I63" s="6">
        <v>0</v>
      </c>
      <c r="J63" s="3">
        <f>$J$28*I63</f>
        <v>0</v>
      </c>
      <c r="K63" s="3">
        <f>$K$28*I63</f>
        <v>0</v>
      </c>
      <c r="L63" s="3">
        <f t="shared" si="36"/>
        <v>0</v>
      </c>
      <c r="N63" t="s">
        <v>17</v>
      </c>
      <c r="O63" s="6">
        <v>0</v>
      </c>
      <c r="P63" s="3">
        <f>$P$28*O63</f>
        <v>0</v>
      </c>
      <c r="Q63" s="3">
        <f>$Q$28*O63</f>
        <v>0</v>
      </c>
      <c r="R63" s="3">
        <f t="shared" si="37"/>
        <v>0</v>
      </c>
    </row>
    <row r="64" spans="1:18" ht="15.75" thickBot="1" x14ac:dyDescent="0.3">
      <c r="D64" s="4">
        <f>SUM(D59:D63)</f>
        <v>2436921.6759600001</v>
      </c>
      <c r="E64" s="4">
        <f>SUM(E59:E63)</f>
        <v>1025273.38812</v>
      </c>
      <c r="F64" s="4">
        <f>SUM(F59:F63)</f>
        <v>-1411648.2878399999</v>
      </c>
      <c r="J64" s="4">
        <f>SUM(J59:J63)</f>
        <v>1975.5567599999999</v>
      </c>
      <c r="K64" s="4">
        <f>SUM(K59:K63)</f>
        <v>-435694.68339999998</v>
      </c>
      <c r="L64" s="4">
        <f>SUM(L59:L63)</f>
        <v>-437670.24016000004</v>
      </c>
      <c r="P64" s="4">
        <f>SUM(P59:P63)</f>
        <v>-1975.5567599999999</v>
      </c>
      <c r="Q64" s="4">
        <f>SUM(Q59:Q63)</f>
        <v>435694.68339999998</v>
      </c>
      <c r="R64" s="4">
        <f>SUM(R59:R63)</f>
        <v>437670.24016000004</v>
      </c>
    </row>
    <row r="65" spans="1:18" x14ac:dyDescent="0.25">
      <c r="D65" s="3"/>
      <c r="E65" s="3"/>
      <c r="F65" s="3"/>
      <c r="J65" s="3"/>
      <c r="K65" s="3"/>
      <c r="L65" s="3"/>
      <c r="P65" s="3"/>
      <c r="Q65" s="3"/>
      <c r="R65" s="3"/>
    </row>
    <row r="66" spans="1:18" x14ac:dyDescent="0.25">
      <c r="A66" t="s">
        <v>6</v>
      </c>
      <c r="B66" t="s">
        <v>13</v>
      </c>
      <c r="D66" s="3">
        <f>SUM(D31,D38,D45,D52,D59)</f>
        <v>8630743</v>
      </c>
      <c r="E66" s="3">
        <f>SUM(E31,E38,E45,E52,E59)</f>
        <v>640927</v>
      </c>
      <c r="F66" s="3">
        <f t="shared" ref="F66:F70" si="38">E66-D66</f>
        <v>-7989816</v>
      </c>
      <c r="H66" t="s">
        <v>13</v>
      </c>
      <c r="J66" s="3">
        <f>SUM(J31,J38,J45,J52,J59)</f>
        <v>1230317</v>
      </c>
      <c r="K66" s="3">
        <f>SUM(K31,K38,K45,K52,K59)</f>
        <v>-3799328</v>
      </c>
      <c r="L66" s="3">
        <f t="shared" ref="L66:L70" si="39">K66-J66</f>
        <v>-5029645</v>
      </c>
      <c r="N66" t="s">
        <v>13</v>
      </c>
      <c r="P66" s="3">
        <f>SUM(P31,P38,P45,P52,P59)</f>
        <v>-1230317</v>
      </c>
      <c r="Q66" s="3">
        <f>SUM(Q31,Q38,Q45,Q52,Q59)</f>
        <v>3799328</v>
      </c>
      <c r="R66" s="3">
        <f t="shared" ref="R66:R70" si="40">Q66-P66</f>
        <v>5029645</v>
      </c>
    </row>
    <row r="67" spans="1:18" x14ac:dyDescent="0.25">
      <c r="B67" t="s">
        <v>14</v>
      </c>
      <c r="D67" s="3">
        <f t="shared" ref="D67:E70" si="41">SUM(D32,D39,D46,D53,D60)</f>
        <v>3191200</v>
      </c>
      <c r="E67" s="3">
        <f t="shared" si="41"/>
        <v>1260124</v>
      </c>
      <c r="F67" s="3">
        <f t="shared" si="38"/>
        <v>-1931076</v>
      </c>
      <c r="H67" t="s">
        <v>14</v>
      </c>
      <c r="J67" s="3">
        <f t="shared" ref="J67:K67" si="42">SUM(J32,J39,J46,J53,J60)</f>
        <v>500705</v>
      </c>
      <c r="K67" s="3">
        <f t="shared" si="42"/>
        <v>-354173</v>
      </c>
      <c r="L67" s="3">
        <f t="shared" si="39"/>
        <v>-854878</v>
      </c>
      <c r="N67" t="s">
        <v>14</v>
      </c>
      <c r="P67" s="3">
        <f t="shared" ref="P67:Q67" si="43">SUM(P32,P39,P46,P53,P60)</f>
        <v>-500705</v>
      </c>
      <c r="Q67" s="3">
        <f t="shared" si="43"/>
        <v>354173</v>
      </c>
      <c r="R67" s="3">
        <f t="shared" si="40"/>
        <v>854878</v>
      </c>
    </row>
    <row r="68" spans="1:18" x14ac:dyDescent="0.25">
      <c r="B68" t="s">
        <v>15</v>
      </c>
      <c r="D68" s="3">
        <f t="shared" si="41"/>
        <v>2134214</v>
      </c>
      <c r="E68" s="3">
        <f t="shared" si="41"/>
        <v>1034626</v>
      </c>
      <c r="F68" s="3">
        <f t="shared" si="38"/>
        <v>-1099588</v>
      </c>
      <c r="H68" t="s">
        <v>15</v>
      </c>
      <c r="J68" s="3">
        <f t="shared" ref="J68:K68" si="44">SUM(J33,J40,J47,J54,J61)</f>
        <v>1723</v>
      </c>
      <c r="K68" s="3">
        <f t="shared" si="44"/>
        <v>-244869</v>
      </c>
      <c r="L68" s="3">
        <f t="shared" si="39"/>
        <v>-246592</v>
      </c>
      <c r="N68" t="s">
        <v>15</v>
      </c>
      <c r="P68" s="3">
        <f t="shared" ref="P68:Q68" si="45">SUM(P33,P40,P47,P54,P61)</f>
        <v>-1723</v>
      </c>
      <c r="Q68" s="3">
        <f t="shared" si="45"/>
        <v>244869</v>
      </c>
      <c r="R68" s="3">
        <f t="shared" si="40"/>
        <v>246592</v>
      </c>
    </row>
    <row r="69" spans="1:18" x14ac:dyDescent="0.25">
      <c r="B69" t="s">
        <v>16</v>
      </c>
      <c r="D69" s="3">
        <f t="shared" si="41"/>
        <v>3249331</v>
      </c>
      <c r="E69" s="3">
        <f t="shared" si="41"/>
        <v>-100393</v>
      </c>
      <c r="F69" s="3">
        <f t="shared" si="38"/>
        <v>-3349724</v>
      </c>
      <c r="H69" t="s">
        <v>16</v>
      </c>
      <c r="J69" s="3">
        <f t="shared" ref="J69:K69" si="46">SUM(J34,J41,J48,J55,J62)</f>
        <v>2711</v>
      </c>
      <c r="K69" s="3">
        <f t="shared" si="46"/>
        <v>-2048365</v>
      </c>
      <c r="L69" s="3">
        <f t="shared" si="39"/>
        <v>-2051076</v>
      </c>
      <c r="N69" t="s">
        <v>16</v>
      </c>
      <c r="P69" s="3">
        <f t="shared" ref="P69:Q69" si="47">SUM(P34,P41,P48,P55,P62)</f>
        <v>-2711</v>
      </c>
      <c r="Q69" s="3">
        <f t="shared" si="47"/>
        <v>2048365</v>
      </c>
      <c r="R69" s="3">
        <f t="shared" si="40"/>
        <v>2051076</v>
      </c>
    </row>
    <row r="70" spans="1:18" x14ac:dyDescent="0.25">
      <c r="B70" t="s">
        <v>17</v>
      </c>
      <c r="D70" s="3">
        <f t="shared" si="41"/>
        <v>54011</v>
      </c>
      <c r="E70" s="3">
        <f t="shared" si="41"/>
        <v>31964</v>
      </c>
      <c r="F70" s="3">
        <f t="shared" si="38"/>
        <v>-22047</v>
      </c>
      <c r="H70" t="s">
        <v>17</v>
      </c>
      <c r="J70" s="3">
        <f t="shared" ref="J70:K70" si="48">SUM(J35,J42,J49,J56,J63)</f>
        <v>0</v>
      </c>
      <c r="K70" s="3">
        <f t="shared" si="48"/>
        <v>-442</v>
      </c>
      <c r="L70" s="3">
        <f t="shared" si="39"/>
        <v>-442</v>
      </c>
      <c r="N70" t="s">
        <v>17</v>
      </c>
      <c r="P70" s="3">
        <f t="shared" ref="P70:Q70" si="49">SUM(P35,P42,P49,P56,P63)</f>
        <v>0</v>
      </c>
      <c r="Q70" s="3">
        <f t="shared" si="49"/>
        <v>442</v>
      </c>
      <c r="R70" s="3">
        <f t="shared" si="40"/>
        <v>442</v>
      </c>
    </row>
    <row r="71" spans="1:18" ht="15.75" thickBot="1" x14ac:dyDescent="0.3">
      <c r="D71" s="4">
        <f>SUM(D66:D70)</f>
        <v>17259499</v>
      </c>
      <c r="E71" s="4">
        <f>SUM(E66:E70)</f>
        <v>2867248</v>
      </c>
      <c r="F71" s="4">
        <f>SUM(F66:F70)</f>
        <v>-14392251</v>
      </c>
      <c r="J71" s="4">
        <f>SUM(J66:J70)</f>
        <v>1735456</v>
      </c>
      <c r="K71" s="4">
        <f>SUM(K66:K70)</f>
        <v>-6447177</v>
      </c>
      <c r="L71" s="4">
        <f>SUM(L66:L70)</f>
        <v>-8182633</v>
      </c>
      <c r="P71" s="4">
        <f>SUM(P66:P70)</f>
        <v>-1735456</v>
      </c>
      <c r="Q71" s="4">
        <f>SUM(Q66:Q70)</f>
        <v>6447177</v>
      </c>
      <c r="R71" s="4">
        <f>SUM(R66:R70)</f>
        <v>8182633</v>
      </c>
    </row>
  </sheetData>
  <mergeCells count="3">
    <mergeCell ref="D1:F1"/>
    <mergeCell ref="J1:L1"/>
    <mergeCell ref="P1:R1"/>
  </mergeCells>
  <pageMargins left="0.45" right="0.2" top="0.75" bottom="0.75" header="0.3" footer="0.3"/>
  <pageSetup scale="62" fitToHeight="3" orientation="landscape" r:id="rId1"/>
  <headerFooter>
    <oddFooter>&amp;LAvista
&amp;F
&amp;A&amp;RPage &amp;P of &amp;N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/>
  </sheetViews>
  <sheetFormatPr defaultRowHeight="15" x14ac:dyDescent="0.25"/>
  <cols>
    <col min="1" max="1" width="31.5703125" bestFit="1" customWidth="1"/>
    <col min="2" max="2" width="9.28515625" bestFit="1" customWidth="1"/>
    <col min="3" max="3" width="8" bestFit="1" customWidth="1"/>
    <col min="4" max="4" width="13.7109375" bestFit="1" customWidth="1"/>
    <col min="5" max="5" width="12.28515625" bestFit="1" customWidth="1"/>
    <col min="6" max="6" width="11.5703125" bestFit="1" customWidth="1"/>
    <col min="7" max="7" width="1.42578125" customWidth="1"/>
    <col min="8" max="8" width="9.28515625" bestFit="1" customWidth="1"/>
    <col min="9" max="9" width="8" bestFit="1" customWidth="1"/>
    <col min="10" max="10" width="13.7109375" bestFit="1" customWidth="1"/>
    <col min="11" max="11" width="12.28515625" bestFit="1" customWidth="1"/>
    <col min="12" max="12" width="11.5703125" bestFit="1" customWidth="1"/>
    <col min="13" max="13" width="1.7109375" customWidth="1"/>
    <col min="14" max="14" width="9.28515625" bestFit="1" customWidth="1"/>
    <col min="15" max="15" width="8" bestFit="1" customWidth="1"/>
    <col min="16" max="16" width="13.7109375" bestFit="1" customWidth="1"/>
    <col min="17" max="17" width="12.28515625" bestFit="1" customWidth="1"/>
    <col min="18" max="18" width="11" bestFit="1" customWidth="1"/>
  </cols>
  <sheetData>
    <row r="1" spans="1:18" s="9" customFormat="1" ht="15.75" thickBot="1" x14ac:dyDescent="0.3">
      <c r="A1" s="11">
        <v>2019</v>
      </c>
      <c r="D1" s="17" t="s">
        <v>23</v>
      </c>
      <c r="E1" s="18"/>
      <c r="F1" s="19"/>
      <c r="J1" s="17" t="s">
        <v>34</v>
      </c>
      <c r="K1" s="18"/>
      <c r="L1" s="19"/>
      <c r="P1" s="17" t="s">
        <v>35</v>
      </c>
      <c r="Q1" s="18"/>
      <c r="R1" s="19"/>
    </row>
    <row r="2" spans="1:18" s="10" customFormat="1" ht="44.45" customHeight="1" x14ac:dyDescent="0.25">
      <c r="D2" s="10" t="s">
        <v>18</v>
      </c>
      <c r="E2" s="10" t="s">
        <v>19</v>
      </c>
      <c r="F2" s="10" t="s">
        <v>33</v>
      </c>
      <c r="J2" s="10" t="s">
        <v>18</v>
      </c>
      <c r="K2" s="10" t="s">
        <v>19</v>
      </c>
      <c r="L2" s="10" t="s">
        <v>33</v>
      </c>
      <c r="P2" s="10" t="s">
        <v>18</v>
      </c>
      <c r="Q2" s="10" t="s">
        <v>19</v>
      </c>
      <c r="R2" s="10" t="s">
        <v>33</v>
      </c>
    </row>
    <row r="3" spans="1:18" x14ac:dyDescent="0.25">
      <c r="A3" t="s">
        <v>20</v>
      </c>
      <c r="B3" t="s">
        <v>13</v>
      </c>
      <c r="D3" s="3">
        <f>12913224-901802</f>
        <v>12011422</v>
      </c>
      <c r="E3" s="3">
        <f>7747934-541081</f>
        <v>7206853</v>
      </c>
      <c r="F3" s="3">
        <f>E3-D3</f>
        <v>-4804569</v>
      </c>
      <c r="H3" t="s">
        <v>13</v>
      </c>
      <c r="J3" s="3"/>
      <c r="K3" s="3"/>
      <c r="L3" s="3"/>
      <c r="N3" t="s">
        <v>13</v>
      </c>
      <c r="P3" s="3"/>
      <c r="Q3" s="3"/>
      <c r="R3" s="3"/>
    </row>
    <row r="4" spans="1:18" x14ac:dyDescent="0.25">
      <c r="B4" t="s">
        <v>14</v>
      </c>
      <c r="D4" s="3">
        <v>2667556</v>
      </c>
      <c r="E4" s="3">
        <v>1600533</v>
      </c>
      <c r="F4" s="3">
        <f t="shared" ref="F4:F21" si="0">E4-D4</f>
        <v>-1067023</v>
      </c>
      <c r="H4" t="s">
        <v>14</v>
      </c>
      <c r="J4" s="3"/>
      <c r="K4" s="3"/>
      <c r="L4" s="3"/>
      <c r="N4" t="s">
        <v>14</v>
      </c>
      <c r="P4" s="3"/>
      <c r="Q4" s="3"/>
      <c r="R4" s="3"/>
    </row>
    <row r="5" spans="1:18" x14ac:dyDescent="0.25">
      <c r="B5" t="s">
        <v>15</v>
      </c>
      <c r="D5" s="3">
        <v>2214129</v>
      </c>
      <c r="E5" s="3">
        <v>1328478</v>
      </c>
      <c r="F5" s="3">
        <f t="shared" si="0"/>
        <v>-885651</v>
      </c>
      <c r="H5" t="s">
        <v>15</v>
      </c>
      <c r="J5" s="3"/>
      <c r="K5" s="3"/>
      <c r="L5" s="3"/>
      <c r="N5" t="s">
        <v>15</v>
      </c>
      <c r="P5" s="3"/>
      <c r="Q5" s="3"/>
      <c r="R5" s="3"/>
    </row>
    <row r="6" spans="1:18" x14ac:dyDescent="0.25">
      <c r="B6" t="s">
        <v>16</v>
      </c>
      <c r="D6" s="3">
        <v>3242086</v>
      </c>
      <c r="E6" s="3">
        <v>1945252</v>
      </c>
      <c r="F6" s="3">
        <f t="shared" si="0"/>
        <v>-1296834</v>
      </c>
      <c r="H6" t="s">
        <v>16</v>
      </c>
      <c r="J6" s="3"/>
      <c r="K6" s="3"/>
      <c r="L6" s="3"/>
      <c r="N6" t="s">
        <v>16</v>
      </c>
      <c r="P6" s="3"/>
      <c r="Q6" s="3"/>
      <c r="R6" s="3"/>
    </row>
    <row r="7" spans="1:18" x14ac:dyDescent="0.25">
      <c r="B7" t="s">
        <v>17</v>
      </c>
      <c r="D7" s="3">
        <v>54002</v>
      </c>
      <c r="E7" s="3">
        <v>32401</v>
      </c>
      <c r="F7" s="3">
        <f t="shared" si="0"/>
        <v>-21601</v>
      </c>
      <c r="H7" t="s">
        <v>17</v>
      </c>
      <c r="J7" s="3"/>
      <c r="K7" s="3"/>
      <c r="L7" s="3"/>
      <c r="N7" t="s">
        <v>17</v>
      </c>
      <c r="P7" s="3"/>
      <c r="Q7" s="3"/>
      <c r="R7" s="3"/>
    </row>
    <row r="8" spans="1:18" ht="15.75" thickBot="1" x14ac:dyDescent="0.3">
      <c r="D8" s="4">
        <f>SUM(D3:D7)</f>
        <v>20189195</v>
      </c>
      <c r="E8" s="4">
        <f>SUM(E3:E7)</f>
        <v>12113517</v>
      </c>
      <c r="F8" s="4">
        <f>SUM(F3:F7)</f>
        <v>-8075678</v>
      </c>
      <c r="J8" s="4">
        <f>SUM(J3:J7)</f>
        <v>0</v>
      </c>
      <c r="K8" s="4">
        <f>SUM(K3:K7)</f>
        <v>0</v>
      </c>
      <c r="L8" s="4">
        <f>SUM(L3:L7)</f>
        <v>0</v>
      </c>
      <c r="P8" s="4">
        <f>SUM(P3:P7)</f>
        <v>0</v>
      </c>
      <c r="Q8" s="4">
        <f>SUM(Q3:Q7)</f>
        <v>0</v>
      </c>
      <c r="R8" s="4">
        <f>SUM(R3:R7)</f>
        <v>0</v>
      </c>
    </row>
    <row r="9" spans="1:18" x14ac:dyDescent="0.25">
      <c r="D9" s="3"/>
      <c r="E9" s="3"/>
      <c r="F9" s="3"/>
      <c r="J9" s="3"/>
      <c r="K9" s="3"/>
      <c r="L9" s="3"/>
      <c r="P9" s="3"/>
      <c r="Q9" s="3"/>
      <c r="R9" s="3"/>
    </row>
    <row r="10" spans="1:18" x14ac:dyDescent="0.25">
      <c r="A10" t="s">
        <v>21</v>
      </c>
      <c r="B10" t="s">
        <v>13</v>
      </c>
      <c r="D10" s="3">
        <v>1230317</v>
      </c>
      <c r="E10" s="3">
        <f>(1230317/1735456)*1201660</f>
        <v>851892.94699491083</v>
      </c>
      <c r="F10" s="3">
        <f t="shared" si="0"/>
        <v>-378424.05300508917</v>
      </c>
      <c r="H10" t="s">
        <v>13</v>
      </c>
      <c r="J10" s="3">
        <f>D10</f>
        <v>1230317</v>
      </c>
      <c r="K10" s="3">
        <f>E10</f>
        <v>851892.94699491083</v>
      </c>
      <c r="L10" s="3">
        <f t="shared" ref="L10:L14" si="1">K10-J10</f>
        <v>-378424.05300508917</v>
      </c>
      <c r="N10" t="s">
        <v>13</v>
      </c>
      <c r="P10" s="3">
        <f>-D10</f>
        <v>-1230317</v>
      </c>
      <c r="Q10" s="3">
        <f>-E10</f>
        <v>-851892.94699491083</v>
      </c>
      <c r="R10" s="3">
        <f t="shared" ref="R10:R14" si="2">Q10-P10</f>
        <v>378424.05300508917</v>
      </c>
    </row>
    <row r="11" spans="1:18" x14ac:dyDescent="0.25">
      <c r="B11" t="s">
        <v>14</v>
      </c>
      <c r="D11" s="3">
        <v>500705</v>
      </c>
      <c r="E11" s="3">
        <f>(500705/1735456)*1201660</f>
        <v>346696.87407805212</v>
      </c>
      <c r="F11" s="3">
        <f t="shared" si="0"/>
        <v>-154008.12592194788</v>
      </c>
      <c r="H11" t="s">
        <v>14</v>
      </c>
      <c r="J11" s="3">
        <f t="shared" ref="J11:K14" si="3">D11</f>
        <v>500705</v>
      </c>
      <c r="K11" s="3">
        <f t="shared" si="3"/>
        <v>346696.87407805212</v>
      </c>
      <c r="L11" s="3">
        <f t="shared" si="1"/>
        <v>-154008.12592194788</v>
      </c>
      <c r="N11" t="s">
        <v>14</v>
      </c>
      <c r="P11" s="3">
        <f t="shared" ref="P11:Q14" si="4">-D11</f>
        <v>-500705</v>
      </c>
      <c r="Q11" s="3">
        <f t="shared" si="4"/>
        <v>-346696.87407805212</v>
      </c>
      <c r="R11" s="3">
        <f t="shared" si="2"/>
        <v>154008.12592194788</v>
      </c>
    </row>
    <row r="12" spans="1:18" x14ac:dyDescent="0.25">
      <c r="B12" t="s">
        <v>15</v>
      </c>
      <c r="D12" s="3">
        <v>1723</v>
      </c>
      <c r="E12" s="3">
        <f>(1723/1735456)*1201660</f>
        <v>1193.035248372762</v>
      </c>
      <c r="F12" s="3">
        <f t="shared" si="0"/>
        <v>-529.964751627238</v>
      </c>
      <c r="H12" t="s">
        <v>15</v>
      </c>
      <c r="J12" s="3">
        <f t="shared" si="3"/>
        <v>1723</v>
      </c>
      <c r="K12" s="3">
        <f t="shared" si="3"/>
        <v>1193.035248372762</v>
      </c>
      <c r="L12" s="3">
        <f t="shared" si="1"/>
        <v>-529.964751627238</v>
      </c>
      <c r="N12" t="s">
        <v>15</v>
      </c>
      <c r="P12" s="3">
        <f t="shared" si="4"/>
        <v>-1723</v>
      </c>
      <c r="Q12" s="3">
        <f t="shared" si="4"/>
        <v>-1193.035248372762</v>
      </c>
      <c r="R12" s="3">
        <f t="shared" si="2"/>
        <v>529.964751627238</v>
      </c>
    </row>
    <row r="13" spans="1:18" x14ac:dyDescent="0.25">
      <c r="B13" t="s">
        <v>16</v>
      </c>
      <c r="D13" s="3">
        <v>2711</v>
      </c>
      <c r="E13" s="3">
        <f>(2711/1735456)*1201660</f>
        <v>1877.1436786642819</v>
      </c>
      <c r="F13" s="3">
        <f t="shared" si="0"/>
        <v>-833.85632133571812</v>
      </c>
      <c r="H13" t="s">
        <v>16</v>
      </c>
      <c r="J13" s="3">
        <f t="shared" si="3"/>
        <v>2711</v>
      </c>
      <c r="K13" s="3">
        <f t="shared" si="3"/>
        <v>1877.1436786642819</v>
      </c>
      <c r="L13" s="3">
        <f t="shared" si="1"/>
        <v>-833.85632133571812</v>
      </c>
      <c r="N13" t="s">
        <v>16</v>
      </c>
      <c r="P13" s="3">
        <f t="shared" si="4"/>
        <v>-2711</v>
      </c>
      <c r="Q13" s="3">
        <f t="shared" si="4"/>
        <v>-1877.1436786642819</v>
      </c>
      <c r="R13" s="3">
        <f t="shared" si="2"/>
        <v>833.85632133571812</v>
      </c>
    </row>
    <row r="14" spans="1:18" x14ac:dyDescent="0.25">
      <c r="B14" t="s">
        <v>17</v>
      </c>
      <c r="D14" s="3">
        <v>0</v>
      </c>
      <c r="E14" s="3">
        <v>0</v>
      </c>
      <c r="F14" s="3">
        <f t="shared" si="0"/>
        <v>0</v>
      </c>
      <c r="H14" t="s">
        <v>17</v>
      </c>
      <c r="J14" s="3">
        <f t="shared" si="3"/>
        <v>0</v>
      </c>
      <c r="K14" s="3">
        <f t="shared" si="3"/>
        <v>0</v>
      </c>
      <c r="L14" s="3">
        <f t="shared" si="1"/>
        <v>0</v>
      </c>
      <c r="N14" t="s">
        <v>17</v>
      </c>
      <c r="P14" s="3">
        <f t="shared" si="4"/>
        <v>0</v>
      </c>
      <c r="Q14" s="3">
        <f t="shared" si="4"/>
        <v>0</v>
      </c>
      <c r="R14" s="3">
        <f t="shared" si="2"/>
        <v>0</v>
      </c>
    </row>
    <row r="15" spans="1:18" ht="15.75" thickBot="1" x14ac:dyDescent="0.3">
      <c r="D15" s="4">
        <f>SUM(D10:D14)</f>
        <v>1735456</v>
      </c>
      <c r="E15" s="4">
        <f>SUM(E10:E14)</f>
        <v>1201660</v>
      </c>
      <c r="F15" s="4">
        <f>SUM(F10:F14)</f>
        <v>-533796</v>
      </c>
      <c r="J15" s="4">
        <f>SUM(J10:J14)</f>
        <v>1735456</v>
      </c>
      <c r="K15" s="4">
        <f>SUM(K10:K14)</f>
        <v>1201660</v>
      </c>
      <c r="L15" s="4">
        <f>SUM(L10:L14)</f>
        <v>-533796</v>
      </c>
      <c r="P15" s="4">
        <f>SUM(P10:P14)</f>
        <v>-1735456</v>
      </c>
      <c r="Q15" s="4">
        <f>SUM(Q10:Q14)</f>
        <v>-1201660</v>
      </c>
      <c r="R15" s="4">
        <f>SUM(R10:R14)</f>
        <v>533796</v>
      </c>
    </row>
    <row r="16" spans="1:18" x14ac:dyDescent="0.25">
      <c r="D16" s="3"/>
      <c r="E16" s="3"/>
      <c r="F16" s="3"/>
      <c r="J16" s="3"/>
      <c r="K16" s="3"/>
      <c r="L16" s="3"/>
      <c r="P16" s="3"/>
      <c r="Q16" s="3"/>
      <c r="R16" s="3"/>
    </row>
    <row r="17" spans="1:18" x14ac:dyDescent="0.25">
      <c r="A17" t="s">
        <v>22</v>
      </c>
      <c r="B17" t="s">
        <v>13</v>
      </c>
      <c r="D17" s="3">
        <v>0</v>
      </c>
      <c r="E17" s="3">
        <f>-4013488-E10</f>
        <v>-4865380.9469949109</v>
      </c>
      <c r="F17" s="3">
        <f t="shared" si="0"/>
        <v>-4865380.9469949109</v>
      </c>
      <c r="H17" t="s">
        <v>13</v>
      </c>
      <c r="J17" s="3">
        <f>D17</f>
        <v>0</v>
      </c>
      <c r="K17" s="3">
        <f>E17</f>
        <v>-4865380.9469949109</v>
      </c>
      <c r="L17" s="3">
        <f t="shared" ref="L17:L21" si="5">K17-J17</f>
        <v>-4865380.9469949109</v>
      </c>
      <c r="N17" t="s">
        <v>13</v>
      </c>
      <c r="P17" s="3">
        <f>-D17</f>
        <v>0</v>
      </c>
      <c r="Q17" s="3">
        <f>-E17</f>
        <v>4865380.9469949109</v>
      </c>
      <c r="R17" s="3">
        <f t="shared" ref="R17:R21" si="6">Q17-P17</f>
        <v>4865380.9469949109</v>
      </c>
    </row>
    <row r="18" spans="1:18" x14ac:dyDescent="0.25">
      <c r="B18" t="s">
        <v>14</v>
      </c>
      <c r="D18" s="3">
        <v>0</v>
      </c>
      <c r="E18" s="3">
        <f>-420609-E11</f>
        <v>-767305.87407805212</v>
      </c>
      <c r="F18" s="3">
        <f t="shared" si="0"/>
        <v>-767305.87407805212</v>
      </c>
      <c r="H18" t="s">
        <v>14</v>
      </c>
      <c r="J18" s="3">
        <f t="shared" ref="J18:K21" si="7">D18</f>
        <v>0</v>
      </c>
      <c r="K18" s="3">
        <f t="shared" si="7"/>
        <v>-767305.87407805212</v>
      </c>
      <c r="L18" s="3">
        <f t="shared" si="5"/>
        <v>-767305.87407805212</v>
      </c>
      <c r="N18" t="s">
        <v>14</v>
      </c>
      <c r="P18" s="3">
        <f t="shared" ref="P18:Q21" si="8">-D18</f>
        <v>0</v>
      </c>
      <c r="Q18" s="3">
        <f t="shared" si="8"/>
        <v>767305.87407805212</v>
      </c>
      <c r="R18" s="3">
        <f t="shared" si="6"/>
        <v>767305.87407805212</v>
      </c>
    </row>
    <row r="19" spans="1:18" x14ac:dyDescent="0.25">
      <c r="B19" t="s">
        <v>15</v>
      </c>
      <c r="D19" s="3">
        <v>0</v>
      </c>
      <c r="E19" s="3">
        <f>-271439-E12</f>
        <v>-272632.03524837276</v>
      </c>
      <c r="F19" s="3">
        <f t="shared" si="0"/>
        <v>-272632.03524837276</v>
      </c>
      <c r="H19" t="s">
        <v>15</v>
      </c>
      <c r="J19" s="3">
        <f t="shared" si="7"/>
        <v>0</v>
      </c>
      <c r="K19" s="3">
        <f t="shared" si="7"/>
        <v>-272632.03524837276</v>
      </c>
      <c r="L19" s="3">
        <f t="shared" si="5"/>
        <v>-272632.03524837276</v>
      </c>
      <c r="N19" t="s">
        <v>15</v>
      </c>
      <c r="P19" s="3">
        <f t="shared" si="8"/>
        <v>0</v>
      </c>
      <c r="Q19" s="3">
        <f t="shared" si="8"/>
        <v>272632.03524837276</v>
      </c>
      <c r="R19" s="3">
        <f t="shared" si="6"/>
        <v>272632.03524837276</v>
      </c>
    </row>
    <row r="20" spans="1:18" x14ac:dyDescent="0.25">
      <c r="B20" t="s">
        <v>16</v>
      </c>
      <c r="D20" s="3">
        <v>0</v>
      </c>
      <c r="E20" s="3">
        <f>-2874500-E13</f>
        <v>-2876377.1436786642</v>
      </c>
      <c r="F20" s="3">
        <f t="shared" si="0"/>
        <v>-2876377.1436786642</v>
      </c>
      <c r="H20" t="s">
        <v>16</v>
      </c>
      <c r="J20" s="3">
        <f t="shared" si="7"/>
        <v>0</v>
      </c>
      <c r="K20" s="3">
        <f t="shared" si="7"/>
        <v>-2876377.1436786642</v>
      </c>
      <c r="L20" s="3">
        <f t="shared" si="5"/>
        <v>-2876377.1436786642</v>
      </c>
      <c r="N20" t="s">
        <v>16</v>
      </c>
      <c r="P20" s="3">
        <f t="shared" si="8"/>
        <v>0</v>
      </c>
      <c r="Q20" s="3">
        <f t="shared" si="8"/>
        <v>2876377.1436786642</v>
      </c>
      <c r="R20" s="3">
        <f t="shared" si="6"/>
        <v>2876377.1436786642</v>
      </c>
    </row>
    <row r="21" spans="1:18" x14ac:dyDescent="0.25">
      <c r="B21" t="s">
        <v>17</v>
      </c>
      <c r="D21" s="3">
        <v>0</v>
      </c>
      <c r="E21" s="3">
        <f>-443-E14</f>
        <v>-443</v>
      </c>
      <c r="F21" s="3">
        <f t="shared" si="0"/>
        <v>-443</v>
      </c>
      <c r="H21" t="s">
        <v>17</v>
      </c>
      <c r="J21" s="3">
        <f t="shared" si="7"/>
        <v>0</v>
      </c>
      <c r="K21" s="3">
        <f t="shared" si="7"/>
        <v>-443</v>
      </c>
      <c r="L21" s="3">
        <f t="shared" si="5"/>
        <v>-443</v>
      </c>
      <c r="N21" t="s">
        <v>17</v>
      </c>
      <c r="P21" s="3">
        <f t="shared" si="8"/>
        <v>0</v>
      </c>
      <c r="Q21" s="3">
        <f t="shared" si="8"/>
        <v>443</v>
      </c>
      <c r="R21" s="3">
        <f t="shared" si="6"/>
        <v>443</v>
      </c>
    </row>
    <row r="22" spans="1:18" ht="15.75" thickBot="1" x14ac:dyDescent="0.3">
      <c r="D22" s="4">
        <f>SUM(D17:D21)</f>
        <v>0</v>
      </c>
      <c r="E22" s="4">
        <f>SUM(E17:E21)</f>
        <v>-8782139</v>
      </c>
      <c r="F22" s="4">
        <f>SUM(F17:F21)</f>
        <v>-8782139</v>
      </c>
      <c r="J22" s="4">
        <f>SUM(J17:J21)</f>
        <v>0</v>
      </c>
      <c r="K22" s="4">
        <f>SUM(K17:K21)</f>
        <v>-8782139</v>
      </c>
      <c r="L22" s="4">
        <f>SUM(L17:L21)</f>
        <v>-8782139</v>
      </c>
      <c r="P22" s="4">
        <f>SUM(P17:P21)</f>
        <v>0</v>
      </c>
      <c r="Q22" s="4">
        <f>SUM(Q17:Q21)</f>
        <v>8782139</v>
      </c>
      <c r="R22" s="4">
        <f>SUM(R17:R21)</f>
        <v>8782139</v>
      </c>
    </row>
    <row r="23" spans="1:18" x14ac:dyDescent="0.25">
      <c r="D23" s="3"/>
      <c r="E23" s="3"/>
      <c r="F23" s="3"/>
      <c r="J23" s="3"/>
      <c r="K23" s="3"/>
      <c r="L23" s="3"/>
      <c r="P23" s="3"/>
      <c r="Q23" s="3"/>
      <c r="R23" s="3"/>
    </row>
    <row r="24" spans="1:18" x14ac:dyDescent="0.25">
      <c r="A24" t="s">
        <v>6</v>
      </c>
      <c r="B24" t="s">
        <v>13</v>
      </c>
      <c r="D24" s="3">
        <f>SUM(D3,D10,D17)</f>
        <v>13241739</v>
      </c>
      <c r="E24" s="3">
        <f>SUM(E3,E10,E17)</f>
        <v>3193365</v>
      </c>
      <c r="F24" s="3">
        <f>SUM(F3,F10,F17)</f>
        <v>-10048374</v>
      </c>
      <c r="H24" t="s">
        <v>13</v>
      </c>
      <c r="J24" s="3">
        <f>SUM(J3,J10,J17)</f>
        <v>1230317</v>
      </c>
      <c r="K24" s="3">
        <f>SUM(K3,K10,K17)</f>
        <v>-4013488</v>
      </c>
      <c r="L24" s="3">
        <f>SUM(L3,L10,L17)</f>
        <v>-5243805</v>
      </c>
      <c r="N24" t="s">
        <v>13</v>
      </c>
      <c r="P24" s="3">
        <f>SUM(P3,P10,P17)</f>
        <v>-1230317</v>
      </c>
      <c r="Q24" s="3">
        <f>SUM(Q3,Q10,Q17)</f>
        <v>4013488</v>
      </c>
      <c r="R24" s="3">
        <f>SUM(R3,R10,R17)</f>
        <v>5243805</v>
      </c>
    </row>
    <row r="25" spans="1:18" x14ac:dyDescent="0.25">
      <c r="B25" t="s">
        <v>14</v>
      </c>
      <c r="D25" s="3">
        <f t="shared" ref="D25:F28" si="9">SUM(D4,D11,D18)</f>
        <v>3168261</v>
      </c>
      <c r="E25" s="3">
        <f t="shared" si="9"/>
        <v>1179924</v>
      </c>
      <c r="F25" s="3">
        <f t="shared" si="9"/>
        <v>-1988337</v>
      </c>
      <c r="H25" t="s">
        <v>14</v>
      </c>
      <c r="J25" s="3">
        <f t="shared" ref="J25:L28" si="10">SUM(J4,J11,J18)</f>
        <v>500705</v>
      </c>
      <c r="K25" s="3">
        <f t="shared" si="10"/>
        <v>-420609</v>
      </c>
      <c r="L25" s="3">
        <f t="shared" si="10"/>
        <v>-921314</v>
      </c>
      <c r="N25" t="s">
        <v>14</v>
      </c>
      <c r="P25" s="3">
        <f t="shared" ref="P25:R28" si="11">SUM(P4,P11,P18)</f>
        <v>-500705</v>
      </c>
      <c r="Q25" s="3">
        <f t="shared" si="11"/>
        <v>420609</v>
      </c>
      <c r="R25" s="3">
        <f t="shared" si="11"/>
        <v>921314</v>
      </c>
    </row>
    <row r="26" spans="1:18" x14ac:dyDescent="0.25">
      <c r="B26" t="s">
        <v>15</v>
      </c>
      <c r="D26" s="3">
        <f t="shared" si="9"/>
        <v>2215852</v>
      </c>
      <c r="E26" s="3">
        <f t="shared" si="9"/>
        <v>1057039</v>
      </c>
      <c r="F26" s="3">
        <f t="shared" si="9"/>
        <v>-1158813</v>
      </c>
      <c r="H26" t="s">
        <v>15</v>
      </c>
      <c r="J26" s="3">
        <f t="shared" si="10"/>
        <v>1723</v>
      </c>
      <c r="K26" s="3">
        <f t="shared" si="10"/>
        <v>-271439</v>
      </c>
      <c r="L26" s="3">
        <f t="shared" si="10"/>
        <v>-273162</v>
      </c>
      <c r="N26" t="s">
        <v>15</v>
      </c>
      <c r="P26" s="3">
        <f t="shared" si="11"/>
        <v>-1723</v>
      </c>
      <c r="Q26" s="3">
        <f t="shared" si="11"/>
        <v>271439</v>
      </c>
      <c r="R26" s="3">
        <f t="shared" si="11"/>
        <v>273162</v>
      </c>
    </row>
    <row r="27" spans="1:18" x14ac:dyDescent="0.25">
      <c r="B27" t="s">
        <v>16</v>
      </c>
      <c r="D27" s="3">
        <f t="shared" si="9"/>
        <v>3244797</v>
      </c>
      <c r="E27" s="3">
        <f t="shared" si="9"/>
        <v>-929248</v>
      </c>
      <c r="F27" s="3">
        <f t="shared" si="9"/>
        <v>-4174045</v>
      </c>
      <c r="H27" t="s">
        <v>16</v>
      </c>
      <c r="J27" s="3">
        <f t="shared" si="10"/>
        <v>2711</v>
      </c>
      <c r="K27" s="3">
        <f t="shared" si="10"/>
        <v>-2874500</v>
      </c>
      <c r="L27" s="3">
        <f t="shared" si="10"/>
        <v>-2877211</v>
      </c>
      <c r="N27" t="s">
        <v>16</v>
      </c>
      <c r="P27" s="3">
        <f t="shared" si="11"/>
        <v>-2711</v>
      </c>
      <c r="Q27" s="3">
        <f t="shared" si="11"/>
        <v>2874500</v>
      </c>
      <c r="R27" s="3">
        <f t="shared" si="11"/>
        <v>2877211</v>
      </c>
    </row>
    <row r="28" spans="1:18" x14ac:dyDescent="0.25">
      <c r="B28" t="s">
        <v>17</v>
      </c>
      <c r="D28" s="3">
        <f t="shared" si="9"/>
        <v>54002</v>
      </c>
      <c r="E28" s="3">
        <f t="shared" si="9"/>
        <v>31958</v>
      </c>
      <c r="F28" s="3">
        <f t="shared" si="9"/>
        <v>-22044</v>
      </c>
      <c r="H28" t="s">
        <v>17</v>
      </c>
      <c r="J28" s="3">
        <f t="shared" si="10"/>
        <v>0</v>
      </c>
      <c r="K28" s="3">
        <f t="shared" si="10"/>
        <v>-443</v>
      </c>
      <c r="L28" s="3">
        <f t="shared" si="10"/>
        <v>-443</v>
      </c>
      <c r="N28" t="s">
        <v>17</v>
      </c>
      <c r="P28" s="3">
        <f t="shared" si="11"/>
        <v>0</v>
      </c>
      <c r="Q28" s="3">
        <f t="shared" si="11"/>
        <v>443</v>
      </c>
      <c r="R28" s="3">
        <f t="shared" si="11"/>
        <v>443</v>
      </c>
    </row>
    <row r="29" spans="1:18" ht="15.75" thickBot="1" x14ac:dyDescent="0.3">
      <c r="D29" s="4">
        <f>SUM(D24:D28)</f>
        <v>21924651</v>
      </c>
      <c r="E29" s="4">
        <f>SUM(E24:E28)</f>
        <v>4533038</v>
      </c>
      <c r="F29" s="4">
        <f>SUM(F24:F28)</f>
        <v>-17391613</v>
      </c>
      <c r="J29" s="4">
        <f>SUM(J24:J28)</f>
        <v>1735456</v>
      </c>
      <c r="K29" s="4">
        <f>SUM(K24:K28)</f>
        <v>-7580479</v>
      </c>
      <c r="L29" s="4">
        <f>SUM(L24:L28)</f>
        <v>-9315935</v>
      </c>
      <c r="P29" s="4">
        <f>SUM(P24:P28)</f>
        <v>-1735456</v>
      </c>
      <c r="Q29" s="4">
        <f>SUM(Q24:Q28)</f>
        <v>7580479</v>
      </c>
      <c r="R29" s="4">
        <f>SUM(R24:R28)</f>
        <v>9315935</v>
      </c>
    </row>
    <row r="30" spans="1:18" x14ac:dyDescent="0.25">
      <c r="D30" s="3"/>
      <c r="E30" s="3"/>
      <c r="F30" s="3"/>
      <c r="J30" s="3"/>
      <c r="K30" s="3"/>
      <c r="L30" s="3"/>
      <c r="P30" s="3"/>
      <c r="Q30" s="3"/>
      <c r="R30" s="3"/>
    </row>
    <row r="31" spans="1:18" x14ac:dyDescent="0.25">
      <c r="A31" t="s">
        <v>28</v>
      </c>
      <c r="B31" t="s">
        <v>13</v>
      </c>
      <c r="C31" s="6">
        <f>'Allocation Factors'!$F$5</f>
        <v>0.68249000000000004</v>
      </c>
      <c r="D31" s="3">
        <f>$D$24*C31</f>
        <v>9037354.4501099996</v>
      </c>
      <c r="E31" s="3">
        <f>$E$24*C31</f>
        <v>2179439.6788500003</v>
      </c>
      <c r="F31" s="3">
        <f t="shared" ref="F31:F35" si="12">E31-D31</f>
        <v>-6857914.7712599989</v>
      </c>
      <c r="H31" t="s">
        <v>13</v>
      </c>
      <c r="I31" s="6">
        <f>'Allocation Factors'!$F$5</f>
        <v>0.68249000000000004</v>
      </c>
      <c r="J31" s="3">
        <f>$J$24*I31</f>
        <v>839679.04933000007</v>
      </c>
      <c r="K31" s="3">
        <f>$K$24*I31</f>
        <v>-2739165.4251200003</v>
      </c>
      <c r="L31" s="3">
        <f t="shared" ref="L31:L35" si="13">K31-J31</f>
        <v>-3578844.4744500006</v>
      </c>
      <c r="N31" t="s">
        <v>13</v>
      </c>
      <c r="O31" s="6">
        <f>'Allocation Factors'!$F$5</f>
        <v>0.68249000000000004</v>
      </c>
      <c r="P31" s="3">
        <f>$P$24*O31</f>
        <v>-839679.04933000007</v>
      </c>
      <c r="Q31" s="3">
        <f>$Q$24*O31</f>
        <v>2739165.4251200003</v>
      </c>
      <c r="R31" s="3">
        <f t="shared" ref="R31:R35" si="14">Q31-P31</f>
        <v>3578844.4744500006</v>
      </c>
    </row>
    <row r="32" spans="1:18" x14ac:dyDescent="0.25">
      <c r="B32" t="s">
        <v>14</v>
      </c>
      <c r="C32" s="6">
        <v>0</v>
      </c>
      <c r="D32" s="3">
        <f>$D$25*C32</f>
        <v>0</v>
      </c>
      <c r="E32" s="3">
        <f>$E$25*C32</f>
        <v>0</v>
      </c>
      <c r="F32" s="3">
        <f t="shared" si="12"/>
        <v>0</v>
      </c>
      <c r="H32" t="s">
        <v>14</v>
      </c>
      <c r="I32" s="6">
        <v>0</v>
      </c>
      <c r="J32" s="3">
        <f>$J$25*I32</f>
        <v>0</v>
      </c>
      <c r="K32" s="3">
        <f>$K$25*I32</f>
        <v>0</v>
      </c>
      <c r="L32" s="3">
        <f t="shared" si="13"/>
        <v>0</v>
      </c>
      <c r="N32" t="s">
        <v>14</v>
      </c>
      <c r="O32" s="6">
        <v>0</v>
      </c>
      <c r="P32" s="3">
        <f>$P$25*O32</f>
        <v>0</v>
      </c>
      <c r="Q32" s="3">
        <f>$Q$25*O32</f>
        <v>0</v>
      </c>
      <c r="R32" s="3">
        <f t="shared" si="14"/>
        <v>0</v>
      </c>
    </row>
    <row r="33" spans="1:18" x14ac:dyDescent="0.25">
      <c r="B33" t="s">
        <v>15</v>
      </c>
      <c r="C33" s="6">
        <v>0</v>
      </c>
      <c r="D33" s="3">
        <f>$D$26*C33</f>
        <v>0</v>
      </c>
      <c r="E33" s="3">
        <f>$E$26*C33</f>
        <v>0</v>
      </c>
      <c r="F33" s="3">
        <f t="shared" si="12"/>
        <v>0</v>
      </c>
      <c r="H33" t="s">
        <v>15</v>
      </c>
      <c r="I33" s="6">
        <v>0</v>
      </c>
      <c r="J33" s="3">
        <f>$J$26*I33</f>
        <v>0</v>
      </c>
      <c r="K33" s="3">
        <f>$K$26*I33</f>
        <v>0</v>
      </c>
      <c r="L33" s="3">
        <f t="shared" si="13"/>
        <v>0</v>
      </c>
      <c r="N33" t="s">
        <v>15</v>
      </c>
      <c r="O33" s="6">
        <v>0</v>
      </c>
      <c r="P33" s="3">
        <f>$P$26*O33</f>
        <v>0</v>
      </c>
      <c r="Q33" s="3">
        <f>$Q$26*O33</f>
        <v>0</v>
      </c>
      <c r="R33" s="3">
        <f t="shared" si="14"/>
        <v>0</v>
      </c>
    </row>
    <row r="34" spans="1:18" x14ac:dyDescent="0.25">
      <c r="B34" t="s">
        <v>16</v>
      </c>
      <c r="C34" s="6">
        <f>'Allocation Factors'!$F$10</f>
        <v>0.47866436150000002</v>
      </c>
      <c r="D34" s="3">
        <f>$D$27*C34</f>
        <v>1553168.6842021155</v>
      </c>
      <c r="E34" s="3">
        <f>$E$27*C34</f>
        <v>-444797.90059515199</v>
      </c>
      <c r="F34" s="3">
        <f t="shared" si="12"/>
        <v>-1997966.5847972676</v>
      </c>
      <c r="H34" t="s">
        <v>16</v>
      </c>
      <c r="I34" s="6">
        <f>'Allocation Factors'!$F$10</f>
        <v>0.47866436150000002</v>
      </c>
      <c r="J34" s="3">
        <f>$J$27*I34</f>
        <v>1297.6590840265001</v>
      </c>
      <c r="K34" s="3">
        <f>$K$27*I34</f>
        <v>-1375920.7071317502</v>
      </c>
      <c r="L34" s="3">
        <f t="shared" si="13"/>
        <v>-1377218.3662157767</v>
      </c>
      <c r="N34" t="s">
        <v>16</v>
      </c>
      <c r="O34" s="6">
        <f>'Allocation Factors'!$F$10</f>
        <v>0.47866436150000002</v>
      </c>
      <c r="P34" s="3">
        <f>$P$27*O34</f>
        <v>-1297.6590840265001</v>
      </c>
      <c r="Q34" s="3">
        <f>$Q$27*O34</f>
        <v>1375920.7071317502</v>
      </c>
      <c r="R34" s="3">
        <f t="shared" si="14"/>
        <v>1377218.3662157767</v>
      </c>
    </row>
    <row r="35" spans="1:18" x14ac:dyDescent="0.25">
      <c r="B35" t="s">
        <v>17</v>
      </c>
      <c r="C35" s="6">
        <f>'Allocation Factors'!$F$12</f>
        <v>0.53039710350000002</v>
      </c>
      <c r="D35" s="3">
        <f>$D$28*C35</f>
        <v>28642.504383207001</v>
      </c>
      <c r="E35" s="3">
        <f>$E$28*C35</f>
        <v>16950.430633652999</v>
      </c>
      <c r="F35" s="3">
        <f t="shared" si="12"/>
        <v>-11692.073749554002</v>
      </c>
      <c r="H35" t="s">
        <v>17</v>
      </c>
      <c r="I35" s="6">
        <f>'Allocation Factors'!$F$12</f>
        <v>0.53039710350000002</v>
      </c>
      <c r="J35" s="3">
        <f>$J$28*I35</f>
        <v>0</v>
      </c>
      <c r="K35" s="3">
        <f>$K$28*I35</f>
        <v>-234.96591685050001</v>
      </c>
      <c r="L35" s="3">
        <f t="shared" si="13"/>
        <v>-234.96591685050001</v>
      </c>
      <c r="N35" t="s">
        <v>17</v>
      </c>
      <c r="O35" s="6">
        <f>'Allocation Factors'!$F$12</f>
        <v>0.53039710350000002</v>
      </c>
      <c r="P35" s="3">
        <f>$P$28*O35</f>
        <v>0</v>
      </c>
      <c r="Q35" s="3">
        <f>$Q$28*O35</f>
        <v>234.96591685050001</v>
      </c>
      <c r="R35" s="3">
        <f t="shared" si="14"/>
        <v>234.96591685050001</v>
      </c>
    </row>
    <row r="36" spans="1:18" ht="15.75" thickBot="1" x14ac:dyDescent="0.3">
      <c r="C36" s="6"/>
      <c r="D36" s="4">
        <f>SUM(D31:D35)</f>
        <v>10619165.638695322</v>
      </c>
      <c r="E36" s="4">
        <f>SUM(E31:E35)</f>
        <v>1751592.2088885012</v>
      </c>
      <c r="F36" s="4">
        <f>SUM(F31:F35)</f>
        <v>-8867573.4298068192</v>
      </c>
      <c r="I36" s="6"/>
      <c r="J36" s="4">
        <f>SUM(J31:J35)</f>
        <v>840976.70841402654</v>
      </c>
      <c r="K36" s="4">
        <f>SUM(K31:K35)</f>
        <v>-4115321.0981686013</v>
      </c>
      <c r="L36" s="4">
        <f>SUM(L31:L35)</f>
        <v>-4956297.8065826278</v>
      </c>
      <c r="O36" s="6"/>
      <c r="P36" s="4">
        <f>SUM(P31:P35)</f>
        <v>-840976.70841402654</v>
      </c>
      <c r="Q36" s="4">
        <f>SUM(Q31:Q35)</f>
        <v>4115321.0981686013</v>
      </c>
      <c r="R36" s="4">
        <f>SUM(R31:R35)</f>
        <v>4956297.8065826278</v>
      </c>
    </row>
    <row r="37" spans="1:18" x14ac:dyDescent="0.25">
      <c r="C37" s="6"/>
      <c r="D37" s="8"/>
      <c r="E37" s="8"/>
      <c r="F37" s="8"/>
      <c r="I37" s="6"/>
      <c r="J37" s="8"/>
      <c r="K37" s="8"/>
      <c r="L37" s="8"/>
      <c r="O37" s="6"/>
      <c r="P37" s="8"/>
      <c r="Q37" s="8"/>
      <c r="R37" s="8"/>
    </row>
    <row r="38" spans="1:18" x14ac:dyDescent="0.25">
      <c r="A38" t="s">
        <v>29</v>
      </c>
      <c r="B38" t="s">
        <v>13</v>
      </c>
      <c r="C38" s="6">
        <f>'Allocation Factors'!$G$5</f>
        <v>0.31750999999999996</v>
      </c>
      <c r="D38" s="3">
        <f>$D$24*C38</f>
        <v>4204384.5498899994</v>
      </c>
      <c r="E38" s="3">
        <f>$E$24*C38</f>
        <v>1013925.3211499999</v>
      </c>
      <c r="F38" s="3">
        <f t="shared" ref="F38:F42" si="15">E38-D38</f>
        <v>-3190459.2287399997</v>
      </c>
      <c r="H38" t="s">
        <v>13</v>
      </c>
      <c r="I38" s="6">
        <f>'Allocation Factors'!$G$5</f>
        <v>0.31750999999999996</v>
      </c>
      <c r="J38" s="3">
        <f>$J$24*I38</f>
        <v>390637.95066999993</v>
      </c>
      <c r="K38" s="3">
        <f>$K$24*I38</f>
        <v>-1274322.5748799997</v>
      </c>
      <c r="L38" s="3">
        <f t="shared" ref="L38:L42" si="16">K38-J38</f>
        <v>-1664960.5255499997</v>
      </c>
      <c r="N38" t="s">
        <v>13</v>
      </c>
      <c r="O38" s="6">
        <f>'Allocation Factors'!$G$5</f>
        <v>0.31750999999999996</v>
      </c>
      <c r="P38" s="3">
        <f>$P$24*O38</f>
        <v>-390637.95066999993</v>
      </c>
      <c r="Q38" s="3">
        <f>$Q$24*O38</f>
        <v>1274322.5748799997</v>
      </c>
      <c r="R38" s="3">
        <f t="shared" ref="R38:R42" si="17">Q38-P38</f>
        <v>1664960.5255499997</v>
      </c>
    </row>
    <row r="39" spans="1:18" x14ac:dyDescent="0.25">
      <c r="B39" t="s">
        <v>14</v>
      </c>
      <c r="C39" s="6">
        <v>0</v>
      </c>
      <c r="D39" s="3">
        <f>$D$25*C39</f>
        <v>0</v>
      </c>
      <c r="E39" s="3">
        <f>$E$25*C39</f>
        <v>0</v>
      </c>
      <c r="F39" s="3">
        <f t="shared" si="15"/>
        <v>0</v>
      </c>
      <c r="H39" t="s">
        <v>14</v>
      </c>
      <c r="I39" s="6">
        <v>0</v>
      </c>
      <c r="J39" s="3">
        <f>$J$25*I39</f>
        <v>0</v>
      </c>
      <c r="K39" s="3">
        <f>$K$25*I39</f>
        <v>0</v>
      </c>
      <c r="L39" s="3">
        <f t="shared" si="16"/>
        <v>0</v>
      </c>
      <c r="N39" t="s">
        <v>14</v>
      </c>
      <c r="O39" s="6">
        <v>0</v>
      </c>
      <c r="P39" s="3">
        <f>$P$25*O39</f>
        <v>0</v>
      </c>
      <c r="Q39" s="3">
        <f>$Q$25*O39</f>
        <v>0</v>
      </c>
      <c r="R39" s="3">
        <f t="shared" si="17"/>
        <v>0</v>
      </c>
    </row>
    <row r="40" spans="1:18" x14ac:dyDescent="0.25">
      <c r="B40" t="s">
        <v>15</v>
      </c>
      <c r="C40" s="6">
        <v>0</v>
      </c>
      <c r="D40" s="3">
        <f>$D$26*C40</f>
        <v>0</v>
      </c>
      <c r="E40" s="3">
        <f>$E$26*C40</f>
        <v>0</v>
      </c>
      <c r="F40" s="3">
        <f t="shared" si="15"/>
        <v>0</v>
      </c>
      <c r="H40" t="s">
        <v>15</v>
      </c>
      <c r="I40" s="6">
        <v>0</v>
      </c>
      <c r="J40" s="3">
        <f>$J$26*I40</f>
        <v>0</v>
      </c>
      <c r="K40" s="3">
        <f>$K$26*I40</f>
        <v>0</v>
      </c>
      <c r="L40" s="3">
        <f t="shared" si="16"/>
        <v>0</v>
      </c>
      <c r="N40" t="s">
        <v>15</v>
      </c>
      <c r="O40" s="6">
        <v>0</v>
      </c>
      <c r="P40" s="3">
        <f>$P$26*O40</f>
        <v>0</v>
      </c>
      <c r="Q40" s="3">
        <f>$Q$26*O40</f>
        <v>0</v>
      </c>
      <c r="R40" s="3">
        <f t="shared" si="17"/>
        <v>0</v>
      </c>
    </row>
    <row r="41" spans="1:18" x14ac:dyDescent="0.25">
      <c r="B41" t="s">
        <v>16</v>
      </c>
      <c r="C41" s="6">
        <f>'Allocation Factors'!$G$10</f>
        <v>0.22268563849999998</v>
      </c>
      <c r="D41" s="3">
        <f>$D$27*C41</f>
        <v>722569.69174788438</v>
      </c>
      <c r="E41" s="3">
        <f>$E$27*C41</f>
        <v>-206930.18420484799</v>
      </c>
      <c r="F41" s="3">
        <f t="shared" si="15"/>
        <v>-929499.8759527324</v>
      </c>
      <c r="H41" t="s">
        <v>16</v>
      </c>
      <c r="I41" s="6">
        <f>'Allocation Factors'!$G$10</f>
        <v>0.22268563849999998</v>
      </c>
      <c r="J41" s="3">
        <f>$J$27*I41</f>
        <v>603.70076597349998</v>
      </c>
      <c r="K41" s="3">
        <f>$K$27*I41</f>
        <v>-640109.86786824989</v>
      </c>
      <c r="L41" s="3">
        <f t="shared" si="16"/>
        <v>-640713.56863422343</v>
      </c>
      <c r="N41" t="s">
        <v>16</v>
      </c>
      <c r="O41" s="6">
        <f>'Allocation Factors'!$G$10</f>
        <v>0.22268563849999998</v>
      </c>
      <c r="P41" s="3">
        <f>$P$27*O41</f>
        <v>-603.70076597349998</v>
      </c>
      <c r="Q41" s="3">
        <f>$Q$27*O41</f>
        <v>640109.86786824989</v>
      </c>
      <c r="R41" s="3">
        <f t="shared" si="17"/>
        <v>640713.56863422343</v>
      </c>
    </row>
    <row r="42" spans="1:18" x14ac:dyDescent="0.25">
      <c r="B42" t="s">
        <v>17</v>
      </c>
      <c r="C42" s="6">
        <f>'Allocation Factors'!$G$12</f>
        <v>0.24675289649999996</v>
      </c>
      <c r="D42" s="3">
        <f>$D$28*C42</f>
        <v>13325.149916792998</v>
      </c>
      <c r="E42" s="3">
        <f>$E$28*C42</f>
        <v>7885.7290663469985</v>
      </c>
      <c r="F42" s="3">
        <f t="shared" si="15"/>
        <v>-5439.4208504459993</v>
      </c>
      <c r="H42" t="s">
        <v>17</v>
      </c>
      <c r="I42" s="6">
        <f>'Allocation Factors'!$G$12</f>
        <v>0.24675289649999996</v>
      </c>
      <c r="J42" s="3">
        <f>$J$28*I42</f>
        <v>0</v>
      </c>
      <c r="K42" s="3">
        <f>$K$28*I42</f>
        <v>-109.31153314949998</v>
      </c>
      <c r="L42" s="3">
        <f t="shared" si="16"/>
        <v>-109.31153314949998</v>
      </c>
      <c r="N42" t="s">
        <v>17</v>
      </c>
      <c r="O42" s="6">
        <f>'Allocation Factors'!$G$12</f>
        <v>0.24675289649999996</v>
      </c>
      <c r="P42" s="3">
        <f>$P$28*O42</f>
        <v>0</v>
      </c>
      <c r="Q42" s="3">
        <f>$Q$28*O42</f>
        <v>109.31153314949998</v>
      </c>
      <c r="R42" s="3">
        <f t="shared" si="17"/>
        <v>109.31153314949998</v>
      </c>
    </row>
    <row r="43" spans="1:18" ht="15.75" thickBot="1" x14ac:dyDescent="0.3">
      <c r="C43" s="6"/>
      <c r="D43" s="4">
        <f>SUM(D38:D42)</f>
        <v>4940279.3915546769</v>
      </c>
      <c r="E43" s="4">
        <f>SUM(E38:E42)</f>
        <v>814880.86601149885</v>
      </c>
      <c r="F43" s="4">
        <f>SUM(F38:F42)</f>
        <v>-4125398.525543178</v>
      </c>
      <c r="I43" s="6"/>
      <c r="J43" s="4">
        <f>SUM(J38:J42)</f>
        <v>391241.65143597341</v>
      </c>
      <c r="K43" s="4">
        <f>SUM(K38:K42)</f>
        <v>-1914541.7542813991</v>
      </c>
      <c r="L43" s="4">
        <f>SUM(L38:L42)</f>
        <v>-2305783.4057173724</v>
      </c>
      <c r="O43" s="6"/>
      <c r="P43" s="4">
        <f>SUM(P38:P42)</f>
        <v>-391241.65143597341</v>
      </c>
      <c r="Q43" s="4">
        <f>SUM(Q38:Q42)</f>
        <v>1914541.7542813991</v>
      </c>
      <c r="R43" s="4">
        <f>SUM(R38:R42)</f>
        <v>2305783.4057173724</v>
      </c>
    </row>
    <row r="44" spans="1:18" x14ac:dyDescent="0.25">
      <c r="C44" s="6"/>
      <c r="D44" s="3"/>
      <c r="E44" s="3"/>
      <c r="F44" s="3"/>
      <c r="I44" s="6"/>
      <c r="J44" s="3"/>
      <c r="K44" s="3"/>
      <c r="L44" s="3"/>
      <c r="O44" s="6"/>
      <c r="P44" s="3"/>
      <c r="Q44" s="3"/>
      <c r="R44" s="3"/>
    </row>
    <row r="45" spans="1:18" x14ac:dyDescent="0.25">
      <c r="A45" t="s">
        <v>30</v>
      </c>
      <c r="B45" t="s">
        <v>13</v>
      </c>
      <c r="C45" s="6">
        <v>0</v>
      </c>
      <c r="D45" s="3">
        <f>$D$24*C45</f>
        <v>0</v>
      </c>
      <c r="E45" s="3">
        <f>$E$24*C45</f>
        <v>0</v>
      </c>
      <c r="F45" s="3">
        <f t="shared" ref="F45:F49" si="18">E45-D45</f>
        <v>0</v>
      </c>
      <c r="H45" t="s">
        <v>13</v>
      </c>
      <c r="I45" s="6">
        <v>0</v>
      </c>
      <c r="J45" s="3">
        <f>$J$24*I45</f>
        <v>0</v>
      </c>
      <c r="K45" s="3">
        <f>$K$24*I45</f>
        <v>0</v>
      </c>
      <c r="L45" s="3">
        <f t="shared" ref="L45:L49" si="19">K45-J45</f>
        <v>0</v>
      </c>
      <c r="N45" t="s">
        <v>13</v>
      </c>
      <c r="O45" s="6">
        <v>0</v>
      </c>
      <c r="P45" s="3">
        <f>$P$24*O45</f>
        <v>0</v>
      </c>
      <c r="Q45" s="3">
        <f>$Q$24*O45</f>
        <v>0</v>
      </c>
      <c r="R45" s="3">
        <f t="shared" ref="R45:R49" si="20">Q45-P45</f>
        <v>0</v>
      </c>
    </row>
    <row r="46" spans="1:18" x14ac:dyDescent="0.25">
      <c r="B46" t="s">
        <v>14</v>
      </c>
      <c r="C46" s="6">
        <f>'Allocation Factors'!$F$7</f>
        <v>0.71353</v>
      </c>
      <c r="D46" s="3">
        <f>$D$25*C46</f>
        <v>2260649.2713299999</v>
      </c>
      <c r="E46" s="3">
        <f>$E$25*C46</f>
        <v>841911.17171999998</v>
      </c>
      <c r="F46" s="3">
        <f t="shared" si="18"/>
        <v>-1418738.0996099999</v>
      </c>
      <c r="H46" t="s">
        <v>14</v>
      </c>
      <c r="I46" s="6">
        <f>'Allocation Factors'!$F$7</f>
        <v>0.71353</v>
      </c>
      <c r="J46" s="3">
        <f>$J$25*I46</f>
        <v>357268.03865</v>
      </c>
      <c r="K46" s="3">
        <f>$K$25*I46</f>
        <v>-300117.13977000001</v>
      </c>
      <c r="L46" s="3">
        <f t="shared" si="19"/>
        <v>-657385.17842000001</v>
      </c>
      <c r="N46" t="s">
        <v>14</v>
      </c>
      <c r="O46" s="6">
        <f>'Allocation Factors'!$F$7</f>
        <v>0.71353</v>
      </c>
      <c r="P46" s="3">
        <f>$P$25*O46</f>
        <v>-357268.03865</v>
      </c>
      <c r="Q46" s="3">
        <f>$Q$25*O46</f>
        <v>300117.13977000001</v>
      </c>
      <c r="R46" s="3">
        <f t="shared" si="20"/>
        <v>657385.17842000001</v>
      </c>
    </row>
    <row r="47" spans="1:18" x14ac:dyDescent="0.25">
      <c r="B47" t="s">
        <v>15</v>
      </c>
      <c r="C47" s="6">
        <v>0</v>
      </c>
      <c r="D47" s="3">
        <f>$D$26*C47</f>
        <v>0</v>
      </c>
      <c r="E47" s="3">
        <f>$E$26*C47</f>
        <v>0</v>
      </c>
      <c r="F47" s="3">
        <f t="shared" si="18"/>
        <v>0</v>
      </c>
      <c r="H47" t="s">
        <v>15</v>
      </c>
      <c r="I47" s="6">
        <v>0</v>
      </c>
      <c r="J47" s="3">
        <f>$J$26*I47</f>
        <v>0</v>
      </c>
      <c r="K47" s="3">
        <f>$K$26*I47</f>
        <v>0</v>
      </c>
      <c r="L47" s="3">
        <f t="shared" si="19"/>
        <v>0</v>
      </c>
      <c r="N47" t="s">
        <v>15</v>
      </c>
      <c r="O47" s="6">
        <v>0</v>
      </c>
      <c r="P47" s="3">
        <f>$P$26*O47</f>
        <v>0</v>
      </c>
      <c r="Q47" s="3">
        <f>$Q$26*O47</f>
        <v>0</v>
      </c>
      <c r="R47" s="3">
        <f t="shared" si="20"/>
        <v>0</v>
      </c>
    </row>
    <row r="48" spans="1:18" x14ac:dyDescent="0.25">
      <c r="B48" t="s">
        <v>16</v>
      </c>
      <c r="C48" s="6">
        <f>'Allocation Factors'!$H$10</f>
        <v>0.1466232797</v>
      </c>
      <c r="D48" s="3">
        <f>$D$27*C48</f>
        <v>475762.7781007209</v>
      </c>
      <c r="E48" s="3">
        <f>$E$27*C48</f>
        <v>-136249.38941466561</v>
      </c>
      <c r="F48" s="3">
        <f t="shared" si="18"/>
        <v>-612012.16751538648</v>
      </c>
      <c r="H48" t="s">
        <v>16</v>
      </c>
      <c r="I48" s="6">
        <f>'Allocation Factors'!$H$10</f>
        <v>0.1466232797</v>
      </c>
      <c r="J48" s="3">
        <f>$J$27*I48</f>
        <v>397.49571126669997</v>
      </c>
      <c r="K48" s="3">
        <f>$K$27*I48</f>
        <v>-421468.61749764998</v>
      </c>
      <c r="L48" s="3">
        <f t="shared" si="19"/>
        <v>-421866.11320891668</v>
      </c>
      <c r="N48" t="s">
        <v>16</v>
      </c>
      <c r="O48" s="6">
        <f>'Allocation Factors'!$H$10</f>
        <v>0.1466232797</v>
      </c>
      <c r="P48" s="3">
        <f>$P$27*O48</f>
        <v>-397.49571126669997</v>
      </c>
      <c r="Q48" s="3">
        <f>$Q$27*O48</f>
        <v>421468.61749764998</v>
      </c>
      <c r="R48" s="3">
        <f t="shared" si="20"/>
        <v>421866.11320891668</v>
      </c>
    </row>
    <row r="49" spans="1:18" x14ac:dyDescent="0.25">
      <c r="B49" t="s">
        <v>17</v>
      </c>
      <c r="C49" s="6">
        <f>'Allocation Factors'!$H$12</f>
        <v>0.1590101605</v>
      </c>
      <c r="D49" s="3">
        <f>$D$28*C49</f>
        <v>8586.8666873210004</v>
      </c>
      <c r="E49" s="3">
        <f>$E$28*C49</f>
        <v>5081.6467092590001</v>
      </c>
      <c r="F49" s="3">
        <f t="shared" si="18"/>
        <v>-3505.2199780620003</v>
      </c>
      <c r="H49" t="s">
        <v>17</v>
      </c>
      <c r="I49" s="6">
        <f>'Allocation Factors'!$H$12</f>
        <v>0.1590101605</v>
      </c>
      <c r="J49" s="3">
        <f>$J$28*I49</f>
        <v>0</v>
      </c>
      <c r="K49" s="3">
        <f>$K$28*I49</f>
        <v>-70.441501101499995</v>
      </c>
      <c r="L49" s="3">
        <f t="shared" si="19"/>
        <v>-70.441501101499995</v>
      </c>
      <c r="N49" t="s">
        <v>17</v>
      </c>
      <c r="O49" s="6">
        <f>'Allocation Factors'!$H$12</f>
        <v>0.1590101605</v>
      </c>
      <c r="P49" s="3">
        <f>$P$28*O49</f>
        <v>0</v>
      </c>
      <c r="Q49" s="3">
        <f>$Q$28*O49</f>
        <v>70.441501101499995</v>
      </c>
      <c r="R49" s="3">
        <f t="shared" si="20"/>
        <v>70.441501101499995</v>
      </c>
    </row>
    <row r="50" spans="1:18" ht="15.75" thickBot="1" x14ac:dyDescent="0.3">
      <c r="C50" s="6"/>
      <c r="D50" s="4">
        <f>SUM(D45:D49)</f>
        <v>2744998.9161180421</v>
      </c>
      <c r="E50" s="4">
        <f>SUM(E45:E49)</f>
        <v>710743.42901459336</v>
      </c>
      <c r="F50" s="4">
        <f>SUM(F45:F49)</f>
        <v>-2034255.4871034482</v>
      </c>
      <c r="I50" s="6"/>
      <c r="J50" s="4">
        <f>SUM(J45:J49)</f>
        <v>357665.53436126671</v>
      </c>
      <c r="K50" s="4">
        <f>SUM(K45:K49)</f>
        <v>-721656.19876875146</v>
      </c>
      <c r="L50" s="4">
        <f>SUM(L45:L49)</f>
        <v>-1079321.7331300182</v>
      </c>
      <c r="O50" s="6"/>
      <c r="P50" s="4">
        <f>SUM(P45:P49)</f>
        <v>-357665.53436126671</v>
      </c>
      <c r="Q50" s="4">
        <f>SUM(Q45:Q49)</f>
        <v>721656.19876875146</v>
      </c>
      <c r="R50" s="4">
        <f>SUM(R45:R49)</f>
        <v>1079321.7331300182</v>
      </c>
    </row>
    <row r="51" spans="1:18" x14ac:dyDescent="0.25">
      <c r="C51" s="6"/>
      <c r="D51" s="3"/>
      <c r="E51" s="3"/>
      <c r="F51" s="3"/>
      <c r="I51" s="6"/>
      <c r="J51" s="3"/>
      <c r="K51" s="3"/>
      <c r="L51" s="3"/>
      <c r="O51" s="6"/>
      <c r="P51" s="3"/>
      <c r="Q51" s="3"/>
      <c r="R51" s="3"/>
    </row>
    <row r="52" spans="1:18" x14ac:dyDescent="0.25">
      <c r="A52" t="s">
        <v>31</v>
      </c>
      <c r="B52" t="s">
        <v>13</v>
      </c>
      <c r="C52" s="6">
        <v>0</v>
      </c>
      <c r="D52" s="3">
        <f>$D$24*C52</f>
        <v>0</v>
      </c>
      <c r="E52" s="3">
        <f>$E$24*C52</f>
        <v>0</v>
      </c>
      <c r="F52" s="3">
        <f t="shared" ref="F52:F56" si="21">E52-D52</f>
        <v>0</v>
      </c>
      <c r="H52" t="s">
        <v>13</v>
      </c>
      <c r="I52" s="6">
        <v>0</v>
      </c>
      <c r="J52" s="3">
        <f>$J$24*I52</f>
        <v>0</v>
      </c>
      <c r="K52" s="3">
        <f>$K$24*I52</f>
        <v>0</v>
      </c>
      <c r="L52" s="3">
        <f t="shared" ref="L52:L56" si="22">K52-J52</f>
        <v>0</v>
      </c>
      <c r="N52" t="s">
        <v>13</v>
      </c>
      <c r="O52" s="6">
        <v>0</v>
      </c>
      <c r="P52" s="3">
        <f>$P$24*O52</f>
        <v>0</v>
      </c>
      <c r="Q52" s="3">
        <f>$Q$24*O52</f>
        <v>0</v>
      </c>
      <c r="R52" s="3">
        <f t="shared" ref="R52:R56" si="23">Q52-P52</f>
        <v>0</v>
      </c>
    </row>
    <row r="53" spans="1:18" x14ac:dyDescent="0.25">
      <c r="B53" t="s">
        <v>14</v>
      </c>
      <c r="C53" s="6">
        <f>'Allocation Factors'!$G$7</f>
        <v>0.28647</v>
      </c>
      <c r="D53" s="3">
        <f>$D$25*C53</f>
        <v>907611.72866999998</v>
      </c>
      <c r="E53" s="3">
        <f>$E$25*C53</f>
        <v>338012.82828000002</v>
      </c>
      <c r="F53" s="3">
        <f t="shared" si="21"/>
        <v>-569598.90038999997</v>
      </c>
      <c r="H53" t="s">
        <v>14</v>
      </c>
      <c r="I53" s="6">
        <f>'Allocation Factors'!$G$7</f>
        <v>0.28647</v>
      </c>
      <c r="J53" s="3">
        <f>$J$25*I53</f>
        <v>143436.96135</v>
      </c>
      <c r="K53" s="3">
        <f>$K$25*I53</f>
        <v>-120491.86023000001</v>
      </c>
      <c r="L53" s="3">
        <f t="shared" si="22"/>
        <v>-263928.82157999999</v>
      </c>
      <c r="N53" t="s">
        <v>14</v>
      </c>
      <c r="O53" s="6">
        <f>'Allocation Factors'!$G$7</f>
        <v>0.28647</v>
      </c>
      <c r="P53" s="3">
        <f>$P$25*O53</f>
        <v>-143436.96135</v>
      </c>
      <c r="Q53" s="3">
        <f>$Q$25*O53</f>
        <v>120491.86023000001</v>
      </c>
      <c r="R53" s="3">
        <f t="shared" si="23"/>
        <v>263928.82157999999</v>
      </c>
    </row>
    <row r="54" spans="1:18" x14ac:dyDescent="0.25">
      <c r="B54" t="s">
        <v>15</v>
      </c>
      <c r="C54" s="6">
        <v>0</v>
      </c>
      <c r="D54" s="3">
        <f>$D$26*C54</f>
        <v>0</v>
      </c>
      <c r="E54" s="3">
        <f>$E$26*C54</f>
        <v>0</v>
      </c>
      <c r="F54" s="3">
        <f t="shared" si="21"/>
        <v>0</v>
      </c>
      <c r="H54" t="s">
        <v>15</v>
      </c>
      <c r="I54" s="6">
        <v>0</v>
      </c>
      <c r="J54" s="3">
        <f>$J$26*I54</f>
        <v>0</v>
      </c>
      <c r="K54" s="3">
        <f>$K$26*I54</f>
        <v>0</v>
      </c>
      <c r="L54" s="3">
        <f t="shared" si="22"/>
        <v>0</v>
      </c>
      <c r="N54" t="s">
        <v>15</v>
      </c>
      <c r="O54" s="6">
        <v>0</v>
      </c>
      <c r="P54" s="3">
        <f>$P$26*O54</f>
        <v>0</v>
      </c>
      <c r="Q54" s="3">
        <f>$Q$26*O54</f>
        <v>0</v>
      </c>
      <c r="R54" s="3">
        <f t="shared" si="23"/>
        <v>0</v>
      </c>
    </row>
    <row r="55" spans="1:18" x14ac:dyDescent="0.25">
      <c r="B55" t="s">
        <v>16</v>
      </c>
      <c r="C55" s="6">
        <f>'Allocation Factors'!$I$10</f>
        <v>5.8866720300000001E-2</v>
      </c>
      <c r="D55" s="3">
        <f>$D$27*C55</f>
        <v>191010.55742927911</v>
      </c>
      <c r="E55" s="3">
        <f>$E$27*C55</f>
        <v>-54701.782105334401</v>
      </c>
      <c r="F55" s="3">
        <f t="shared" si="21"/>
        <v>-245712.33953461351</v>
      </c>
      <c r="H55" t="s">
        <v>16</v>
      </c>
      <c r="I55" s="6">
        <f>'Allocation Factors'!$I$10</f>
        <v>5.8866720300000001E-2</v>
      </c>
      <c r="J55" s="3">
        <f>$J$27*I55</f>
        <v>159.58767873330001</v>
      </c>
      <c r="K55" s="3">
        <f>$K$27*I55</f>
        <v>-169212.38750235</v>
      </c>
      <c r="L55" s="3">
        <f t="shared" si="22"/>
        <v>-169371.97518108331</v>
      </c>
      <c r="N55" t="s">
        <v>16</v>
      </c>
      <c r="O55" s="6">
        <f>'Allocation Factors'!$I$10</f>
        <v>5.8866720300000001E-2</v>
      </c>
      <c r="P55" s="3">
        <f>$P$27*O55</f>
        <v>-159.58767873330001</v>
      </c>
      <c r="Q55" s="3">
        <f>$Q$27*O55</f>
        <v>169212.38750235</v>
      </c>
      <c r="R55" s="3">
        <f t="shared" si="23"/>
        <v>169371.97518108331</v>
      </c>
    </row>
    <row r="56" spans="1:18" x14ac:dyDescent="0.25">
      <c r="B56" t="s">
        <v>17</v>
      </c>
      <c r="C56" s="6">
        <f>'Allocation Factors'!$I$12</f>
        <v>6.3839839499999995E-2</v>
      </c>
      <c r="D56" s="3">
        <f>$D$28*C56</f>
        <v>3447.4790126789999</v>
      </c>
      <c r="E56" s="3">
        <f>$E$28*C56</f>
        <v>2040.1935907409998</v>
      </c>
      <c r="F56" s="3">
        <f t="shared" si="21"/>
        <v>-1407.2854219380001</v>
      </c>
      <c r="H56" t="s">
        <v>17</v>
      </c>
      <c r="I56" s="6">
        <f>'Allocation Factors'!$I$12</f>
        <v>6.3839839499999995E-2</v>
      </c>
      <c r="J56" s="3">
        <f>$J$28*I56</f>
        <v>0</v>
      </c>
      <c r="K56" s="3">
        <f>$K$28*I56</f>
        <v>-28.281048898499996</v>
      </c>
      <c r="L56" s="3">
        <f t="shared" si="22"/>
        <v>-28.281048898499996</v>
      </c>
      <c r="N56" t="s">
        <v>17</v>
      </c>
      <c r="O56" s="6">
        <f>'Allocation Factors'!$I$12</f>
        <v>6.3839839499999995E-2</v>
      </c>
      <c r="P56" s="3">
        <f>$P$28*O56</f>
        <v>0</v>
      </c>
      <c r="Q56" s="3">
        <f>$Q$28*O56</f>
        <v>28.281048898499996</v>
      </c>
      <c r="R56" s="3">
        <f t="shared" si="23"/>
        <v>28.281048898499996</v>
      </c>
    </row>
    <row r="57" spans="1:18" ht="15.75" thickBot="1" x14ac:dyDescent="0.3">
      <c r="C57" s="6"/>
      <c r="D57" s="4">
        <f>SUM(D52:D56)</f>
        <v>1102069.7651119581</v>
      </c>
      <c r="E57" s="4">
        <f>SUM(E52:E56)</f>
        <v>285351.23976540664</v>
      </c>
      <c r="F57" s="4">
        <f>SUM(F52:F56)</f>
        <v>-816718.52534655156</v>
      </c>
      <c r="I57" s="6"/>
      <c r="J57" s="4">
        <f>SUM(J52:J56)</f>
        <v>143596.54902873331</v>
      </c>
      <c r="K57" s="4">
        <f>SUM(K52:K56)</f>
        <v>-289732.52878124855</v>
      </c>
      <c r="L57" s="4">
        <f>SUM(L52:L56)</f>
        <v>-433329.07780998183</v>
      </c>
      <c r="O57" s="6"/>
      <c r="P57" s="4">
        <f>SUM(P52:P56)</f>
        <v>-143596.54902873331</v>
      </c>
      <c r="Q57" s="4">
        <f>SUM(Q52:Q56)</f>
        <v>289732.52878124855</v>
      </c>
      <c r="R57" s="4">
        <f>SUM(R52:R56)</f>
        <v>433329.07780998183</v>
      </c>
    </row>
    <row r="58" spans="1:18" x14ac:dyDescent="0.25">
      <c r="C58" s="6"/>
      <c r="D58" s="3"/>
      <c r="E58" s="3"/>
      <c r="F58" s="3"/>
      <c r="I58" s="6"/>
      <c r="J58" s="3"/>
      <c r="K58" s="3"/>
      <c r="L58" s="3"/>
      <c r="O58" s="6"/>
      <c r="P58" s="3"/>
      <c r="Q58" s="3"/>
      <c r="R58" s="3"/>
    </row>
    <row r="59" spans="1:18" x14ac:dyDescent="0.25">
      <c r="A59" t="s">
        <v>32</v>
      </c>
      <c r="B59" t="s">
        <v>13</v>
      </c>
      <c r="C59" s="6">
        <v>0</v>
      </c>
      <c r="D59" s="3">
        <f>$D$24*C59</f>
        <v>0</v>
      </c>
      <c r="E59" s="3">
        <f>$E$24*C59</f>
        <v>0</v>
      </c>
      <c r="F59" s="3">
        <f t="shared" ref="F59:F63" si="24">E59-D59</f>
        <v>0</v>
      </c>
      <c r="H59" t="s">
        <v>13</v>
      </c>
      <c r="I59" s="6">
        <v>0</v>
      </c>
      <c r="J59" s="3">
        <f>$J$24*I59</f>
        <v>0</v>
      </c>
      <c r="K59" s="3">
        <f>$K$24*I59</f>
        <v>0</v>
      </c>
      <c r="L59" s="3">
        <f t="shared" ref="L59:L63" si="25">K59-J59</f>
        <v>0</v>
      </c>
      <c r="N59" t="s">
        <v>13</v>
      </c>
      <c r="O59" s="6">
        <v>0</v>
      </c>
      <c r="P59" s="3">
        <f>$P$24*O59</f>
        <v>0</v>
      </c>
      <c r="Q59" s="3">
        <f>$Q$24*O59</f>
        <v>0</v>
      </c>
      <c r="R59" s="3">
        <f t="shared" ref="R59:R63" si="26">Q59-P59</f>
        <v>0</v>
      </c>
    </row>
    <row r="60" spans="1:18" x14ac:dyDescent="0.25">
      <c r="B60" t="s">
        <v>14</v>
      </c>
      <c r="C60" s="6">
        <v>0</v>
      </c>
      <c r="D60" s="3">
        <f>$D$25*C60</f>
        <v>0</v>
      </c>
      <c r="E60" s="3">
        <f>$E$25*C60</f>
        <v>0</v>
      </c>
      <c r="F60" s="3">
        <f t="shared" si="24"/>
        <v>0</v>
      </c>
      <c r="H60" t="s">
        <v>14</v>
      </c>
      <c r="I60" s="6">
        <v>0</v>
      </c>
      <c r="J60" s="3">
        <f>$J$25*I60</f>
        <v>0</v>
      </c>
      <c r="K60" s="3">
        <f>$K$25*I60</f>
        <v>0</v>
      </c>
      <c r="L60" s="3">
        <f t="shared" si="25"/>
        <v>0</v>
      </c>
      <c r="N60" t="s">
        <v>14</v>
      </c>
      <c r="O60" s="6">
        <v>0</v>
      </c>
      <c r="P60" s="3">
        <f>$P$25*O60</f>
        <v>0</v>
      </c>
      <c r="Q60" s="3">
        <f>$Q$25*O60</f>
        <v>0</v>
      </c>
      <c r="R60" s="3">
        <f t="shared" si="26"/>
        <v>0</v>
      </c>
    </row>
    <row r="61" spans="1:18" x14ac:dyDescent="0.25">
      <c r="B61" t="s">
        <v>15</v>
      </c>
      <c r="C61" s="6">
        <v>1</v>
      </c>
      <c r="D61" s="3">
        <f>$D$26*C61</f>
        <v>2215852</v>
      </c>
      <c r="E61" s="3">
        <f>$E$26*C61</f>
        <v>1057039</v>
      </c>
      <c r="F61" s="3">
        <f t="shared" si="24"/>
        <v>-1158813</v>
      </c>
      <c r="H61" t="s">
        <v>15</v>
      </c>
      <c r="I61" s="6">
        <v>1</v>
      </c>
      <c r="J61" s="3">
        <f>$J$26*I61</f>
        <v>1723</v>
      </c>
      <c r="K61" s="3">
        <f>$K$26*I61</f>
        <v>-271439</v>
      </c>
      <c r="L61" s="3">
        <f t="shared" si="25"/>
        <v>-273162</v>
      </c>
      <c r="N61" t="s">
        <v>15</v>
      </c>
      <c r="O61" s="6">
        <v>1</v>
      </c>
      <c r="P61" s="3">
        <f>$P$26*O61</f>
        <v>-1723</v>
      </c>
      <c r="Q61" s="3">
        <f>$Q$26*O61</f>
        <v>271439</v>
      </c>
      <c r="R61" s="3">
        <f t="shared" si="26"/>
        <v>273162</v>
      </c>
    </row>
    <row r="62" spans="1:18" x14ac:dyDescent="0.25">
      <c r="B62" t="s">
        <v>16</v>
      </c>
      <c r="C62" s="6">
        <f>'Allocation Factors'!$J$10</f>
        <v>9.3160000000000007E-2</v>
      </c>
      <c r="D62" s="3">
        <f>$D$27*C62</f>
        <v>302285.28852</v>
      </c>
      <c r="E62" s="3">
        <f>$E$27*C62</f>
        <v>-86568.74368</v>
      </c>
      <c r="F62" s="3">
        <f t="shared" si="24"/>
        <v>-388854.03220000002</v>
      </c>
      <c r="H62" t="s">
        <v>16</v>
      </c>
      <c r="I62" s="6">
        <f>'Allocation Factors'!$J$10</f>
        <v>9.3160000000000007E-2</v>
      </c>
      <c r="J62" s="3">
        <f>$J$27*I62</f>
        <v>252.55676000000003</v>
      </c>
      <c r="K62" s="3">
        <f>$K$27*I62</f>
        <v>-267788.42000000004</v>
      </c>
      <c r="L62" s="3">
        <f t="shared" si="25"/>
        <v>-268040.97676000005</v>
      </c>
      <c r="N62" t="s">
        <v>16</v>
      </c>
      <c r="O62" s="6">
        <f>'Allocation Factors'!$J$10</f>
        <v>9.3160000000000007E-2</v>
      </c>
      <c r="P62" s="3">
        <f>$P$27*O62</f>
        <v>-252.55676000000003</v>
      </c>
      <c r="Q62" s="3">
        <f>$Q$27*O62</f>
        <v>267788.42000000004</v>
      </c>
      <c r="R62" s="3">
        <f t="shared" si="26"/>
        <v>268040.97676000005</v>
      </c>
    </row>
    <row r="63" spans="1:18" x14ac:dyDescent="0.25">
      <c r="B63" t="s">
        <v>17</v>
      </c>
      <c r="C63" s="6">
        <v>0</v>
      </c>
      <c r="D63" s="3">
        <f>$D$28*C63</f>
        <v>0</v>
      </c>
      <c r="E63" s="3">
        <f>$E$28*C63</f>
        <v>0</v>
      </c>
      <c r="F63" s="3">
        <f t="shared" si="24"/>
        <v>0</v>
      </c>
      <c r="H63" t="s">
        <v>17</v>
      </c>
      <c r="I63" s="6">
        <v>0</v>
      </c>
      <c r="J63" s="3">
        <f>$J$28*I63</f>
        <v>0</v>
      </c>
      <c r="K63" s="3">
        <f>$K$28*I63</f>
        <v>0</v>
      </c>
      <c r="L63" s="3">
        <f t="shared" si="25"/>
        <v>0</v>
      </c>
      <c r="N63" t="s">
        <v>17</v>
      </c>
      <c r="O63" s="6">
        <v>0</v>
      </c>
      <c r="P63" s="3">
        <f>$P$28*O63</f>
        <v>0</v>
      </c>
      <c r="Q63" s="3">
        <f>$Q$28*O63</f>
        <v>0</v>
      </c>
      <c r="R63" s="3">
        <f t="shared" si="26"/>
        <v>0</v>
      </c>
    </row>
    <row r="64" spans="1:18" ht="15.75" thickBot="1" x14ac:dyDescent="0.3">
      <c r="D64" s="4">
        <f>SUM(D59:D63)</f>
        <v>2518137.2885199999</v>
      </c>
      <c r="E64" s="4">
        <f>SUM(E59:E63)</f>
        <v>970470.25632000004</v>
      </c>
      <c r="F64" s="4">
        <f>SUM(F59:F63)</f>
        <v>-1547667.0322</v>
      </c>
      <c r="J64" s="4">
        <f>SUM(J59:J63)</f>
        <v>1975.5567599999999</v>
      </c>
      <c r="K64" s="4">
        <f>SUM(K59:K63)</f>
        <v>-539227.42000000004</v>
      </c>
      <c r="L64" s="4">
        <f>SUM(L59:L63)</f>
        <v>-541202.97675999999</v>
      </c>
      <c r="P64" s="4">
        <f>SUM(P59:P63)</f>
        <v>-1975.5567599999999</v>
      </c>
      <c r="Q64" s="4">
        <f>SUM(Q59:Q63)</f>
        <v>539227.42000000004</v>
      </c>
      <c r="R64" s="4">
        <f>SUM(R59:R63)</f>
        <v>541202.97675999999</v>
      </c>
    </row>
    <row r="65" spans="1:18" x14ac:dyDescent="0.25">
      <c r="D65" s="3"/>
      <c r="E65" s="3"/>
      <c r="F65" s="3"/>
      <c r="J65" s="3"/>
      <c r="K65" s="3"/>
      <c r="L65" s="3"/>
      <c r="P65" s="3"/>
      <c r="Q65" s="3"/>
      <c r="R65" s="3"/>
    </row>
    <row r="66" spans="1:18" x14ac:dyDescent="0.25">
      <c r="A66" t="s">
        <v>6</v>
      </c>
      <c r="B66" t="s">
        <v>13</v>
      </c>
      <c r="D66" s="3">
        <f>SUM(D31,D38,D45,D52,D59)</f>
        <v>13241739</v>
      </c>
      <c r="E66" s="3">
        <f>SUM(E31,E38,E45,E52,E59)</f>
        <v>3193365</v>
      </c>
      <c r="F66" s="3">
        <f t="shared" ref="F66:F70" si="27">E66-D66</f>
        <v>-10048374</v>
      </c>
      <c r="H66" t="s">
        <v>13</v>
      </c>
      <c r="J66" s="3">
        <f>SUM(J31,J38,J45,J52,J59)</f>
        <v>1230317</v>
      </c>
      <c r="K66" s="3">
        <f>SUM(K31,K38,K45,K52,K59)</f>
        <v>-4013488</v>
      </c>
      <c r="L66" s="3">
        <f t="shared" ref="L66:L70" si="28">K66-J66</f>
        <v>-5243805</v>
      </c>
      <c r="N66" t="s">
        <v>13</v>
      </c>
      <c r="P66" s="3">
        <f>SUM(P31,P38,P45,P52,P59)</f>
        <v>-1230317</v>
      </c>
      <c r="Q66" s="3">
        <f>SUM(Q31,Q38,Q45,Q52,Q59)</f>
        <v>4013488</v>
      </c>
      <c r="R66" s="3">
        <f t="shared" ref="R66:R70" si="29">Q66-P66</f>
        <v>5243805</v>
      </c>
    </row>
    <row r="67" spans="1:18" x14ac:dyDescent="0.25">
      <c r="B67" t="s">
        <v>14</v>
      </c>
      <c r="D67" s="3">
        <f t="shared" ref="D67:E70" si="30">SUM(D32,D39,D46,D53,D60)</f>
        <v>3168261</v>
      </c>
      <c r="E67" s="3">
        <f t="shared" si="30"/>
        <v>1179924</v>
      </c>
      <c r="F67" s="3">
        <f t="shared" si="27"/>
        <v>-1988337</v>
      </c>
      <c r="H67" t="s">
        <v>14</v>
      </c>
      <c r="J67" s="3">
        <f t="shared" ref="J67:K70" si="31">SUM(J32,J39,J46,J53,J60)</f>
        <v>500705</v>
      </c>
      <c r="K67" s="3">
        <f t="shared" si="31"/>
        <v>-420609</v>
      </c>
      <c r="L67" s="3">
        <f t="shared" si="28"/>
        <v>-921314</v>
      </c>
      <c r="N67" t="s">
        <v>14</v>
      </c>
      <c r="P67" s="3">
        <f t="shared" ref="P67:Q70" si="32">SUM(P32,P39,P46,P53,P60)</f>
        <v>-500705</v>
      </c>
      <c r="Q67" s="3">
        <f t="shared" si="32"/>
        <v>420609</v>
      </c>
      <c r="R67" s="3">
        <f t="shared" si="29"/>
        <v>921314</v>
      </c>
    </row>
    <row r="68" spans="1:18" x14ac:dyDescent="0.25">
      <c r="B68" t="s">
        <v>15</v>
      </c>
      <c r="D68" s="3">
        <f t="shared" si="30"/>
        <v>2215852</v>
      </c>
      <c r="E68" s="3">
        <f t="shared" si="30"/>
        <v>1057039</v>
      </c>
      <c r="F68" s="3">
        <f t="shared" si="27"/>
        <v>-1158813</v>
      </c>
      <c r="H68" t="s">
        <v>15</v>
      </c>
      <c r="J68" s="3">
        <f t="shared" si="31"/>
        <v>1723</v>
      </c>
      <c r="K68" s="3">
        <f t="shared" si="31"/>
        <v>-271439</v>
      </c>
      <c r="L68" s="3">
        <f t="shared" si="28"/>
        <v>-273162</v>
      </c>
      <c r="N68" t="s">
        <v>15</v>
      </c>
      <c r="P68" s="3">
        <f t="shared" si="32"/>
        <v>-1723</v>
      </c>
      <c r="Q68" s="3">
        <f t="shared" si="32"/>
        <v>271439</v>
      </c>
      <c r="R68" s="3">
        <f t="shared" si="29"/>
        <v>273162</v>
      </c>
    </row>
    <row r="69" spans="1:18" x14ac:dyDescent="0.25">
      <c r="B69" t="s">
        <v>16</v>
      </c>
      <c r="D69" s="3">
        <f t="shared" si="30"/>
        <v>3244797</v>
      </c>
      <c r="E69" s="3">
        <f t="shared" si="30"/>
        <v>-929248</v>
      </c>
      <c r="F69" s="3">
        <f t="shared" si="27"/>
        <v>-4174045</v>
      </c>
      <c r="H69" t="s">
        <v>16</v>
      </c>
      <c r="J69" s="3">
        <f t="shared" si="31"/>
        <v>2711</v>
      </c>
      <c r="K69" s="3">
        <f t="shared" si="31"/>
        <v>-2874500</v>
      </c>
      <c r="L69" s="3">
        <f t="shared" si="28"/>
        <v>-2877211</v>
      </c>
      <c r="N69" t="s">
        <v>16</v>
      </c>
      <c r="P69" s="3">
        <f t="shared" si="32"/>
        <v>-2711</v>
      </c>
      <c r="Q69" s="3">
        <f t="shared" si="32"/>
        <v>2874500</v>
      </c>
      <c r="R69" s="3">
        <f t="shared" si="29"/>
        <v>2877211</v>
      </c>
    </row>
    <row r="70" spans="1:18" x14ac:dyDescent="0.25">
      <c r="B70" t="s">
        <v>17</v>
      </c>
      <c r="D70" s="3">
        <f t="shared" si="30"/>
        <v>54002</v>
      </c>
      <c r="E70" s="3">
        <f t="shared" si="30"/>
        <v>31957.999999999996</v>
      </c>
      <c r="F70" s="3">
        <f t="shared" si="27"/>
        <v>-22044.000000000004</v>
      </c>
      <c r="H70" t="s">
        <v>17</v>
      </c>
      <c r="J70" s="3">
        <f t="shared" si="31"/>
        <v>0</v>
      </c>
      <c r="K70" s="3">
        <f t="shared" si="31"/>
        <v>-443</v>
      </c>
      <c r="L70" s="3">
        <f t="shared" si="28"/>
        <v>-443</v>
      </c>
      <c r="N70" t="s">
        <v>17</v>
      </c>
      <c r="P70" s="3">
        <f t="shared" si="32"/>
        <v>0</v>
      </c>
      <c r="Q70" s="3">
        <f t="shared" si="32"/>
        <v>443</v>
      </c>
      <c r="R70" s="3">
        <f t="shared" si="29"/>
        <v>443</v>
      </c>
    </row>
    <row r="71" spans="1:18" ht="15.75" thickBot="1" x14ac:dyDescent="0.3">
      <c r="D71" s="4">
        <f>SUM(D66:D70)</f>
        <v>21924651</v>
      </c>
      <c r="E71" s="4">
        <f>SUM(E66:E70)</f>
        <v>4533038</v>
      </c>
      <c r="F71" s="4">
        <f>SUM(F66:F70)</f>
        <v>-17391613</v>
      </c>
      <c r="J71" s="4">
        <f>SUM(J66:J70)</f>
        <v>1735456</v>
      </c>
      <c r="K71" s="4">
        <f>SUM(K66:K70)</f>
        <v>-7580479</v>
      </c>
      <c r="L71" s="4">
        <f>SUM(L66:L70)</f>
        <v>-9315935</v>
      </c>
      <c r="P71" s="4">
        <f>SUM(P66:P70)</f>
        <v>-1735456</v>
      </c>
      <c r="Q71" s="4">
        <f>SUM(Q66:Q70)</f>
        <v>7580479</v>
      </c>
      <c r="R71" s="4">
        <f>SUM(R66:R70)</f>
        <v>9315935</v>
      </c>
    </row>
  </sheetData>
  <mergeCells count="3">
    <mergeCell ref="D1:F1"/>
    <mergeCell ref="J1:L1"/>
    <mergeCell ref="P1:R1"/>
  </mergeCells>
  <pageMargins left="0.45" right="0.2" top="0.75" bottom="0.75" header="0.3" footer="0.3"/>
  <pageSetup scale="62" fitToHeight="3" orientation="landscape" r:id="rId1"/>
  <headerFooter>
    <oddFooter>&amp;LAvista
&amp;F
&amp;A&amp;RPage &amp;P of &amp;N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/>
  </sheetViews>
  <sheetFormatPr defaultRowHeight="15" x14ac:dyDescent="0.25"/>
  <cols>
    <col min="1" max="1" width="31.5703125" bestFit="1" customWidth="1"/>
    <col min="2" max="2" width="9.28515625" bestFit="1" customWidth="1"/>
    <col min="3" max="3" width="8" bestFit="1" customWidth="1"/>
    <col min="4" max="4" width="13.7109375" bestFit="1" customWidth="1"/>
    <col min="5" max="5" width="12.28515625" bestFit="1" customWidth="1"/>
    <col min="6" max="6" width="11.5703125" bestFit="1" customWidth="1"/>
    <col min="7" max="7" width="1.42578125" customWidth="1"/>
    <col min="8" max="8" width="9.28515625" bestFit="1" customWidth="1"/>
    <col min="9" max="9" width="8" bestFit="1" customWidth="1"/>
    <col min="10" max="10" width="13.7109375" bestFit="1" customWidth="1"/>
    <col min="11" max="11" width="12.28515625" bestFit="1" customWidth="1"/>
    <col min="12" max="12" width="11.5703125" bestFit="1" customWidth="1"/>
    <col min="13" max="13" width="1.7109375" customWidth="1"/>
    <col min="14" max="14" width="9.28515625" bestFit="1" customWidth="1"/>
    <col min="15" max="15" width="8" bestFit="1" customWidth="1"/>
    <col min="16" max="16" width="13.7109375" bestFit="1" customWidth="1"/>
    <col min="17" max="17" width="12.28515625" bestFit="1" customWidth="1"/>
    <col min="18" max="18" width="11" bestFit="1" customWidth="1"/>
  </cols>
  <sheetData>
    <row r="1" spans="1:18" s="9" customFormat="1" ht="15.75" thickBot="1" x14ac:dyDescent="0.3">
      <c r="A1" s="11">
        <v>2020</v>
      </c>
      <c r="D1" s="17" t="s">
        <v>23</v>
      </c>
      <c r="E1" s="18"/>
      <c r="F1" s="19"/>
      <c r="J1" s="17" t="s">
        <v>34</v>
      </c>
      <c r="K1" s="18"/>
      <c r="L1" s="19"/>
      <c r="P1" s="17" t="s">
        <v>35</v>
      </c>
      <c r="Q1" s="18"/>
      <c r="R1" s="19"/>
    </row>
    <row r="2" spans="1:18" s="10" customFormat="1" ht="44.45" customHeight="1" x14ac:dyDescent="0.25">
      <c r="D2" s="10" t="s">
        <v>18</v>
      </c>
      <c r="E2" s="10" t="s">
        <v>19</v>
      </c>
      <c r="F2" s="10" t="s">
        <v>33</v>
      </c>
      <c r="J2" s="10" t="s">
        <v>18</v>
      </c>
      <c r="K2" s="10" t="s">
        <v>19</v>
      </c>
      <c r="L2" s="10" t="s">
        <v>33</v>
      </c>
      <c r="P2" s="10" t="s">
        <v>18</v>
      </c>
      <c r="Q2" s="10" t="s">
        <v>19</v>
      </c>
      <c r="R2" s="10" t="s">
        <v>33</v>
      </c>
    </row>
    <row r="3" spans="1:18" x14ac:dyDescent="0.25">
      <c r="A3" t="s">
        <v>20</v>
      </c>
      <c r="B3" t="s">
        <v>13</v>
      </c>
      <c r="D3" s="3">
        <f>16464460-937899</f>
        <v>15526561</v>
      </c>
      <c r="E3" s="3">
        <f>9878676-562739</f>
        <v>9315937</v>
      </c>
      <c r="F3" s="3">
        <f>E3-D3</f>
        <v>-6210624</v>
      </c>
      <c r="H3" t="s">
        <v>13</v>
      </c>
      <c r="J3" s="3"/>
      <c r="K3" s="3"/>
      <c r="L3" s="3"/>
      <c r="N3" t="s">
        <v>13</v>
      </c>
      <c r="P3" s="3"/>
      <c r="Q3" s="3"/>
      <c r="R3" s="3"/>
    </row>
    <row r="4" spans="1:18" x14ac:dyDescent="0.25">
      <c r="B4" t="s">
        <v>14</v>
      </c>
      <c r="D4" s="3">
        <v>2914757</v>
      </c>
      <c r="E4" s="3">
        <v>1748854</v>
      </c>
      <c r="F4" s="3">
        <f t="shared" ref="F4:F21" si="0">E4-D4</f>
        <v>-1165903</v>
      </c>
      <c r="H4" t="s">
        <v>14</v>
      </c>
      <c r="J4" s="3"/>
      <c r="K4" s="3"/>
      <c r="L4" s="3"/>
      <c r="N4" t="s">
        <v>14</v>
      </c>
      <c r="P4" s="3"/>
      <c r="Q4" s="3"/>
      <c r="R4" s="3"/>
    </row>
    <row r="5" spans="1:18" x14ac:dyDescent="0.25">
      <c r="B5" t="s">
        <v>15</v>
      </c>
      <c r="D5" s="3">
        <v>2165321</v>
      </c>
      <c r="E5" s="3">
        <v>1299193</v>
      </c>
      <c r="F5" s="3">
        <f t="shared" si="0"/>
        <v>-866128</v>
      </c>
      <c r="H5" t="s">
        <v>15</v>
      </c>
      <c r="J5" s="3"/>
      <c r="K5" s="3"/>
      <c r="L5" s="3"/>
      <c r="N5" t="s">
        <v>15</v>
      </c>
      <c r="P5" s="3"/>
      <c r="Q5" s="3"/>
      <c r="R5" s="3"/>
    </row>
    <row r="6" spans="1:18" x14ac:dyDescent="0.25">
      <c r="B6" t="s">
        <v>16</v>
      </c>
      <c r="D6" s="3">
        <v>84842</v>
      </c>
      <c r="E6" s="3">
        <v>50905</v>
      </c>
      <c r="F6" s="3">
        <f t="shared" si="0"/>
        <v>-33937</v>
      </c>
      <c r="H6" t="s">
        <v>16</v>
      </c>
      <c r="J6" s="3"/>
      <c r="K6" s="3"/>
      <c r="L6" s="3"/>
      <c r="N6" t="s">
        <v>16</v>
      </c>
      <c r="P6" s="3"/>
      <c r="Q6" s="3"/>
      <c r="R6" s="3"/>
    </row>
    <row r="7" spans="1:18" x14ac:dyDescent="0.25">
      <c r="B7" t="s">
        <v>17</v>
      </c>
      <c r="D7" s="3">
        <v>54011</v>
      </c>
      <c r="E7" s="3">
        <v>32406</v>
      </c>
      <c r="F7" s="3">
        <f t="shared" si="0"/>
        <v>-21605</v>
      </c>
      <c r="H7" t="s">
        <v>17</v>
      </c>
      <c r="J7" s="3"/>
      <c r="K7" s="3"/>
      <c r="L7" s="3"/>
      <c r="N7" t="s">
        <v>17</v>
      </c>
      <c r="P7" s="3"/>
      <c r="Q7" s="3"/>
      <c r="R7" s="3"/>
    </row>
    <row r="8" spans="1:18" ht="15.75" thickBot="1" x14ac:dyDescent="0.3">
      <c r="D8" s="4">
        <f>SUM(D3:D7)</f>
        <v>20745492</v>
      </c>
      <c r="E8" s="4">
        <f>SUM(E3:E7)</f>
        <v>12447295</v>
      </c>
      <c r="F8" s="4">
        <f>SUM(F3:F7)</f>
        <v>-8298197</v>
      </c>
      <c r="J8" s="4">
        <f>SUM(J3:J7)</f>
        <v>0</v>
      </c>
      <c r="K8" s="4">
        <f>SUM(K3:K7)</f>
        <v>0</v>
      </c>
      <c r="L8" s="4">
        <f>SUM(L3:L7)</f>
        <v>0</v>
      </c>
      <c r="P8" s="4">
        <f>SUM(P3:P7)</f>
        <v>0</v>
      </c>
      <c r="Q8" s="4">
        <f>SUM(Q3:Q7)</f>
        <v>0</v>
      </c>
      <c r="R8" s="4">
        <f>SUM(R3:R7)</f>
        <v>0</v>
      </c>
    </row>
    <row r="9" spans="1:18" x14ac:dyDescent="0.25">
      <c r="D9" s="3"/>
      <c r="E9" s="3"/>
      <c r="F9" s="3"/>
      <c r="J9" s="3"/>
      <c r="K9" s="3"/>
      <c r="L9" s="3"/>
      <c r="P9" s="3"/>
      <c r="Q9" s="3"/>
      <c r="R9" s="3"/>
    </row>
    <row r="10" spans="1:18" x14ac:dyDescent="0.25">
      <c r="A10" t="s">
        <v>21</v>
      </c>
      <c r="B10" t="s">
        <v>13</v>
      </c>
      <c r="D10" s="3">
        <v>1230317</v>
      </c>
      <c r="E10" s="3">
        <f>(1230317/1735456)*1057739</f>
        <v>749863.01771004277</v>
      </c>
      <c r="F10" s="3">
        <f t="shared" si="0"/>
        <v>-480453.98228995723</v>
      </c>
      <c r="H10" t="s">
        <v>13</v>
      </c>
      <c r="J10" s="3">
        <f>D10</f>
        <v>1230317</v>
      </c>
      <c r="K10" s="3">
        <f>E10</f>
        <v>749863.01771004277</v>
      </c>
      <c r="L10" s="3">
        <f t="shared" ref="L10:L14" si="1">K10-J10</f>
        <v>-480453.98228995723</v>
      </c>
      <c r="N10" t="s">
        <v>13</v>
      </c>
      <c r="P10" s="3">
        <f>-D10</f>
        <v>-1230317</v>
      </c>
      <c r="Q10" s="3">
        <f>-E10</f>
        <v>-749863.01771004277</v>
      </c>
      <c r="R10" s="3">
        <f t="shared" ref="R10:R14" si="2">Q10-P10</f>
        <v>480453.98228995723</v>
      </c>
    </row>
    <row r="11" spans="1:18" x14ac:dyDescent="0.25">
      <c r="B11" t="s">
        <v>14</v>
      </c>
      <c r="D11" s="3">
        <v>500705</v>
      </c>
      <c r="E11" s="3">
        <f>(500705/1735456)*1057739</f>
        <v>305173.51404760481</v>
      </c>
      <c r="F11" s="3">
        <f t="shared" si="0"/>
        <v>-195531.48595239519</v>
      </c>
      <c r="H11" t="s">
        <v>14</v>
      </c>
      <c r="J11" s="3">
        <f t="shared" ref="J11:K14" si="3">D11</f>
        <v>500705</v>
      </c>
      <c r="K11" s="3">
        <f t="shared" si="3"/>
        <v>305173.51404760481</v>
      </c>
      <c r="L11" s="3">
        <f t="shared" si="1"/>
        <v>-195531.48595239519</v>
      </c>
      <c r="N11" t="s">
        <v>14</v>
      </c>
      <c r="P11" s="3">
        <f t="shared" ref="P11:Q14" si="4">-D11</f>
        <v>-500705</v>
      </c>
      <c r="Q11" s="3">
        <f t="shared" si="4"/>
        <v>-305173.51404760481</v>
      </c>
      <c r="R11" s="3">
        <f t="shared" si="2"/>
        <v>195531.48595239519</v>
      </c>
    </row>
    <row r="12" spans="1:18" x14ac:dyDescent="0.25">
      <c r="B12" t="s">
        <v>15</v>
      </c>
      <c r="D12" s="3">
        <v>1723</v>
      </c>
      <c r="E12" s="3">
        <f>(1723/1735456)*1057739</f>
        <v>1050.1472218252725</v>
      </c>
      <c r="F12" s="3">
        <f t="shared" si="0"/>
        <v>-672.85277817472752</v>
      </c>
      <c r="H12" t="s">
        <v>15</v>
      </c>
      <c r="J12" s="3">
        <f t="shared" si="3"/>
        <v>1723</v>
      </c>
      <c r="K12" s="3">
        <f t="shared" si="3"/>
        <v>1050.1472218252725</v>
      </c>
      <c r="L12" s="3">
        <f t="shared" si="1"/>
        <v>-672.85277817472752</v>
      </c>
      <c r="N12" t="s">
        <v>15</v>
      </c>
      <c r="P12" s="3">
        <f t="shared" si="4"/>
        <v>-1723</v>
      </c>
      <c r="Q12" s="3">
        <f t="shared" si="4"/>
        <v>-1050.1472218252725</v>
      </c>
      <c r="R12" s="3">
        <f t="shared" si="2"/>
        <v>672.85277817472752</v>
      </c>
    </row>
    <row r="13" spans="1:18" x14ac:dyDescent="0.25">
      <c r="B13" t="s">
        <v>16</v>
      </c>
      <c r="D13" s="3">
        <v>2711</v>
      </c>
      <c r="E13" s="3">
        <f>(2711/1735456)*1057739</f>
        <v>1652.3210205271698</v>
      </c>
      <c r="F13" s="3">
        <f t="shared" si="0"/>
        <v>-1058.6789794728302</v>
      </c>
      <c r="H13" t="s">
        <v>16</v>
      </c>
      <c r="J13" s="3">
        <f t="shared" si="3"/>
        <v>2711</v>
      </c>
      <c r="K13" s="3">
        <f t="shared" si="3"/>
        <v>1652.3210205271698</v>
      </c>
      <c r="L13" s="3">
        <f t="shared" si="1"/>
        <v>-1058.6789794728302</v>
      </c>
      <c r="N13" t="s">
        <v>16</v>
      </c>
      <c r="P13" s="3">
        <f t="shared" si="4"/>
        <v>-2711</v>
      </c>
      <c r="Q13" s="3">
        <f t="shared" si="4"/>
        <v>-1652.3210205271698</v>
      </c>
      <c r="R13" s="3">
        <f t="shared" si="2"/>
        <v>1058.6789794728302</v>
      </c>
    </row>
    <row r="14" spans="1:18" x14ac:dyDescent="0.25">
      <c r="B14" t="s">
        <v>17</v>
      </c>
      <c r="D14" s="3">
        <v>0</v>
      </c>
      <c r="E14" s="3">
        <v>0</v>
      </c>
      <c r="F14" s="3">
        <f t="shared" si="0"/>
        <v>0</v>
      </c>
      <c r="H14" t="s">
        <v>17</v>
      </c>
      <c r="J14" s="3">
        <f t="shared" si="3"/>
        <v>0</v>
      </c>
      <c r="K14" s="3">
        <f t="shared" si="3"/>
        <v>0</v>
      </c>
      <c r="L14" s="3">
        <f t="shared" si="1"/>
        <v>0</v>
      </c>
      <c r="N14" t="s">
        <v>17</v>
      </c>
      <c r="P14" s="3">
        <f t="shared" si="4"/>
        <v>0</v>
      </c>
      <c r="Q14" s="3">
        <f t="shared" si="4"/>
        <v>0</v>
      </c>
      <c r="R14" s="3">
        <f t="shared" si="2"/>
        <v>0</v>
      </c>
    </row>
    <row r="15" spans="1:18" ht="15.75" thickBot="1" x14ac:dyDescent="0.3">
      <c r="D15" s="4">
        <f>SUM(D10:D14)</f>
        <v>1735456</v>
      </c>
      <c r="E15" s="4">
        <f>SUM(E10:E14)</f>
        <v>1057739.0000000002</v>
      </c>
      <c r="F15" s="4">
        <f>SUM(F10:F14)</f>
        <v>-677716.99999999988</v>
      </c>
      <c r="J15" s="4">
        <f>SUM(J10:J14)</f>
        <v>1735456</v>
      </c>
      <c r="K15" s="4">
        <f>SUM(K10:K14)</f>
        <v>1057739.0000000002</v>
      </c>
      <c r="L15" s="4">
        <f>SUM(L10:L14)</f>
        <v>-677716.99999999988</v>
      </c>
      <c r="P15" s="4">
        <f>SUM(P10:P14)</f>
        <v>-1735456</v>
      </c>
      <c r="Q15" s="4">
        <f>SUM(Q10:Q14)</f>
        <v>-1057739.0000000002</v>
      </c>
      <c r="R15" s="4">
        <f>SUM(R10:R14)</f>
        <v>677716.99999999988</v>
      </c>
    </row>
    <row r="16" spans="1:18" x14ac:dyDescent="0.25">
      <c r="D16" s="3"/>
      <c r="E16" s="3"/>
      <c r="F16" s="3"/>
      <c r="J16" s="3"/>
      <c r="K16" s="3"/>
      <c r="L16" s="3"/>
      <c r="P16" s="3"/>
      <c r="Q16" s="3"/>
      <c r="R16" s="3"/>
    </row>
    <row r="17" spans="1:18" x14ac:dyDescent="0.25">
      <c r="A17" t="s">
        <v>22</v>
      </c>
      <c r="B17" t="s">
        <v>13</v>
      </c>
      <c r="D17" s="3">
        <v>0</v>
      </c>
      <c r="E17" s="3">
        <f>-4303440-E10</f>
        <v>-5053303.0177100431</v>
      </c>
      <c r="F17" s="3">
        <f t="shared" si="0"/>
        <v>-5053303.0177100431</v>
      </c>
      <c r="H17" t="s">
        <v>13</v>
      </c>
      <c r="J17" s="3">
        <f>D17</f>
        <v>0</v>
      </c>
      <c r="K17" s="3">
        <f>E17</f>
        <v>-5053303.0177100431</v>
      </c>
      <c r="L17" s="3">
        <f t="shared" ref="L17:L21" si="5">K17-J17</f>
        <v>-5053303.0177100431</v>
      </c>
      <c r="N17" t="s">
        <v>13</v>
      </c>
      <c r="P17" s="3">
        <f>-D17</f>
        <v>0</v>
      </c>
      <c r="Q17" s="3">
        <f>-E17</f>
        <v>5053303.0177100431</v>
      </c>
      <c r="R17" s="3">
        <f t="shared" ref="R17:R21" si="6">Q17-P17</f>
        <v>5053303.0177100431</v>
      </c>
    </row>
    <row r="18" spans="1:18" x14ac:dyDescent="0.25">
      <c r="B18" t="s">
        <v>14</v>
      </c>
      <c r="D18" s="3">
        <v>0</v>
      </c>
      <c r="E18" s="3">
        <f>-581430-E11</f>
        <v>-886603.51404760475</v>
      </c>
      <c r="F18" s="3">
        <f t="shared" si="0"/>
        <v>-886603.51404760475</v>
      </c>
      <c r="H18" t="s">
        <v>14</v>
      </c>
      <c r="J18" s="3">
        <f t="shared" ref="J18:K21" si="7">D18</f>
        <v>0</v>
      </c>
      <c r="K18" s="3">
        <f t="shared" si="7"/>
        <v>-886603.51404760475</v>
      </c>
      <c r="L18" s="3">
        <f t="shared" si="5"/>
        <v>-886603.51404760475</v>
      </c>
      <c r="N18" t="s">
        <v>14</v>
      </c>
      <c r="P18" s="3">
        <f t="shared" ref="P18:Q21" si="8">-D18</f>
        <v>0</v>
      </c>
      <c r="Q18" s="3">
        <f t="shared" si="8"/>
        <v>886603.51404760475</v>
      </c>
      <c r="R18" s="3">
        <f t="shared" si="6"/>
        <v>886603.51404760475</v>
      </c>
    </row>
    <row r="19" spans="1:18" x14ac:dyDescent="0.25">
      <c r="B19" t="s">
        <v>15</v>
      </c>
      <c r="D19" s="3">
        <v>0</v>
      </c>
      <c r="E19" s="3">
        <f>-284003-E12</f>
        <v>-285053.14722182526</v>
      </c>
      <c r="F19" s="3">
        <f t="shared" si="0"/>
        <v>-285053.14722182526</v>
      </c>
      <c r="H19" t="s">
        <v>15</v>
      </c>
      <c r="J19" s="3">
        <f t="shared" si="7"/>
        <v>0</v>
      </c>
      <c r="K19" s="3">
        <f t="shared" si="7"/>
        <v>-285053.14722182526</v>
      </c>
      <c r="L19" s="3">
        <f t="shared" si="5"/>
        <v>-285053.14722182526</v>
      </c>
      <c r="N19" t="s">
        <v>15</v>
      </c>
      <c r="P19" s="3">
        <f t="shared" si="8"/>
        <v>0</v>
      </c>
      <c r="Q19" s="3">
        <f t="shared" si="8"/>
        <v>285053.14722182526</v>
      </c>
      <c r="R19" s="3">
        <f t="shared" si="6"/>
        <v>285053.14722182526</v>
      </c>
    </row>
    <row r="20" spans="1:18" x14ac:dyDescent="0.25">
      <c r="B20" t="s">
        <v>16</v>
      </c>
      <c r="D20" s="3">
        <v>0</v>
      </c>
      <c r="E20" s="3">
        <f>-3732394-E13</f>
        <v>-3734046.3210205273</v>
      </c>
      <c r="F20" s="3">
        <f t="shared" si="0"/>
        <v>-3734046.3210205273</v>
      </c>
      <c r="H20" t="s">
        <v>16</v>
      </c>
      <c r="J20" s="3">
        <f t="shared" si="7"/>
        <v>0</v>
      </c>
      <c r="K20" s="3">
        <f t="shared" si="7"/>
        <v>-3734046.3210205273</v>
      </c>
      <c r="L20" s="3">
        <f t="shared" si="5"/>
        <v>-3734046.3210205273</v>
      </c>
      <c r="N20" t="s">
        <v>16</v>
      </c>
      <c r="P20" s="3">
        <f t="shared" si="8"/>
        <v>0</v>
      </c>
      <c r="Q20" s="3">
        <f t="shared" si="8"/>
        <v>3734046.3210205273</v>
      </c>
      <c r="R20" s="3">
        <f t="shared" si="6"/>
        <v>3734046.3210205273</v>
      </c>
    </row>
    <row r="21" spans="1:18" x14ac:dyDescent="0.25">
      <c r="B21" t="s">
        <v>17</v>
      </c>
      <c r="D21" s="3">
        <v>0</v>
      </c>
      <c r="E21" s="3">
        <f>-442-E14</f>
        <v>-442</v>
      </c>
      <c r="F21" s="3">
        <f t="shared" si="0"/>
        <v>-442</v>
      </c>
      <c r="H21" t="s">
        <v>17</v>
      </c>
      <c r="J21" s="3">
        <f t="shared" si="7"/>
        <v>0</v>
      </c>
      <c r="K21" s="3">
        <f t="shared" si="7"/>
        <v>-442</v>
      </c>
      <c r="L21" s="3">
        <f t="shared" si="5"/>
        <v>-442</v>
      </c>
      <c r="N21" t="s">
        <v>17</v>
      </c>
      <c r="P21" s="3">
        <f t="shared" si="8"/>
        <v>0</v>
      </c>
      <c r="Q21" s="3">
        <f t="shared" si="8"/>
        <v>442</v>
      </c>
      <c r="R21" s="3">
        <f t="shared" si="6"/>
        <v>442</v>
      </c>
    </row>
    <row r="22" spans="1:18" ht="15.75" thickBot="1" x14ac:dyDescent="0.3">
      <c r="D22" s="4">
        <f>SUM(D17:D21)</f>
        <v>0</v>
      </c>
      <c r="E22" s="4">
        <f>SUM(E17:E21)</f>
        <v>-9959448</v>
      </c>
      <c r="F22" s="4">
        <f>SUM(F17:F21)</f>
        <v>-9959448</v>
      </c>
      <c r="J22" s="4">
        <f>SUM(J17:J21)</f>
        <v>0</v>
      </c>
      <c r="K22" s="4">
        <f>SUM(K17:K21)</f>
        <v>-9959448</v>
      </c>
      <c r="L22" s="4">
        <f>SUM(L17:L21)</f>
        <v>-9959448</v>
      </c>
      <c r="P22" s="4">
        <f>SUM(P17:P21)</f>
        <v>0</v>
      </c>
      <c r="Q22" s="4">
        <f>SUM(Q17:Q21)</f>
        <v>9959448</v>
      </c>
      <c r="R22" s="4">
        <f>SUM(R17:R21)</f>
        <v>9959448</v>
      </c>
    </row>
    <row r="23" spans="1:18" x14ac:dyDescent="0.25">
      <c r="D23" s="3"/>
      <c r="E23" s="3"/>
      <c r="F23" s="3"/>
      <c r="J23" s="3"/>
      <c r="K23" s="3"/>
      <c r="L23" s="3"/>
      <c r="P23" s="3"/>
      <c r="Q23" s="3"/>
      <c r="R23" s="3"/>
    </row>
    <row r="24" spans="1:18" x14ac:dyDescent="0.25">
      <c r="A24" t="s">
        <v>6</v>
      </c>
      <c r="B24" t="s">
        <v>13</v>
      </c>
      <c r="D24" s="3">
        <f>SUM(D3,D10,D17)</f>
        <v>16756878</v>
      </c>
      <c r="E24" s="3">
        <f>SUM(E3,E10,E17)</f>
        <v>5012497</v>
      </c>
      <c r="F24" s="3">
        <f>SUM(F3,F10,F17)</f>
        <v>-11744381</v>
      </c>
      <c r="H24" t="s">
        <v>13</v>
      </c>
      <c r="J24" s="3">
        <f>SUM(J3,J10,J17)</f>
        <v>1230317</v>
      </c>
      <c r="K24" s="3">
        <f>SUM(K3,K10,K17)</f>
        <v>-4303440</v>
      </c>
      <c r="L24" s="3">
        <f>SUM(L3,L10,L17)</f>
        <v>-5533757</v>
      </c>
      <c r="N24" t="s">
        <v>13</v>
      </c>
      <c r="P24" s="3">
        <f>SUM(P3,P10,P17)</f>
        <v>-1230317</v>
      </c>
      <c r="Q24" s="3">
        <f>SUM(Q3,Q10,Q17)</f>
        <v>4303440</v>
      </c>
      <c r="R24" s="3">
        <f>SUM(R3,R10,R17)</f>
        <v>5533757</v>
      </c>
    </row>
    <row r="25" spans="1:18" x14ac:dyDescent="0.25">
      <c r="B25" t="s">
        <v>14</v>
      </c>
      <c r="D25" s="3">
        <f t="shared" ref="D25:F28" si="9">SUM(D4,D11,D18)</f>
        <v>3415462</v>
      </c>
      <c r="E25" s="3">
        <f t="shared" si="9"/>
        <v>1167424</v>
      </c>
      <c r="F25" s="3">
        <f t="shared" si="9"/>
        <v>-2248038</v>
      </c>
      <c r="H25" t="s">
        <v>14</v>
      </c>
      <c r="J25" s="3">
        <f t="shared" ref="J25:L28" si="10">SUM(J4,J11,J18)</f>
        <v>500705</v>
      </c>
      <c r="K25" s="3">
        <f t="shared" si="10"/>
        <v>-581430</v>
      </c>
      <c r="L25" s="3">
        <f t="shared" si="10"/>
        <v>-1082135</v>
      </c>
      <c r="N25" t="s">
        <v>14</v>
      </c>
      <c r="P25" s="3">
        <f t="shared" ref="P25:R28" si="11">SUM(P4,P11,P18)</f>
        <v>-500705</v>
      </c>
      <c r="Q25" s="3">
        <f t="shared" si="11"/>
        <v>581430</v>
      </c>
      <c r="R25" s="3">
        <f t="shared" si="11"/>
        <v>1082135</v>
      </c>
    </row>
    <row r="26" spans="1:18" x14ac:dyDescent="0.25">
      <c r="B26" t="s">
        <v>15</v>
      </c>
      <c r="D26" s="3">
        <f t="shared" si="9"/>
        <v>2167044</v>
      </c>
      <c r="E26" s="3">
        <f t="shared" si="9"/>
        <v>1015190</v>
      </c>
      <c r="F26" s="3">
        <f t="shared" si="9"/>
        <v>-1151854</v>
      </c>
      <c r="H26" t="s">
        <v>15</v>
      </c>
      <c r="J26" s="3">
        <f t="shared" si="10"/>
        <v>1723</v>
      </c>
      <c r="K26" s="3">
        <f t="shared" si="10"/>
        <v>-284003</v>
      </c>
      <c r="L26" s="3">
        <f t="shared" si="10"/>
        <v>-285726</v>
      </c>
      <c r="N26" t="s">
        <v>15</v>
      </c>
      <c r="P26" s="3">
        <f t="shared" si="11"/>
        <v>-1723</v>
      </c>
      <c r="Q26" s="3">
        <f t="shared" si="11"/>
        <v>284003</v>
      </c>
      <c r="R26" s="3">
        <f t="shared" si="11"/>
        <v>285726</v>
      </c>
    </row>
    <row r="27" spans="1:18" x14ac:dyDescent="0.25">
      <c r="B27" t="s">
        <v>16</v>
      </c>
      <c r="D27" s="3">
        <f t="shared" si="9"/>
        <v>87553</v>
      </c>
      <c r="E27" s="3">
        <f t="shared" si="9"/>
        <v>-3681489</v>
      </c>
      <c r="F27" s="3">
        <f t="shared" si="9"/>
        <v>-3769042</v>
      </c>
      <c r="H27" t="s">
        <v>16</v>
      </c>
      <c r="J27" s="3">
        <f t="shared" si="10"/>
        <v>2711</v>
      </c>
      <c r="K27" s="3">
        <f t="shared" si="10"/>
        <v>-3732394</v>
      </c>
      <c r="L27" s="3">
        <f t="shared" si="10"/>
        <v>-3735105</v>
      </c>
      <c r="N27" t="s">
        <v>16</v>
      </c>
      <c r="P27" s="3">
        <f t="shared" si="11"/>
        <v>-2711</v>
      </c>
      <c r="Q27" s="3">
        <f t="shared" si="11"/>
        <v>3732394</v>
      </c>
      <c r="R27" s="3">
        <f t="shared" si="11"/>
        <v>3735105</v>
      </c>
    </row>
    <row r="28" spans="1:18" x14ac:dyDescent="0.25">
      <c r="B28" t="s">
        <v>17</v>
      </c>
      <c r="D28" s="3">
        <f t="shared" si="9"/>
        <v>54011</v>
      </c>
      <c r="E28" s="3">
        <f t="shared" si="9"/>
        <v>31964</v>
      </c>
      <c r="F28" s="3">
        <f t="shared" si="9"/>
        <v>-22047</v>
      </c>
      <c r="H28" t="s">
        <v>17</v>
      </c>
      <c r="J28" s="3">
        <f t="shared" si="10"/>
        <v>0</v>
      </c>
      <c r="K28" s="3">
        <f t="shared" si="10"/>
        <v>-442</v>
      </c>
      <c r="L28" s="3">
        <f t="shared" si="10"/>
        <v>-442</v>
      </c>
      <c r="N28" t="s">
        <v>17</v>
      </c>
      <c r="P28" s="3">
        <f t="shared" si="11"/>
        <v>0</v>
      </c>
      <c r="Q28" s="3">
        <f t="shared" si="11"/>
        <v>442</v>
      </c>
      <c r="R28" s="3">
        <f t="shared" si="11"/>
        <v>442</v>
      </c>
    </row>
    <row r="29" spans="1:18" ht="15.75" thickBot="1" x14ac:dyDescent="0.3">
      <c r="D29" s="4">
        <f>SUM(D24:D28)</f>
        <v>22480948</v>
      </c>
      <c r="E29" s="4">
        <f>SUM(E24:E28)</f>
        <v>3545586</v>
      </c>
      <c r="F29" s="4">
        <f>SUM(F24:F28)</f>
        <v>-18935362</v>
      </c>
      <c r="J29" s="4">
        <f>SUM(J24:J28)</f>
        <v>1735456</v>
      </c>
      <c r="K29" s="4">
        <f>SUM(K24:K28)</f>
        <v>-8901709</v>
      </c>
      <c r="L29" s="4">
        <f>SUM(L24:L28)</f>
        <v>-10637165</v>
      </c>
      <c r="P29" s="4">
        <f>SUM(P24:P28)</f>
        <v>-1735456</v>
      </c>
      <c r="Q29" s="4">
        <f>SUM(Q24:Q28)</f>
        <v>8901709</v>
      </c>
      <c r="R29" s="4">
        <f>SUM(R24:R28)</f>
        <v>10637165</v>
      </c>
    </row>
    <row r="30" spans="1:18" x14ac:dyDescent="0.25">
      <c r="D30" s="3"/>
      <c r="E30" s="3"/>
      <c r="F30" s="3"/>
      <c r="J30" s="3"/>
      <c r="K30" s="3"/>
      <c r="L30" s="3"/>
      <c r="P30" s="3"/>
      <c r="Q30" s="3"/>
      <c r="R30" s="3"/>
    </row>
    <row r="31" spans="1:18" x14ac:dyDescent="0.25">
      <c r="A31" t="s">
        <v>28</v>
      </c>
      <c r="B31" t="s">
        <v>13</v>
      </c>
      <c r="C31" s="6">
        <f>'Allocation Factors'!$F$5</f>
        <v>0.68249000000000004</v>
      </c>
      <c r="D31" s="3">
        <f>$D$24*C31</f>
        <v>11436401.66622</v>
      </c>
      <c r="E31" s="3">
        <f>$E$24*C31</f>
        <v>3420979.0775300004</v>
      </c>
      <c r="F31" s="3">
        <f t="shared" ref="F31:F35" si="12">E31-D31</f>
        <v>-8015422.5886899997</v>
      </c>
      <c r="H31" t="s">
        <v>13</v>
      </c>
      <c r="I31" s="6">
        <f>'Allocation Factors'!$F$5</f>
        <v>0.68249000000000004</v>
      </c>
      <c r="J31" s="3">
        <f>$J$24*I31</f>
        <v>839679.04933000007</v>
      </c>
      <c r="K31" s="3">
        <f>$K$24*I31</f>
        <v>-2937054.7656</v>
      </c>
      <c r="L31" s="3">
        <f t="shared" ref="L31:L35" si="13">K31-J31</f>
        <v>-3776733.8149300003</v>
      </c>
      <c r="N31" t="s">
        <v>13</v>
      </c>
      <c r="O31" s="6">
        <f>'Allocation Factors'!$F$5</f>
        <v>0.68249000000000004</v>
      </c>
      <c r="P31" s="3">
        <f>$P$24*O31</f>
        <v>-839679.04933000007</v>
      </c>
      <c r="Q31" s="3">
        <f>$Q$24*O31</f>
        <v>2937054.7656</v>
      </c>
      <c r="R31" s="3">
        <f t="shared" ref="R31:R35" si="14">Q31-P31</f>
        <v>3776733.8149300003</v>
      </c>
    </row>
    <row r="32" spans="1:18" x14ac:dyDescent="0.25">
      <c r="B32" t="s">
        <v>14</v>
      </c>
      <c r="C32" s="6">
        <v>0</v>
      </c>
      <c r="D32" s="3">
        <f>$D$25*C32</f>
        <v>0</v>
      </c>
      <c r="E32" s="3">
        <f>$E$25*C32</f>
        <v>0</v>
      </c>
      <c r="F32" s="3">
        <f t="shared" si="12"/>
        <v>0</v>
      </c>
      <c r="H32" t="s">
        <v>14</v>
      </c>
      <c r="I32" s="6">
        <v>0</v>
      </c>
      <c r="J32" s="3">
        <f>$J$25*I32</f>
        <v>0</v>
      </c>
      <c r="K32" s="3">
        <f>$K$25*I32</f>
        <v>0</v>
      </c>
      <c r="L32" s="3">
        <f t="shared" si="13"/>
        <v>0</v>
      </c>
      <c r="N32" t="s">
        <v>14</v>
      </c>
      <c r="O32" s="6">
        <v>0</v>
      </c>
      <c r="P32" s="3">
        <f>$P$25*O32</f>
        <v>0</v>
      </c>
      <c r="Q32" s="3">
        <f>$Q$25*O32</f>
        <v>0</v>
      </c>
      <c r="R32" s="3">
        <f t="shared" si="14"/>
        <v>0</v>
      </c>
    </row>
    <row r="33" spans="1:18" x14ac:dyDescent="0.25">
      <c r="B33" t="s">
        <v>15</v>
      </c>
      <c r="C33" s="6">
        <v>0</v>
      </c>
      <c r="D33" s="3">
        <f>$D$26*C33</f>
        <v>0</v>
      </c>
      <c r="E33" s="3">
        <f>$E$26*C33</f>
        <v>0</v>
      </c>
      <c r="F33" s="3">
        <f t="shared" si="12"/>
        <v>0</v>
      </c>
      <c r="H33" t="s">
        <v>15</v>
      </c>
      <c r="I33" s="6">
        <v>0</v>
      </c>
      <c r="J33" s="3">
        <f>$J$26*I33</f>
        <v>0</v>
      </c>
      <c r="K33" s="3">
        <f>$K$26*I33</f>
        <v>0</v>
      </c>
      <c r="L33" s="3">
        <f t="shared" si="13"/>
        <v>0</v>
      </c>
      <c r="N33" t="s">
        <v>15</v>
      </c>
      <c r="O33" s="6">
        <v>0</v>
      </c>
      <c r="P33" s="3">
        <f>$P$26*O33</f>
        <v>0</v>
      </c>
      <c r="Q33" s="3">
        <f>$Q$26*O33</f>
        <v>0</v>
      </c>
      <c r="R33" s="3">
        <f t="shared" si="14"/>
        <v>0</v>
      </c>
    </row>
    <row r="34" spans="1:18" x14ac:dyDescent="0.25">
      <c r="B34" t="s">
        <v>16</v>
      </c>
      <c r="C34" s="6">
        <f>'Allocation Factors'!$F$10</f>
        <v>0.47866436150000002</v>
      </c>
      <c r="D34" s="3">
        <f>$D$27*C34</f>
        <v>41908.500842409499</v>
      </c>
      <c r="E34" s="3">
        <f>$E$27*C34</f>
        <v>-1762197.5815542736</v>
      </c>
      <c r="F34" s="3">
        <f t="shared" si="12"/>
        <v>-1804106.0823966831</v>
      </c>
      <c r="H34" t="s">
        <v>16</v>
      </c>
      <c r="I34" s="6">
        <f>'Allocation Factors'!$F$10</f>
        <v>0.47866436150000002</v>
      </c>
      <c r="J34" s="3">
        <f>$J$27*I34</f>
        <v>1297.6590840265001</v>
      </c>
      <c r="K34" s="3">
        <f>$K$27*I34</f>
        <v>-1786563.9908764311</v>
      </c>
      <c r="L34" s="3">
        <f t="shared" si="13"/>
        <v>-1787861.6499604576</v>
      </c>
      <c r="N34" t="s">
        <v>16</v>
      </c>
      <c r="O34" s="6">
        <f>'Allocation Factors'!$F$10</f>
        <v>0.47866436150000002</v>
      </c>
      <c r="P34" s="3">
        <f>$P$27*O34</f>
        <v>-1297.6590840265001</v>
      </c>
      <c r="Q34" s="3">
        <f>$Q$27*O34</f>
        <v>1786563.9908764311</v>
      </c>
      <c r="R34" s="3">
        <f t="shared" si="14"/>
        <v>1787861.6499604576</v>
      </c>
    </row>
    <row r="35" spans="1:18" x14ac:dyDescent="0.25">
      <c r="B35" t="s">
        <v>17</v>
      </c>
      <c r="C35" s="6">
        <f>'Allocation Factors'!$F$12</f>
        <v>0.53039710350000002</v>
      </c>
      <c r="D35" s="3">
        <f>$D$28*C35</f>
        <v>28647.2779571385</v>
      </c>
      <c r="E35" s="3">
        <f>$E$28*C35</f>
        <v>16953.613016274001</v>
      </c>
      <c r="F35" s="3">
        <f t="shared" si="12"/>
        <v>-11693.664940864499</v>
      </c>
      <c r="H35" t="s">
        <v>17</v>
      </c>
      <c r="I35" s="6">
        <f>'Allocation Factors'!$F$12</f>
        <v>0.53039710350000002</v>
      </c>
      <c r="J35" s="3">
        <f>$J$28*I35</f>
        <v>0</v>
      </c>
      <c r="K35" s="3">
        <f>$K$28*I35</f>
        <v>-234.435519747</v>
      </c>
      <c r="L35" s="3">
        <f t="shared" si="13"/>
        <v>-234.435519747</v>
      </c>
      <c r="N35" t="s">
        <v>17</v>
      </c>
      <c r="O35" s="6">
        <f>'Allocation Factors'!$F$12</f>
        <v>0.53039710350000002</v>
      </c>
      <c r="P35" s="3">
        <f>$P$28*O35</f>
        <v>0</v>
      </c>
      <c r="Q35" s="3">
        <f>$Q$28*O35</f>
        <v>234.435519747</v>
      </c>
      <c r="R35" s="3">
        <f t="shared" si="14"/>
        <v>234.435519747</v>
      </c>
    </row>
    <row r="36" spans="1:18" ht="15.75" thickBot="1" x14ac:dyDescent="0.3">
      <c r="C36" s="6"/>
      <c r="D36" s="4">
        <f>SUM(D31:D35)</f>
        <v>11506957.445019547</v>
      </c>
      <c r="E36" s="4">
        <f>SUM(E31:E35)</f>
        <v>1675735.1089920008</v>
      </c>
      <c r="F36" s="4">
        <f>SUM(F31:F35)</f>
        <v>-9831222.3360275459</v>
      </c>
      <c r="I36" s="6"/>
      <c r="J36" s="4">
        <f>SUM(J31:J35)</f>
        <v>840976.70841402654</v>
      </c>
      <c r="K36" s="4">
        <f>SUM(K31:K35)</f>
        <v>-4723853.1919961786</v>
      </c>
      <c r="L36" s="4">
        <f>SUM(L31:L35)</f>
        <v>-5564829.9004102051</v>
      </c>
      <c r="O36" s="6"/>
      <c r="P36" s="4">
        <f>SUM(P31:P35)</f>
        <v>-840976.70841402654</v>
      </c>
      <c r="Q36" s="4">
        <f>SUM(Q31:Q35)</f>
        <v>4723853.1919961786</v>
      </c>
      <c r="R36" s="4">
        <f>SUM(R31:R35)</f>
        <v>5564829.9004102051</v>
      </c>
    </row>
    <row r="37" spans="1:18" x14ac:dyDescent="0.25">
      <c r="C37" s="6"/>
      <c r="D37" s="8"/>
      <c r="E37" s="8"/>
      <c r="F37" s="8"/>
      <c r="I37" s="6"/>
      <c r="J37" s="8"/>
      <c r="K37" s="8"/>
      <c r="L37" s="8"/>
      <c r="O37" s="6"/>
      <c r="P37" s="8"/>
      <c r="Q37" s="8"/>
      <c r="R37" s="8"/>
    </row>
    <row r="38" spans="1:18" x14ac:dyDescent="0.25">
      <c r="A38" t="s">
        <v>29</v>
      </c>
      <c r="B38" t="s">
        <v>13</v>
      </c>
      <c r="C38" s="6">
        <f>'Allocation Factors'!$G$5</f>
        <v>0.31750999999999996</v>
      </c>
      <c r="D38" s="3">
        <f>$D$24*C38</f>
        <v>5320476.3337799991</v>
      </c>
      <c r="E38" s="3">
        <f>$E$24*C38</f>
        <v>1591517.9224699999</v>
      </c>
      <c r="F38" s="3">
        <f t="shared" ref="F38:F42" si="15">E38-D38</f>
        <v>-3728958.4113099994</v>
      </c>
      <c r="H38" t="s">
        <v>13</v>
      </c>
      <c r="I38" s="6">
        <f>'Allocation Factors'!$G$5</f>
        <v>0.31750999999999996</v>
      </c>
      <c r="J38" s="3">
        <f>$J$24*I38</f>
        <v>390637.95066999993</v>
      </c>
      <c r="K38" s="3">
        <f>$K$24*I38</f>
        <v>-1366385.2343999997</v>
      </c>
      <c r="L38" s="3">
        <f t="shared" ref="L38:L42" si="16">K38-J38</f>
        <v>-1757023.1850699997</v>
      </c>
      <c r="N38" t="s">
        <v>13</v>
      </c>
      <c r="O38" s="6">
        <f>'Allocation Factors'!$G$5</f>
        <v>0.31750999999999996</v>
      </c>
      <c r="P38" s="3">
        <f>$P$24*O38</f>
        <v>-390637.95066999993</v>
      </c>
      <c r="Q38" s="3">
        <f>$Q$24*O38</f>
        <v>1366385.2343999997</v>
      </c>
      <c r="R38" s="3">
        <f t="shared" ref="R38:R42" si="17">Q38-P38</f>
        <v>1757023.1850699997</v>
      </c>
    </row>
    <row r="39" spans="1:18" x14ac:dyDescent="0.25">
      <c r="B39" t="s">
        <v>14</v>
      </c>
      <c r="C39" s="6">
        <v>0</v>
      </c>
      <c r="D39" s="3">
        <f>$D$25*C39</f>
        <v>0</v>
      </c>
      <c r="E39" s="3">
        <f>$E$25*C39</f>
        <v>0</v>
      </c>
      <c r="F39" s="3">
        <f t="shared" si="15"/>
        <v>0</v>
      </c>
      <c r="H39" t="s">
        <v>14</v>
      </c>
      <c r="I39" s="6">
        <v>0</v>
      </c>
      <c r="J39" s="3">
        <f>$J$25*I39</f>
        <v>0</v>
      </c>
      <c r="K39" s="3">
        <f>$K$25*I39</f>
        <v>0</v>
      </c>
      <c r="L39" s="3">
        <f t="shared" si="16"/>
        <v>0</v>
      </c>
      <c r="N39" t="s">
        <v>14</v>
      </c>
      <c r="O39" s="6">
        <v>0</v>
      </c>
      <c r="P39" s="3">
        <f>$P$25*O39</f>
        <v>0</v>
      </c>
      <c r="Q39" s="3">
        <f>$Q$25*O39</f>
        <v>0</v>
      </c>
      <c r="R39" s="3">
        <f t="shared" si="17"/>
        <v>0</v>
      </c>
    </row>
    <row r="40" spans="1:18" x14ac:dyDescent="0.25">
      <c r="B40" t="s">
        <v>15</v>
      </c>
      <c r="C40" s="6">
        <v>0</v>
      </c>
      <c r="D40" s="3">
        <f>$D$26*C40</f>
        <v>0</v>
      </c>
      <c r="E40" s="3">
        <f>$E$26*C40</f>
        <v>0</v>
      </c>
      <c r="F40" s="3">
        <f t="shared" si="15"/>
        <v>0</v>
      </c>
      <c r="H40" t="s">
        <v>15</v>
      </c>
      <c r="I40" s="6">
        <v>0</v>
      </c>
      <c r="J40" s="3">
        <f>$J$26*I40</f>
        <v>0</v>
      </c>
      <c r="K40" s="3">
        <f>$K$26*I40</f>
        <v>0</v>
      </c>
      <c r="L40" s="3">
        <f t="shared" si="16"/>
        <v>0</v>
      </c>
      <c r="N40" t="s">
        <v>15</v>
      </c>
      <c r="O40" s="6">
        <v>0</v>
      </c>
      <c r="P40" s="3">
        <f>$P$26*O40</f>
        <v>0</v>
      </c>
      <c r="Q40" s="3">
        <f>$Q$26*O40</f>
        <v>0</v>
      </c>
      <c r="R40" s="3">
        <f t="shared" si="17"/>
        <v>0</v>
      </c>
    </row>
    <row r="41" spans="1:18" x14ac:dyDescent="0.25">
      <c r="B41" t="s">
        <v>16</v>
      </c>
      <c r="C41" s="6">
        <f>'Allocation Factors'!$G$10</f>
        <v>0.22268563849999998</v>
      </c>
      <c r="D41" s="3">
        <f>$D$27*C41</f>
        <v>19496.7957075905</v>
      </c>
      <c r="E41" s="3">
        <f>$E$27*C41</f>
        <v>-819814.72859572642</v>
      </c>
      <c r="F41" s="3">
        <f t="shared" si="15"/>
        <v>-839311.52430331695</v>
      </c>
      <c r="H41" t="s">
        <v>16</v>
      </c>
      <c r="I41" s="6">
        <f>'Allocation Factors'!$G$10</f>
        <v>0.22268563849999998</v>
      </c>
      <c r="J41" s="3">
        <f>$J$27*I41</f>
        <v>603.70076597349998</v>
      </c>
      <c r="K41" s="3">
        <f>$K$27*I41</f>
        <v>-831150.54102356895</v>
      </c>
      <c r="L41" s="3">
        <f t="shared" si="16"/>
        <v>-831754.24178954249</v>
      </c>
      <c r="N41" t="s">
        <v>16</v>
      </c>
      <c r="O41" s="6">
        <f>'Allocation Factors'!$G$10</f>
        <v>0.22268563849999998</v>
      </c>
      <c r="P41" s="3">
        <f>$P$27*O41</f>
        <v>-603.70076597349998</v>
      </c>
      <c r="Q41" s="3">
        <f>$Q$27*O41</f>
        <v>831150.54102356895</v>
      </c>
      <c r="R41" s="3">
        <f t="shared" si="17"/>
        <v>831754.24178954249</v>
      </c>
    </row>
    <row r="42" spans="1:18" x14ac:dyDescent="0.25">
      <c r="B42" t="s">
        <v>17</v>
      </c>
      <c r="C42" s="6">
        <f>'Allocation Factors'!$G$12</f>
        <v>0.24675289649999996</v>
      </c>
      <c r="D42" s="3">
        <f>$D$28*C42</f>
        <v>13327.370692861497</v>
      </c>
      <c r="E42" s="3">
        <f>$E$28*C42</f>
        <v>7887.2095837259985</v>
      </c>
      <c r="F42" s="3">
        <f t="shared" si="15"/>
        <v>-5440.1611091354989</v>
      </c>
      <c r="H42" t="s">
        <v>17</v>
      </c>
      <c r="I42" s="6">
        <f>'Allocation Factors'!$G$12</f>
        <v>0.24675289649999996</v>
      </c>
      <c r="J42" s="3">
        <f>$J$28*I42</f>
        <v>0</v>
      </c>
      <c r="K42" s="3">
        <f>$K$28*I42</f>
        <v>-109.06478025299998</v>
      </c>
      <c r="L42" s="3">
        <f t="shared" si="16"/>
        <v>-109.06478025299998</v>
      </c>
      <c r="N42" t="s">
        <v>17</v>
      </c>
      <c r="O42" s="6">
        <f>'Allocation Factors'!$G$12</f>
        <v>0.24675289649999996</v>
      </c>
      <c r="P42" s="3">
        <f>$P$28*O42</f>
        <v>0</v>
      </c>
      <c r="Q42" s="3">
        <f>$Q$28*O42</f>
        <v>109.06478025299998</v>
      </c>
      <c r="R42" s="3">
        <f t="shared" si="17"/>
        <v>109.06478025299998</v>
      </c>
    </row>
    <row r="43" spans="1:18" ht="15.75" thickBot="1" x14ac:dyDescent="0.3">
      <c r="C43" s="6"/>
      <c r="D43" s="4">
        <f>SUM(D38:D42)</f>
        <v>5353300.5001804512</v>
      </c>
      <c r="E43" s="4">
        <f>SUM(E38:E42)</f>
        <v>779590.40345799946</v>
      </c>
      <c r="F43" s="4">
        <f>SUM(F38:F42)</f>
        <v>-4573710.096722452</v>
      </c>
      <c r="I43" s="6"/>
      <c r="J43" s="4">
        <f>SUM(J38:J42)</f>
        <v>391241.65143597341</v>
      </c>
      <c r="K43" s="4">
        <f>SUM(K38:K42)</f>
        <v>-2197644.8402038217</v>
      </c>
      <c r="L43" s="4">
        <f>SUM(L38:L42)</f>
        <v>-2588886.4916397952</v>
      </c>
      <c r="O43" s="6"/>
      <c r="P43" s="4">
        <f>SUM(P38:P42)</f>
        <v>-391241.65143597341</v>
      </c>
      <c r="Q43" s="4">
        <f>SUM(Q38:Q42)</f>
        <v>2197644.8402038217</v>
      </c>
      <c r="R43" s="4">
        <f>SUM(R38:R42)</f>
        <v>2588886.4916397952</v>
      </c>
    </row>
    <row r="44" spans="1:18" x14ac:dyDescent="0.25">
      <c r="C44" s="6"/>
      <c r="D44" s="3"/>
      <c r="E44" s="3"/>
      <c r="F44" s="3"/>
      <c r="I44" s="6"/>
      <c r="J44" s="3"/>
      <c r="K44" s="3"/>
      <c r="L44" s="3"/>
      <c r="O44" s="6"/>
      <c r="P44" s="3"/>
      <c r="Q44" s="3"/>
      <c r="R44" s="3"/>
    </row>
    <row r="45" spans="1:18" x14ac:dyDescent="0.25">
      <c r="A45" t="s">
        <v>30</v>
      </c>
      <c r="B45" t="s">
        <v>13</v>
      </c>
      <c r="C45" s="6">
        <v>0</v>
      </c>
      <c r="D45" s="3">
        <f>$D$24*C45</f>
        <v>0</v>
      </c>
      <c r="E45" s="3">
        <f>$E$24*C45</f>
        <v>0</v>
      </c>
      <c r="F45" s="3">
        <f t="shared" ref="F45:F49" si="18">E45-D45</f>
        <v>0</v>
      </c>
      <c r="H45" t="s">
        <v>13</v>
      </c>
      <c r="I45" s="6">
        <v>0</v>
      </c>
      <c r="J45" s="3">
        <f>$J$24*I45</f>
        <v>0</v>
      </c>
      <c r="K45" s="3">
        <f>$K$24*I45</f>
        <v>0</v>
      </c>
      <c r="L45" s="3">
        <f t="shared" ref="L45:L49" si="19">K45-J45</f>
        <v>0</v>
      </c>
      <c r="N45" t="s">
        <v>13</v>
      </c>
      <c r="O45" s="6">
        <v>0</v>
      </c>
      <c r="P45" s="3">
        <f>$P$24*O45</f>
        <v>0</v>
      </c>
      <c r="Q45" s="3">
        <f>$Q$24*O45</f>
        <v>0</v>
      </c>
      <c r="R45" s="3">
        <f t="shared" ref="R45:R49" si="20">Q45-P45</f>
        <v>0</v>
      </c>
    </row>
    <row r="46" spans="1:18" x14ac:dyDescent="0.25">
      <c r="B46" t="s">
        <v>14</v>
      </c>
      <c r="C46" s="6">
        <f>'Allocation Factors'!$F$7</f>
        <v>0.71353</v>
      </c>
      <c r="D46" s="3">
        <f>$D$25*C46</f>
        <v>2437034.6008600001</v>
      </c>
      <c r="E46" s="3">
        <f>$E$25*C46</f>
        <v>832992.04671999998</v>
      </c>
      <c r="F46" s="3">
        <f t="shared" si="18"/>
        <v>-1604042.5541400001</v>
      </c>
      <c r="H46" t="s">
        <v>14</v>
      </c>
      <c r="I46" s="6">
        <f>'Allocation Factors'!$F$7</f>
        <v>0.71353</v>
      </c>
      <c r="J46" s="3">
        <f>$J$25*I46</f>
        <v>357268.03865</v>
      </c>
      <c r="K46" s="3">
        <f>$K$25*I46</f>
        <v>-414867.74790000002</v>
      </c>
      <c r="L46" s="3">
        <f t="shared" si="19"/>
        <v>-772135.78655000008</v>
      </c>
      <c r="N46" t="s">
        <v>14</v>
      </c>
      <c r="O46" s="6">
        <f>'Allocation Factors'!$F$7</f>
        <v>0.71353</v>
      </c>
      <c r="P46" s="3">
        <f>$P$25*O46</f>
        <v>-357268.03865</v>
      </c>
      <c r="Q46" s="3">
        <f>$Q$25*O46</f>
        <v>414867.74790000002</v>
      </c>
      <c r="R46" s="3">
        <f t="shared" si="20"/>
        <v>772135.78655000008</v>
      </c>
    </row>
    <row r="47" spans="1:18" x14ac:dyDescent="0.25">
      <c r="B47" t="s">
        <v>15</v>
      </c>
      <c r="C47" s="6">
        <v>0</v>
      </c>
      <c r="D47" s="3">
        <f>$D$26*C47</f>
        <v>0</v>
      </c>
      <c r="E47" s="3">
        <f>$E$26*C47</f>
        <v>0</v>
      </c>
      <c r="F47" s="3">
        <f t="shared" si="18"/>
        <v>0</v>
      </c>
      <c r="H47" t="s">
        <v>15</v>
      </c>
      <c r="I47" s="6">
        <v>0</v>
      </c>
      <c r="J47" s="3">
        <f>$J$26*I47</f>
        <v>0</v>
      </c>
      <c r="K47" s="3">
        <f>$K$26*I47</f>
        <v>0</v>
      </c>
      <c r="L47" s="3">
        <f t="shared" si="19"/>
        <v>0</v>
      </c>
      <c r="N47" t="s">
        <v>15</v>
      </c>
      <c r="O47" s="6">
        <v>0</v>
      </c>
      <c r="P47" s="3">
        <f>$P$26*O47</f>
        <v>0</v>
      </c>
      <c r="Q47" s="3">
        <f>$Q$26*O47</f>
        <v>0</v>
      </c>
      <c r="R47" s="3">
        <f t="shared" si="20"/>
        <v>0</v>
      </c>
    </row>
    <row r="48" spans="1:18" x14ac:dyDescent="0.25">
      <c r="B48" t="s">
        <v>16</v>
      </c>
      <c r="C48" s="6">
        <f>'Allocation Factors'!$H$10</f>
        <v>0.1466232797</v>
      </c>
      <c r="D48" s="3">
        <f>$D$27*C48</f>
        <v>12837.3080075741</v>
      </c>
      <c r="E48" s="3">
        <f>$E$27*C48</f>
        <v>-539791.99135947332</v>
      </c>
      <c r="F48" s="3">
        <f t="shared" si="18"/>
        <v>-552629.29936704738</v>
      </c>
      <c r="H48" t="s">
        <v>16</v>
      </c>
      <c r="I48" s="6">
        <f>'Allocation Factors'!$H$10</f>
        <v>0.1466232797</v>
      </c>
      <c r="J48" s="3">
        <f>$J$27*I48</f>
        <v>397.49571126669997</v>
      </c>
      <c r="K48" s="3">
        <f>$K$27*I48</f>
        <v>-547255.84941260179</v>
      </c>
      <c r="L48" s="3">
        <f t="shared" si="19"/>
        <v>-547653.34512386844</v>
      </c>
      <c r="N48" t="s">
        <v>16</v>
      </c>
      <c r="O48" s="6">
        <f>'Allocation Factors'!$H$10</f>
        <v>0.1466232797</v>
      </c>
      <c r="P48" s="3">
        <f>$P$27*O48</f>
        <v>-397.49571126669997</v>
      </c>
      <c r="Q48" s="3">
        <f>$Q$27*O48</f>
        <v>547255.84941260179</v>
      </c>
      <c r="R48" s="3">
        <f t="shared" si="20"/>
        <v>547653.34512386844</v>
      </c>
    </row>
    <row r="49" spans="1:18" x14ac:dyDescent="0.25">
      <c r="B49" t="s">
        <v>17</v>
      </c>
      <c r="C49" s="6">
        <f>'Allocation Factors'!$H$12</f>
        <v>0.1590101605</v>
      </c>
      <c r="D49" s="3">
        <f>$D$28*C49</f>
        <v>8588.2977787655</v>
      </c>
      <c r="E49" s="3">
        <f>$E$28*C49</f>
        <v>5082.6007702219995</v>
      </c>
      <c r="F49" s="3">
        <f t="shared" si="18"/>
        <v>-3505.6970085435005</v>
      </c>
      <c r="H49" t="s">
        <v>17</v>
      </c>
      <c r="I49" s="6">
        <f>'Allocation Factors'!$H$12</f>
        <v>0.1590101605</v>
      </c>
      <c r="J49" s="3">
        <f>$J$28*I49</f>
        <v>0</v>
      </c>
      <c r="K49" s="3">
        <f>$K$28*I49</f>
        <v>-70.282490940999992</v>
      </c>
      <c r="L49" s="3">
        <f t="shared" si="19"/>
        <v>-70.282490940999992</v>
      </c>
      <c r="N49" t="s">
        <v>17</v>
      </c>
      <c r="O49" s="6">
        <f>'Allocation Factors'!$H$12</f>
        <v>0.1590101605</v>
      </c>
      <c r="P49" s="3">
        <f>$P$28*O49</f>
        <v>0</v>
      </c>
      <c r="Q49" s="3">
        <f>$Q$28*O49</f>
        <v>70.282490940999992</v>
      </c>
      <c r="R49" s="3">
        <f t="shared" si="20"/>
        <v>70.282490940999992</v>
      </c>
    </row>
    <row r="50" spans="1:18" ht="15.75" thickBot="1" x14ac:dyDescent="0.3">
      <c r="C50" s="6"/>
      <c r="D50" s="4">
        <f>SUM(D45:D49)</f>
        <v>2458460.20664634</v>
      </c>
      <c r="E50" s="4">
        <f>SUM(E45:E49)</f>
        <v>298282.65613074868</v>
      </c>
      <c r="F50" s="4">
        <f>SUM(F45:F49)</f>
        <v>-2160177.5505155912</v>
      </c>
      <c r="I50" s="6"/>
      <c r="J50" s="4">
        <f>SUM(J45:J49)</f>
        <v>357665.53436126671</v>
      </c>
      <c r="K50" s="4">
        <f>SUM(K45:K49)</f>
        <v>-962193.87980354275</v>
      </c>
      <c r="L50" s="4">
        <f>SUM(L45:L49)</f>
        <v>-1319859.4141648095</v>
      </c>
      <c r="O50" s="6"/>
      <c r="P50" s="4">
        <f>SUM(P45:P49)</f>
        <v>-357665.53436126671</v>
      </c>
      <c r="Q50" s="4">
        <f>SUM(Q45:Q49)</f>
        <v>962193.87980354275</v>
      </c>
      <c r="R50" s="4">
        <f>SUM(R45:R49)</f>
        <v>1319859.4141648095</v>
      </c>
    </row>
    <row r="51" spans="1:18" x14ac:dyDescent="0.25">
      <c r="C51" s="6"/>
      <c r="D51" s="3"/>
      <c r="E51" s="3"/>
      <c r="F51" s="3"/>
      <c r="I51" s="6"/>
      <c r="J51" s="3"/>
      <c r="K51" s="3"/>
      <c r="L51" s="3"/>
      <c r="O51" s="6"/>
      <c r="P51" s="3"/>
      <c r="Q51" s="3"/>
      <c r="R51" s="3"/>
    </row>
    <row r="52" spans="1:18" x14ac:dyDescent="0.25">
      <c r="A52" t="s">
        <v>31</v>
      </c>
      <c r="B52" t="s">
        <v>13</v>
      </c>
      <c r="C52" s="6">
        <v>0</v>
      </c>
      <c r="D52" s="3">
        <f>$D$24*C52</f>
        <v>0</v>
      </c>
      <c r="E52" s="3">
        <f>$E$24*C52</f>
        <v>0</v>
      </c>
      <c r="F52" s="3">
        <f t="shared" ref="F52:F56" si="21">E52-D52</f>
        <v>0</v>
      </c>
      <c r="H52" t="s">
        <v>13</v>
      </c>
      <c r="I52" s="6">
        <v>0</v>
      </c>
      <c r="J52" s="3">
        <f>$J$24*I52</f>
        <v>0</v>
      </c>
      <c r="K52" s="3">
        <f>$K$24*I52</f>
        <v>0</v>
      </c>
      <c r="L52" s="3">
        <f t="shared" ref="L52:L56" si="22">K52-J52</f>
        <v>0</v>
      </c>
      <c r="N52" t="s">
        <v>13</v>
      </c>
      <c r="O52" s="6">
        <v>0</v>
      </c>
      <c r="P52" s="3">
        <f>$P$24*O52</f>
        <v>0</v>
      </c>
      <c r="Q52" s="3">
        <f>$Q$24*O52</f>
        <v>0</v>
      </c>
      <c r="R52" s="3">
        <f t="shared" ref="R52:R56" si="23">Q52-P52</f>
        <v>0</v>
      </c>
    </row>
    <row r="53" spans="1:18" x14ac:dyDescent="0.25">
      <c r="B53" t="s">
        <v>14</v>
      </c>
      <c r="C53" s="6">
        <f>'Allocation Factors'!$G$7</f>
        <v>0.28647</v>
      </c>
      <c r="D53" s="3">
        <f>$D$25*C53</f>
        <v>978427.39913999999</v>
      </c>
      <c r="E53" s="3">
        <f>$E$25*C53</f>
        <v>334431.95328000002</v>
      </c>
      <c r="F53" s="3">
        <f t="shared" si="21"/>
        <v>-643995.44585999998</v>
      </c>
      <c r="H53" t="s">
        <v>14</v>
      </c>
      <c r="I53" s="6">
        <f>'Allocation Factors'!$G$7</f>
        <v>0.28647</v>
      </c>
      <c r="J53" s="3">
        <f>$J$25*I53</f>
        <v>143436.96135</v>
      </c>
      <c r="K53" s="3">
        <f>$K$25*I53</f>
        <v>-166562.25210000001</v>
      </c>
      <c r="L53" s="3">
        <f t="shared" si="22"/>
        <v>-309999.21345000004</v>
      </c>
      <c r="N53" t="s">
        <v>14</v>
      </c>
      <c r="O53" s="6">
        <f>'Allocation Factors'!$G$7</f>
        <v>0.28647</v>
      </c>
      <c r="P53" s="3">
        <f>$P$25*O53</f>
        <v>-143436.96135</v>
      </c>
      <c r="Q53" s="3">
        <f>$Q$25*O53</f>
        <v>166562.25210000001</v>
      </c>
      <c r="R53" s="3">
        <f t="shared" si="23"/>
        <v>309999.21345000004</v>
      </c>
    </row>
    <row r="54" spans="1:18" x14ac:dyDescent="0.25">
      <c r="B54" t="s">
        <v>15</v>
      </c>
      <c r="C54" s="6">
        <v>0</v>
      </c>
      <c r="D54" s="3">
        <f>$D$26*C54</f>
        <v>0</v>
      </c>
      <c r="E54" s="3">
        <f>$E$26*C54</f>
        <v>0</v>
      </c>
      <c r="F54" s="3">
        <f t="shared" si="21"/>
        <v>0</v>
      </c>
      <c r="H54" t="s">
        <v>15</v>
      </c>
      <c r="I54" s="6">
        <v>0</v>
      </c>
      <c r="J54" s="3">
        <f>$J$26*I54</f>
        <v>0</v>
      </c>
      <c r="K54" s="3">
        <f>$K$26*I54</f>
        <v>0</v>
      </c>
      <c r="L54" s="3">
        <f t="shared" si="22"/>
        <v>0</v>
      </c>
      <c r="N54" t="s">
        <v>15</v>
      </c>
      <c r="O54" s="6">
        <v>0</v>
      </c>
      <c r="P54" s="3">
        <f>$P$26*O54</f>
        <v>0</v>
      </c>
      <c r="Q54" s="3">
        <f>$Q$26*O54</f>
        <v>0</v>
      </c>
      <c r="R54" s="3">
        <f t="shared" si="23"/>
        <v>0</v>
      </c>
    </row>
    <row r="55" spans="1:18" x14ac:dyDescent="0.25">
      <c r="B55" t="s">
        <v>16</v>
      </c>
      <c r="C55" s="6">
        <f>'Allocation Factors'!$I$10</f>
        <v>5.8866720300000001E-2</v>
      </c>
      <c r="D55" s="3">
        <f>$D$27*C55</f>
        <v>5153.9579624259004</v>
      </c>
      <c r="E55" s="3">
        <f>$E$27*C55</f>
        <v>-216717.18325052669</v>
      </c>
      <c r="F55" s="3">
        <f t="shared" si="21"/>
        <v>-221871.14121295259</v>
      </c>
      <c r="H55" t="s">
        <v>16</v>
      </c>
      <c r="I55" s="6">
        <f>'Allocation Factors'!$I$10</f>
        <v>5.8866720300000001E-2</v>
      </c>
      <c r="J55" s="3">
        <f>$J$27*I55</f>
        <v>159.58767873330001</v>
      </c>
      <c r="K55" s="3">
        <f>$K$27*I55</f>
        <v>-219713.79364739821</v>
      </c>
      <c r="L55" s="3">
        <f t="shared" si="22"/>
        <v>-219873.38132613152</v>
      </c>
      <c r="N55" t="s">
        <v>16</v>
      </c>
      <c r="O55" s="6">
        <f>'Allocation Factors'!$I$10</f>
        <v>5.8866720300000001E-2</v>
      </c>
      <c r="P55" s="3">
        <f>$P$27*O55</f>
        <v>-159.58767873330001</v>
      </c>
      <c r="Q55" s="3">
        <f>$Q$27*O55</f>
        <v>219713.79364739821</v>
      </c>
      <c r="R55" s="3">
        <f t="shared" si="23"/>
        <v>219873.38132613152</v>
      </c>
    </row>
    <row r="56" spans="1:18" x14ac:dyDescent="0.25">
      <c r="B56" t="s">
        <v>17</v>
      </c>
      <c r="C56" s="6">
        <f>'Allocation Factors'!$I$12</f>
        <v>6.3839839499999995E-2</v>
      </c>
      <c r="D56" s="3">
        <f>$D$28*C56</f>
        <v>3448.0535712344999</v>
      </c>
      <c r="E56" s="3">
        <f>$E$28*C56</f>
        <v>2040.5766297779999</v>
      </c>
      <c r="F56" s="3">
        <f t="shared" si="21"/>
        <v>-1407.4769414565001</v>
      </c>
      <c r="H56" t="s">
        <v>17</v>
      </c>
      <c r="I56" s="6">
        <f>'Allocation Factors'!$I$12</f>
        <v>6.3839839499999995E-2</v>
      </c>
      <c r="J56" s="3">
        <f>$J$28*I56</f>
        <v>0</v>
      </c>
      <c r="K56" s="3">
        <f>$K$28*I56</f>
        <v>-28.217209058999998</v>
      </c>
      <c r="L56" s="3">
        <f t="shared" si="22"/>
        <v>-28.217209058999998</v>
      </c>
      <c r="N56" t="s">
        <v>17</v>
      </c>
      <c r="O56" s="6">
        <f>'Allocation Factors'!$I$12</f>
        <v>6.3839839499999995E-2</v>
      </c>
      <c r="P56" s="3">
        <f>$P$28*O56</f>
        <v>0</v>
      </c>
      <c r="Q56" s="3">
        <f>$Q$28*O56</f>
        <v>28.217209058999998</v>
      </c>
      <c r="R56" s="3">
        <f t="shared" si="23"/>
        <v>28.217209058999998</v>
      </c>
    </row>
    <row r="57" spans="1:18" ht="15.75" thickBot="1" x14ac:dyDescent="0.3">
      <c r="C57" s="6"/>
      <c r="D57" s="4">
        <f>SUM(D52:D56)</f>
        <v>987029.41067366034</v>
      </c>
      <c r="E57" s="4">
        <f>SUM(E52:E56)</f>
        <v>119755.34665925133</v>
      </c>
      <c r="F57" s="4">
        <f>SUM(F52:F56)</f>
        <v>-867274.06401440909</v>
      </c>
      <c r="I57" s="6"/>
      <c r="J57" s="4">
        <f>SUM(J52:J56)</f>
        <v>143596.54902873331</v>
      </c>
      <c r="K57" s="4">
        <f>SUM(K52:K56)</f>
        <v>-386304.26295645721</v>
      </c>
      <c r="L57" s="4">
        <f>SUM(L52:L56)</f>
        <v>-529900.81198519061</v>
      </c>
      <c r="O57" s="6"/>
      <c r="P57" s="4">
        <f>SUM(P52:P56)</f>
        <v>-143596.54902873331</v>
      </c>
      <c r="Q57" s="4">
        <f>SUM(Q52:Q56)</f>
        <v>386304.26295645721</v>
      </c>
      <c r="R57" s="4">
        <f>SUM(R52:R56)</f>
        <v>529900.81198519061</v>
      </c>
    </row>
    <row r="58" spans="1:18" x14ac:dyDescent="0.25">
      <c r="C58" s="6"/>
      <c r="D58" s="3"/>
      <c r="E58" s="3"/>
      <c r="F58" s="3"/>
      <c r="I58" s="6"/>
      <c r="J58" s="3"/>
      <c r="K58" s="3"/>
      <c r="L58" s="3"/>
      <c r="O58" s="6"/>
      <c r="P58" s="3"/>
      <c r="Q58" s="3"/>
      <c r="R58" s="3"/>
    </row>
    <row r="59" spans="1:18" x14ac:dyDescent="0.25">
      <c r="A59" t="s">
        <v>32</v>
      </c>
      <c r="B59" t="s">
        <v>13</v>
      </c>
      <c r="C59" s="6">
        <v>0</v>
      </c>
      <c r="D59" s="3">
        <f>$D$24*C59</f>
        <v>0</v>
      </c>
      <c r="E59" s="3">
        <f>$E$24*C59</f>
        <v>0</v>
      </c>
      <c r="F59" s="3">
        <f t="shared" ref="F59:F63" si="24">E59-D59</f>
        <v>0</v>
      </c>
      <c r="H59" t="s">
        <v>13</v>
      </c>
      <c r="I59" s="6">
        <v>0</v>
      </c>
      <c r="J59" s="3">
        <f>$J$24*I59</f>
        <v>0</v>
      </c>
      <c r="K59" s="3">
        <f>$K$24*I59</f>
        <v>0</v>
      </c>
      <c r="L59" s="3">
        <f t="shared" ref="L59:L63" si="25">K59-J59</f>
        <v>0</v>
      </c>
      <c r="N59" t="s">
        <v>13</v>
      </c>
      <c r="O59" s="6">
        <v>0</v>
      </c>
      <c r="P59" s="3">
        <f>$P$24*O59</f>
        <v>0</v>
      </c>
      <c r="Q59" s="3">
        <f>$Q$24*O59</f>
        <v>0</v>
      </c>
      <c r="R59" s="3">
        <f t="shared" ref="R59:R63" si="26">Q59-P59</f>
        <v>0</v>
      </c>
    </row>
    <row r="60" spans="1:18" x14ac:dyDescent="0.25">
      <c r="B60" t="s">
        <v>14</v>
      </c>
      <c r="C60" s="6">
        <v>0</v>
      </c>
      <c r="D60" s="3">
        <f>$D$25*C60</f>
        <v>0</v>
      </c>
      <c r="E60" s="3">
        <f>$E$25*C60</f>
        <v>0</v>
      </c>
      <c r="F60" s="3">
        <f t="shared" si="24"/>
        <v>0</v>
      </c>
      <c r="H60" t="s">
        <v>14</v>
      </c>
      <c r="I60" s="6">
        <v>0</v>
      </c>
      <c r="J60" s="3">
        <f>$J$25*I60</f>
        <v>0</v>
      </c>
      <c r="K60" s="3">
        <f>$K$25*I60</f>
        <v>0</v>
      </c>
      <c r="L60" s="3">
        <f t="shared" si="25"/>
        <v>0</v>
      </c>
      <c r="N60" t="s">
        <v>14</v>
      </c>
      <c r="O60" s="6">
        <v>0</v>
      </c>
      <c r="P60" s="3">
        <f>$P$25*O60</f>
        <v>0</v>
      </c>
      <c r="Q60" s="3">
        <f>$Q$25*O60</f>
        <v>0</v>
      </c>
      <c r="R60" s="3">
        <f t="shared" si="26"/>
        <v>0</v>
      </c>
    </row>
    <row r="61" spans="1:18" x14ac:dyDescent="0.25">
      <c r="B61" t="s">
        <v>15</v>
      </c>
      <c r="C61" s="6">
        <v>1</v>
      </c>
      <c r="D61" s="3">
        <f>$D$26*C61</f>
        <v>2167044</v>
      </c>
      <c r="E61" s="3">
        <f>$E$26*C61</f>
        <v>1015190</v>
      </c>
      <c r="F61" s="3">
        <f t="shared" si="24"/>
        <v>-1151854</v>
      </c>
      <c r="H61" t="s">
        <v>15</v>
      </c>
      <c r="I61" s="6">
        <v>1</v>
      </c>
      <c r="J61" s="3">
        <f>$J$26*I61</f>
        <v>1723</v>
      </c>
      <c r="K61" s="3">
        <f>$K$26*I61</f>
        <v>-284003</v>
      </c>
      <c r="L61" s="3">
        <f t="shared" si="25"/>
        <v>-285726</v>
      </c>
      <c r="N61" t="s">
        <v>15</v>
      </c>
      <c r="O61" s="6">
        <v>1</v>
      </c>
      <c r="P61" s="3">
        <f>$P$26*O61</f>
        <v>-1723</v>
      </c>
      <c r="Q61" s="3">
        <f>$Q$26*O61</f>
        <v>284003</v>
      </c>
      <c r="R61" s="3">
        <f t="shared" si="26"/>
        <v>285726</v>
      </c>
    </row>
    <row r="62" spans="1:18" x14ac:dyDescent="0.25">
      <c r="B62" t="s">
        <v>16</v>
      </c>
      <c r="C62" s="6">
        <f>'Allocation Factors'!$J$10</f>
        <v>9.3160000000000007E-2</v>
      </c>
      <c r="D62" s="3">
        <f>$D$27*C62</f>
        <v>8156.4374800000005</v>
      </c>
      <c r="E62" s="3">
        <f>$E$27*C62</f>
        <v>-342967.51524000004</v>
      </c>
      <c r="F62" s="3">
        <f t="shared" si="24"/>
        <v>-351123.95272000006</v>
      </c>
      <c r="H62" t="s">
        <v>16</v>
      </c>
      <c r="I62" s="6">
        <f>'Allocation Factors'!$J$10</f>
        <v>9.3160000000000007E-2</v>
      </c>
      <c r="J62" s="3">
        <f>$J$27*I62</f>
        <v>252.55676000000003</v>
      </c>
      <c r="K62" s="3">
        <f>$K$27*I62</f>
        <v>-347709.82504000003</v>
      </c>
      <c r="L62" s="3">
        <f t="shared" si="25"/>
        <v>-347962.38180000003</v>
      </c>
      <c r="N62" t="s">
        <v>16</v>
      </c>
      <c r="O62" s="6">
        <f>'Allocation Factors'!$J$10</f>
        <v>9.3160000000000007E-2</v>
      </c>
      <c r="P62" s="3">
        <f>$P$27*O62</f>
        <v>-252.55676000000003</v>
      </c>
      <c r="Q62" s="3">
        <f>$Q$27*O62</f>
        <v>347709.82504000003</v>
      </c>
      <c r="R62" s="3">
        <f t="shared" si="26"/>
        <v>347962.38180000003</v>
      </c>
    </row>
    <row r="63" spans="1:18" x14ac:dyDescent="0.25">
      <c r="B63" t="s">
        <v>17</v>
      </c>
      <c r="C63" s="6">
        <v>0</v>
      </c>
      <c r="D63" s="3">
        <f>$D$28*C63</f>
        <v>0</v>
      </c>
      <c r="E63" s="3">
        <f>$E$28*C63</f>
        <v>0</v>
      </c>
      <c r="F63" s="3">
        <f t="shared" si="24"/>
        <v>0</v>
      </c>
      <c r="H63" t="s">
        <v>17</v>
      </c>
      <c r="I63" s="6">
        <v>0</v>
      </c>
      <c r="J63" s="3">
        <f>$J$28*I63</f>
        <v>0</v>
      </c>
      <c r="K63" s="3">
        <f>$K$28*I63</f>
        <v>0</v>
      </c>
      <c r="L63" s="3">
        <f t="shared" si="25"/>
        <v>0</v>
      </c>
      <c r="N63" t="s">
        <v>17</v>
      </c>
      <c r="O63" s="6">
        <v>0</v>
      </c>
      <c r="P63" s="3">
        <f>$P$28*O63</f>
        <v>0</v>
      </c>
      <c r="Q63" s="3">
        <f>$Q$28*O63</f>
        <v>0</v>
      </c>
      <c r="R63" s="3">
        <f t="shared" si="26"/>
        <v>0</v>
      </c>
    </row>
    <row r="64" spans="1:18" ht="15.75" thickBot="1" x14ac:dyDescent="0.3">
      <c r="D64" s="4">
        <f>SUM(D59:D63)</f>
        <v>2175200.4374799998</v>
      </c>
      <c r="E64" s="4">
        <f>SUM(E59:E63)</f>
        <v>672222.4847599999</v>
      </c>
      <c r="F64" s="4">
        <f>SUM(F59:F63)</f>
        <v>-1502977.9527199999</v>
      </c>
      <c r="J64" s="4">
        <f>SUM(J59:J63)</f>
        <v>1975.5567599999999</v>
      </c>
      <c r="K64" s="4">
        <f>SUM(K59:K63)</f>
        <v>-631712.82504000003</v>
      </c>
      <c r="L64" s="4">
        <f>SUM(L59:L63)</f>
        <v>-633688.38180000009</v>
      </c>
      <c r="P64" s="4">
        <f>SUM(P59:P63)</f>
        <v>-1975.5567599999999</v>
      </c>
      <c r="Q64" s="4">
        <f>SUM(Q59:Q63)</f>
        <v>631712.82504000003</v>
      </c>
      <c r="R64" s="4">
        <f>SUM(R59:R63)</f>
        <v>633688.38180000009</v>
      </c>
    </row>
    <row r="65" spans="1:18" x14ac:dyDescent="0.25">
      <c r="D65" s="3"/>
      <c r="E65" s="3"/>
      <c r="F65" s="3"/>
      <c r="J65" s="3"/>
      <c r="K65" s="3"/>
      <c r="L65" s="3"/>
      <c r="P65" s="3"/>
      <c r="Q65" s="3"/>
      <c r="R65" s="3"/>
    </row>
    <row r="66" spans="1:18" x14ac:dyDescent="0.25">
      <c r="A66" t="s">
        <v>6</v>
      </c>
      <c r="B66" t="s">
        <v>13</v>
      </c>
      <c r="D66" s="3">
        <f>SUM(D31,D38,D45,D52,D59)</f>
        <v>16756878</v>
      </c>
      <c r="E66" s="3">
        <f>SUM(E31,E38,E45,E52,E59)</f>
        <v>5012497</v>
      </c>
      <c r="F66" s="3">
        <f t="shared" ref="F66:F70" si="27">E66-D66</f>
        <v>-11744381</v>
      </c>
      <c r="H66" t="s">
        <v>13</v>
      </c>
      <c r="J66" s="3">
        <f>SUM(J31,J38,J45,J52,J59)</f>
        <v>1230317</v>
      </c>
      <c r="K66" s="3">
        <f>SUM(K31,K38,K45,K52,K59)</f>
        <v>-4303440</v>
      </c>
      <c r="L66" s="3">
        <f t="shared" ref="L66:L70" si="28">K66-J66</f>
        <v>-5533757</v>
      </c>
      <c r="N66" t="s">
        <v>13</v>
      </c>
      <c r="P66" s="3">
        <f>SUM(P31,P38,P45,P52,P59)</f>
        <v>-1230317</v>
      </c>
      <c r="Q66" s="3">
        <f>SUM(Q31,Q38,Q45,Q52,Q59)</f>
        <v>4303440</v>
      </c>
      <c r="R66" s="3">
        <f t="shared" ref="R66:R70" si="29">Q66-P66</f>
        <v>5533757</v>
      </c>
    </row>
    <row r="67" spans="1:18" x14ac:dyDescent="0.25">
      <c r="B67" t="s">
        <v>14</v>
      </c>
      <c r="D67" s="3">
        <f t="shared" ref="D67:E70" si="30">SUM(D32,D39,D46,D53,D60)</f>
        <v>3415462</v>
      </c>
      <c r="E67" s="3">
        <f t="shared" si="30"/>
        <v>1167424</v>
      </c>
      <c r="F67" s="3">
        <f t="shared" si="27"/>
        <v>-2248038</v>
      </c>
      <c r="H67" t="s">
        <v>14</v>
      </c>
      <c r="J67" s="3">
        <f t="shared" ref="J67:K70" si="31">SUM(J32,J39,J46,J53,J60)</f>
        <v>500705</v>
      </c>
      <c r="K67" s="3">
        <f t="shared" si="31"/>
        <v>-581430</v>
      </c>
      <c r="L67" s="3">
        <f t="shared" si="28"/>
        <v>-1082135</v>
      </c>
      <c r="N67" t="s">
        <v>14</v>
      </c>
      <c r="P67" s="3">
        <f t="shared" ref="P67:Q70" si="32">SUM(P32,P39,P46,P53,P60)</f>
        <v>-500705</v>
      </c>
      <c r="Q67" s="3">
        <f t="shared" si="32"/>
        <v>581430</v>
      </c>
      <c r="R67" s="3">
        <f t="shared" si="29"/>
        <v>1082135</v>
      </c>
    </row>
    <row r="68" spans="1:18" x14ac:dyDescent="0.25">
      <c r="B68" t="s">
        <v>15</v>
      </c>
      <c r="D68" s="3">
        <f t="shared" si="30"/>
        <v>2167044</v>
      </c>
      <c r="E68" s="3">
        <f t="shared" si="30"/>
        <v>1015190</v>
      </c>
      <c r="F68" s="3">
        <f t="shared" si="27"/>
        <v>-1151854</v>
      </c>
      <c r="H68" t="s">
        <v>15</v>
      </c>
      <c r="J68" s="3">
        <f t="shared" si="31"/>
        <v>1723</v>
      </c>
      <c r="K68" s="3">
        <f t="shared" si="31"/>
        <v>-284003</v>
      </c>
      <c r="L68" s="3">
        <f t="shared" si="28"/>
        <v>-285726</v>
      </c>
      <c r="N68" t="s">
        <v>15</v>
      </c>
      <c r="P68" s="3">
        <f t="shared" si="32"/>
        <v>-1723</v>
      </c>
      <c r="Q68" s="3">
        <f t="shared" si="32"/>
        <v>284003</v>
      </c>
      <c r="R68" s="3">
        <f t="shared" si="29"/>
        <v>285726</v>
      </c>
    </row>
    <row r="69" spans="1:18" x14ac:dyDescent="0.25">
      <c r="B69" t="s">
        <v>16</v>
      </c>
      <c r="D69" s="3">
        <f t="shared" si="30"/>
        <v>87553</v>
      </c>
      <c r="E69" s="3">
        <f t="shared" si="30"/>
        <v>-3681489.0000000005</v>
      </c>
      <c r="F69" s="3">
        <f t="shared" si="27"/>
        <v>-3769042.0000000005</v>
      </c>
      <c r="H69" t="s">
        <v>16</v>
      </c>
      <c r="J69" s="3">
        <f t="shared" si="31"/>
        <v>2711</v>
      </c>
      <c r="K69" s="3">
        <f t="shared" si="31"/>
        <v>-3732394</v>
      </c>
      <c r="L69" s="3">
        <f t="shared" si="28"/>
        <v>-3735105</v>
      </c>
      <c r="N69" t="s">
        <v>16</v>
      </c>
      <c r="P69" s="3">
        <f t="shared" si="32"/>
        <v>-2711</v>
      </c>
      <c r="Q69" s="3">
        <f t="shared" si="32"/>
        <v>3732394</v>
      </c>
      <c r="R69" s="3">
        <f t="shared" si="29"/>
        <v>3735105</v>
      </c>
    </row>
    <row r="70" spans="1:18" x14ac:dyDescent="0.25">
      <c r="B70" t="s">
        <v>17</v>
      </c>
      <c r="D70" s="3">
        <f t="shared" si="30"/>
        <v>54011</v>
      </c>
      <c r="E70" s="3">
        <f t="shared" si="30"/>
        <v>31964</v>
      </c>
      <c r="F70" s="3">
        <f t="shared" si="27"/>
        <v>-22047</v>
      </c>
      <c r="H70" t="s">
        <v>17</v>
      </c>
      <c r="J70" s="3">
        <f t="shared" si="31"/>
        <v>0</v>
      </c>
      <c r="K70" s="3">
        <f t="shared" si="31"/>
        <v>-442</v>
      </c>
      <c r="L70" s="3">
        <f t="shared" si="28"/>
        <v>-442</v>
      </c>
      <c r="N70" t="s">
        <v>17</v>
      </c>
      <c r="P70" s="3">
        <f t="shared" si="32"/>
        <v>0</v>
      </c>
      <c r="Q70" s="3">
        <f t="shared" si="32"/>
        <v>442</v>
      </c>
      <c r="R70" s="3">
        <f t="shared" si="29"/>
        <v>442</v>
      </c>
    </row>
    <row r="71" spans="1:18" ht="15.75" thickBot="1" x14ac:dyDescent="0.3">
      <c r="D71" s="4">
        <f>SUM(D66:D70)</f>
        <v>22480948</v>
      </c>
      <c r="E71" s="4">
        <f>SUM(E66:E70)</f>
        <v>3545585.9999999995</v>
      </c>
      <c r="F71" s="4">
        <f>SUM(F66:F70)</f>
        <v>-18935362</v>
      </c>
      <c r="J71" s="4">
        <f>SUM(J66:J70)</f>
        <v>1735456</v>
      </c>
      <c r="K71" s="4">
        <f>SUM(K66:K70)</f>
        <v>-8901709</v>
      </c>
      <c r="L71" s="4">
        <f>SUM(L66:L70)</f>
        <v>-10637165</v>
      </c>
      <c r="P71" s="4">
        <f>SUM(P66:P70)</f>
        <v>-1735456</v>
      </c>
      <c r="Q71" s="4">
        <f>SUM(Q66:Q70)</f>
        <v>8901709</v>
      </c>
      <c r="R71" s="4">
        <f>SUM(R66:R70)</f>
        <v>10637165</v>
      </c>
    </row>
  </sheetData>
  <mergeCells count="3">
    <mergeCell ref="D1:F1"/>
    <mergeCell ref="J1:L1"/>
    <mergeCell ref="P1:R1"/>
  </mergeCells>
  <pageMargins left="0.45" right="0.2" top="0.75" bottom="0.75" header="0.3" footer="0.3"/>
  <pageSetup scale="62" fitToHeight="3" orientation="landscape" r:id="rId1"/>
  <headerFooter>
    <oddFooter>&amp;LAvista
&amp;F
&amp;A&amp;RPage &amp;P of &amp;N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workbookViewId="0"/>
  </sheetViews>
  <sheetFormatPr defaultRowHeight="15" x14ac:dyDescent="0.25"/>
  <cols>
    <col min="1" max="1" width="31.5703125" bestFit="1" customWidth="1"/>
    <col min="2" max="2" width="9.28515625" bestFit="1" customWidth="1"/>
    <col min="3" max="3" width="8" bestFit="1" customWidth="1"/>
    <col min="4" max="4" width="13.7109375" bestFit="1" customWidth="1"/>
    <col min="5" max="5" width="12.28515625" bestFit="1" customWidth="1"/>
    <col min="6" max="6" width="12.5703125" customWidth="1"/>
    <col min="7" max="7" width="1.42578125" customWidth="1"/>
    <col min="8" max="8" width="9.28515625" bestFit="1" customWidth="1"/>
    <col min="9" max="9" width="8" bestFit="1" customWidth="1"/>
    <col min="10" max="10" width="13.7109375" bestFit="1" customWidth="1"/>
    <col min="11" max="11" width="12.28515625" bestFit="1" customWidth="1"/>
    <col min="12" max="12" width="12.42578125" customWidth="1"/>
    <col min="13" max="13" width="1.7109375" customWidth="1"/>
    <col min="14" max="14" width="9.28515625" bestFit="1" customWidth="1"/>
    <col min="15" max="15" width="8" bestFit="1" customWidth="1"/>
    <col min="16" max="16" width="13.7109375" bestFit="1" customWidth="1"/>
    <col min="17" max="17" width="12.28515625" bestFit="1" customWidth="1"/>
    <col min="18" max="18" width="12.140625" customWidth="1"/>
  </cols>
  <sheetData>
    <row r="1" spans="1:18" s="9" customFormat="1" ht="15.75" thickBot="1" x14ac:dyDescent="0.3">
      <c r="A1" s="11">
        <v>2021</v>
      </c>
      <c r="D1" s="17" t="s">
        <v>23</v>
      </c>
      <c r="E1" s="18"/>
      <c r="F1" s="19"/>
      <c r="J1" s="17" t="s">
        <v>34</v>
      </c>
      <c r="K1" s="18"/>
      <c r="L1" s="19"/>
      <c r="P1" s="17" t="s">
        <v>35</v>
      </c>
      <c r="Q1" s="18"/>
      <c r="R1" s="19"/>
    </row>
    <row r="2" spans="1:18" s="10" customFormat="1" ht="44.45" customHeight="1" x14ac:dyDescent="0.25">
      <c r="D2" s="10" t="s">
        <v>18</v>
      </c>
      <c r="E2" s="10" t="s">
        <v>19</v>
      </c>
      <c r="F2" s="10" t="s">
        <v>33</v>
      </c>
      <c r="J2" s="10" t="s">
        <v>18</v>
      </c>
      <c r="K2" s="10" t="s">
        <v>19</v>
      </c>
      <c r="L2" s="10" t="s">
        <v>33</v>
      </c>
      <c r="P2" s="10" t="s">
        <v>18</v>
      </c>
      <c r="Q2" s="10" t="s">
        <v>19</v>
      </c>
      <c r="R2" s="10" t="s">
        <v>33</v>
      </c>
    </row>
    <row r="3" spans="1:18" x14ac:dyDescent="0.25">
      <c r="A3" t="s">
        <v>20</v>
      </c>
      <c r="B3" t="s">
        <v>13</v>
      </c>
      <c r="D3" s="3">
        <f>18618683-981723</f>
        <v>17636960</v>
      </c>
      <c r="E3" s="3">
        <f>11171210-589034</f>
        <v>10582176</v>
      </c>
      <c r="F3" s="3">
        <f>E3-D3</f>
        <v>-7054784</v>
      </c>
      <c r="H3" t="s">
        <v>13</v>
      </c>
      <c r="J3" s="3"/>
      <c r="K3" s="3"/>
      <c r="L3" s="3"/>
      <c r="N3" t="s">
        <v>13</v>
      </c>
      <c r="P3" s="3"/>
      <c r="Q3" s="3"/>
      <c r="R3" s="3"/>
    </row>
    <row r="4" spans="1:18" x14ac:dyDescent="0.25">
      <c r="B4" t="s">
        <v>14</v>
      </c>
      <c r="D4" s="3">
        <v>2787001</v>
      </c>
      <c r="E4" s="3">
        <v>1672200</v>
      </c>
      <c r="F4" s="3">
        <f t="shared" ref="F4:F21" si="0">E4-D4</f>
        <v>-1114801</v>
      </c>
      <c r="H4" t="s">
        <v>14</v>
      </c>
      <c r="J4" s="3"/>
      <c r="K4" s="3"/>
      <c r="L4" s="3"/>
      <c r="N4" t="s">
        <v>14</v>
      </c>
      <c r="P4" s="3"/>
      <c r="Q4" s="3"/>
      <c r="R4" s="3"/>
    </row>
    <row r="5" spans="1:18" x14ac:dyDescent="0.25">
      <c r="B5" t="s">
        <v>15</v>
      </c>
      <c r="D5" s="3">
        <v>1952517</v>
      </c>
      <c r="E5" s="3">
        <v>1171510</v>
      </c>
      <c r="F5" s="3">
        <f t="shared" si="0"/>
        <v>-781007</v>
      </c>
      <c r="H5" t="s">
        <v>15</v>
      </c>
      <c r="J5" s="3"/>
      <c r="K5" s="3"/>
      <c r="L5" s="3"/>
      <c r="N5" t="s">
        <v>15</v>
      </c>
      <c r="P5" s="3"/>
      <c r="Q5" s="3"/>
      <c r="R5" s="3"/>
    </row>
    <row r="6" spans="1:18" x14ac:dyDescent="0.25">
      <c r="B6" t="s">
        <v>16</v>
      </c>
      <c r="D6" s="3">
        <v>-3809657</v>
      </c>
      <c r="E6" s="3">
        <v>-2285794</v>
      </c>
      <c r="F6" s="3">
        <f t="shared" si="0"/>
        <v>1523863</v>
      </c>
      <c r="H6" t="s">
        <v>16</v>
      </c>
      <c r="J6" s="3"/>
      <c r="K6" s="3"/>
      <c r="L6" s="3"/>
      <c r="N6" t="s">
        <v>16</v>
      </c>
      <c r="P6" s="3"/>
      <c r="Q6" s="3"/>
      <c r="R6" s="3"/>
    </row>
    <row r="7" spans="1:18" x14ac:dyDescent="0.25">
      <c r="B7" t="s">
        <v>17</v>
      </c>
      <c r="D7" s="3">
        <v>54010</v>
      </c>
      <c r="E7" s="3">
        <v>32406</v>
      </c>
      <c r="F7" s="3">
        <f t="shared" si="0"/>
        <v>-21604</v>
      </c>
      <c r="H7" t="s">
        <v>17</v>
      </c>
      <c r="J7" s="3"/>
      <c r="K7" s="3"/>
      <c r="L7" s="3"/>
      <c r="N7" t="s">
        <v>17</v>
      </c>
      <c r="P7" s="3"/>
      <c r="Q7" s="3"/>
      <c r="R7" s="3"/>
    </row>
    <row r="8" spans="1:18" ht="15.75" thickBot="1" x14ac:dyDescent="0.3">
      <c r="D8" s="4">
        <f>SUM(D3:D7)</f>
        <v>18620831</v>
      </c>
      <c r="E8" s="4">
        <f>SUM(E3:E7)</f>
        <v>11172498</v>
      </c>
      <c r="F8" s="4">
        <f>SUM(F3:F7)</f>
        <v>-7448333</v>
      </c>
      <c r="J8" s="4">
        <f>SUM(J3:J7)</f>
        <v>0</v>
      </c>
      <c r="K8" s="4">
        <f>SUM(K3:K7)</f>
        <v>0</v>
      </c>
      <c r="L8" s="4">
        <f>SUM(L3:L7)</f>
        <v>0</v>
      </c>
      <c r="P8" s="4">
        <f>SUM(P3:P7)</f>
        <v>0</v>
      </c>
      <c r="Q8" s="4">
        <f>SUM(Q3:Q7)</f>
        <v>0</v>
      </c>
      <c r="R8" s="4">
        <f>SUM(R3:R7)</f>
        <v>0</v>
      </c>
    </row>
    <row r="9" spans="1:18" x14ac:dyDescent="0.25">
      <c r="D9" s="3"/>
      <c r="E9" s="3"/>
      <c r="F9" s="3"/>
      <c r="J9" s="3"/>
      <c r="K9" s="3"/>
      <c r="L9" s="3"/>
      <c r="P9" s="3"/>
      <c r="Q9" s="3"/>
      <c r="R9" s="3"/>
    </row>
    <row r="10" spans="1:18" x14ac:dyDescent="0.25">
      <c r="A10" t="s">
        <v>21</v>
      </c>
      <c r="B10" t="s">
        <v>13</v>
      </c>
      <c r="D10" s="3">
        <v>1230317</v>
      </c>
      <c r="E10" s="3">
        <f>(1230317/1735456)*989501</f>
        <v>701487.04537424166</v>
      </c>
      <c r="F10" s="3">
        <f t="shared" si="0"/>
        <v>-528829.95462575834</v>
      </c>
      <c r="H10" t="s">
        <v>13</v>
      </c>
      <c r="J10" s="3">
        <f>D10</f>
        <v>1230317</v>
      </c>
      <c r="K10" s="3">
        <f>E10</f>
        <v>701487.04537424166</v>
      </c>
      <c r="L10" s="3">
        <f t="shared" ref="L10:L14" si="1">K10-J10</f>
        <v>-528829.95462575834</v>
      </c>
      <c r="N10" t="s">
        <v>13</v>
      </c>
      <c r="P10" s="3">
        <f>-D10</f>
        <v>-1230317</v>
      </c>
      <c r="Q10" s="3">
        <f>-E10</f>
        <v>-701487.04537424166</v>
      </c>
      <c r="R10" s="3">
        <f t="shared" ref="R10:R14" si="2">Q10-P10</f>
        <v>528829.95462575834</v>
      </c>
    </row>
    <row r="11" spans="1:18" x14ac:dyDescent="0.25">
      <c r="B11" t="s">
        <v>14</v>
      </c>
      <c r="D11" s="3">
        <v>500705</v>
      </c>
      <c r="E11" s="3">
        <f>(500705/1735456)*989501</f>
        <v>285485.830931467</v>
      </c>
      <c r="F11" s="3">
        <f t="shared" si="0"/>
        <v>-215219.169068533</v>
      </c>
      <c r="H11" t="s">
        <v>14</v>
      </c>
      <c r="J11" s="3">
        <f t="shared" ref="J11:K14" si="3">D11</f>
        <v>500705</v>
      </c>
      <c r="K11" s="3">
        <f t="shared" si="3"/>
        <v>285485.830931467</v>
      </c>
      <c r="L11" s="3">
        <f t="shared" si="1"/>
        <v>-215219.169068533</v>
      </c>
      <c r="N11" t="s">
        <v>14</v>
      </c>
      <c r="P11" s="3">
        <f t="shared" ref="P11:Q14" si="4">-D11</f>
        <v>-500705</v>
      </c>
      <c r="Q11" s="3">
        <f t="shared" si="4"/>
        <v>-285485.830931467</v>
      </c>
      <c r="R11" s="3">
        <f t="shared" si="2"/>
        <v>215219.169068533</v>
      </c>
    </row>
    <row r="12" spans="1:18" x14ac:dyDescent="0.25">
      <c r="B12" t="s">
        <v>15</v>
      </c>
      <c r="D12" s="3">
        <v>1723</v>
      </c>
      <c r="E12" s="3">
        <f>(1723/1735456)*989501</f>
        <v>982.39899081278929</v>
      </c>
      <c r="F12" s="3">
        <f t="shared" si="0"/>
        <v>-740.60100918721071</v>
      </c>
      <c r="H12" t="s">
        <v>15</v>
      </c>
      <c r="J12" s="3">
        <f t="shared" si="3"/>
        <v>1723</v>
      </c>
      <c r="K12" s="3">
        <f t="shared" si="3"/>
        <v>982.39899081278929</v>
      </c>
      <c r="L12" s="3">
        <f t="shared" si="1"/>
        <v>-740.60100918721071</v>
      </c>
      <c r="N12" t="s">
        <v>15</v>
      </c>
      <c r="P12" s="3">
        <f t="shared" si="4"/>
        <v>-1723</v>
      </c>
      <c r="Q12" s="3">
        <f t="shared" si="4"/>
        <v>-982.39899081278929</v>
      </c>
      <c r="R12" s="3">
        <f t="shared" si="2"/>
        <v>740.60100918721071</v>
      </c>
    </row>
    <row r="13" spans="1:18" x14ac:dyDescent="0.25">
      <c r="B13" t="s">
        <v>16</v>
      </c>
      <c r="D13" s="3">
        <v>2711</v>
      </c>
      <c r="E13" s="3">
        <f>(2711/1735456)*989501</f>
        <v>1545.7247034785094</v>
      </c>
      <c r="F13" s="3">
        <f t="shared" si="0"/>
        <v>-1165.2752965214906</v>
      </c>
      <c r="H13" t="s">
        <v>16</v>
      </c>
      <c r="J13" s="3">
        <f t="shared" si="3"/>
        <v>2711</v>
      </c>
      <c r="K13" s="3">
        <f t="shared" si="3"/>
        <v>1545.7247034785094</v>
      </c>
      <c r="L13" s="3">
        <f t="shared" si="1"/>
        <v>-1165.2752965214906</v>
      </c>
      <c r="N13" t="s">
        <v>16</v>
      </c>
      <c r="P13" s="3">
        <f t="shared" si="4"/>
        <v>-2711</v>
      </c>
      <c r="Q13" s="3">
        <f t="shared" si="4"/>
        <v>-1545.7247034785094</v>
      </c>
      <c r="R13" s="3">
        <f t="shared" si="2"/>
        <v>1165.2752965214906</v>
      </c>
    </row>
    <row r="14" spans="1:18" x14ac:dyDescent="0.25">
      <c r="B14" t="s">
        <v>17</v>
      </c>
      <c r="D14" s="3">
        <v>0</v>
      </c>
      <c r="E14" s="3">
        <v>0</v>
      </c>
      <c r="F14" s="3">
        <f t="shared" si="0"/>
        <v>0</v>
      </c>
      <c r="H14" t="s">
        <v>17</v>
      </c>
      <c r="J14" s="3">
        <f t="shared" si="3"/>
        <v>0</v>
      </c>
      <c r="K14" s="3">
        <f t="shared" si="3"/>
        <v>0</v>
      </c>
      <c r="L14" s="3">
        <f t="shared" si="1"/>
        <v>0</v>
      </c>
      <c r="N14" t="s">
        <v>17</v>
      </c>
      <c r="P14" s="3">
        <f t="shared" si="4"/>
        <v>0</v>
      </c>
      <c r="Q14" s="3">
        <f t="shared" si="4"/>
        <v>0</v>
      </c>
      <c r="R14" s="3">
        <f t="shared" si="2"/>
        <v>0</v>
      </c>
    </row>
    <row r="15" spans="1:18" ht="15.75" thickBot="1" x14ac:dyDescent="0.3">
      <c r="D15" s="4">
        <f>SUM(D10:D14)</f>
        <v>1735456</v>
      </c>
      <c r="E15" s="4">
        <f>SUM(E10:E14)</f>
        <v>989501</v>
      </c>
      <c r="F15" s="4">
        <f>SUM(F10:F14)</f>
        <v>-745955</v>
      </c>
      <c r="J15" s="4">
        <f>SUM(J10:J14)</f>
        <v>1735456</v>
      </c>
      <c r="K15" s="4">
        <f>SUM(K10:K14)</f>
        <v>989501</v>
      </c>
      <c r="L15" s="4">
        <f>SUM(L10:L14)</f>
        <v>-745955</v>
      </c>
      <c r="P15" s="4">
        <f>SUM(P10:P14)</f>
        <v>-1735456</v>
      </c>
      <c r="Q15" s="4">
        <f>SUM(Q10:Q14)</f>
        <v>-989501</v>
      </c>
      <c r="R15" s="4">
        <f>SUM(R10:R14)</f>
        <v>745955</v>
      </c>
    </row>
    <row r="16" spans="1:18" x14ac:dyDescent="0.25">
      <c r="D16" s="3"/>
      <c r="E16" s="3"/>
      <c r="F16" s="3"/>
      <c r="J16" s="3"/>
      <c r="K16" s="3"/>
      <c r="L16" s="3"/>
      <c r="P16" s="3"/>
      <c r="Q16" s="3"/>
      <c r="R16" s="3"/>
    </row>
    <row r="17" spans="1:18" x14ac:dyDescent="0.25">
      <c r="A17" t="s">
        <v>22</v>
      </c>
      <c r="B17" t="s">
        <v>13</v>
      </c>
      <c r="D17" s="3">
        <v>0</v>
      </c>
      <c r="E17" s="3">
        <f>-4267070-E10</f>
        <v>-4968557.0453742417</v>
      </c>
      <c r="F17" s="3">
        <f t="shared" si="0"/>
        <v>-4968557.0453742417</v>
      </c>
      <c r="H17" t="s">
        <v>13</v>
      </c>
      <c r="J17" s="3">
        <f>D17</f>
        <v>0</v>
      </c>
      <c r="K17" s="3">
        <f>E17</f>
        <v>-4968557.0453742417</v>
      </c>
      <c r="L17" s="3">
        <f t="shared" ref="L17:L21" si="5">K17-J17</f>
        <v>-4968557.0453742417</v>
      </c>
      <c r="N17" t="s">
        <v>13</v>
      </c>
      <c r="P17" s="3">
        <f>-D17</f>
        <v>0</v>
      </c>
      <c r="Q17" s="3">
        <f>-E17</f>
        <v>4968557.0453742417</v>
      </c>
      <c r="R17" s="3">
        <f t="shared" ref="R17:R21" si="6">Q17-P17</f>
        <v>4968557.0453742417</v>
      </c>
    </row>
    <row r="18" spans="1:18" x14ac:dyDescent="0.25">
      <c r="B18" t="s">
        <v>14</v>
      </c>
      <c r="D18" s="3">
        <v>0</v>
      </c>
      <c r="E18" s="3">
        <f>-960217-E11</f>
        <v>-1245702.830931467</v>
      </c>
      <c r="F18" s="3">
        <f t="shared" si="0"/>
        <v>-1245702.830931467</v>
      </c>
      <c r="H18" t="s">
        <v>14</v>
      </c>
      <c r="J18" s="3">
        <f t="shared" ref="J18:K21" si="7">D18</f>
        <v>0</v>
      </c>
      <c r="K18" s="3">
        <f t="shared" si="7"/>
        <v>-1245702.830931467</v>
      </c>
      <c r="L18" s="3">
        <f t="shared" si="5"/>
        <v>-1245702.830931467</v>
      </c>
      <c r="N18" t="s">
        <v>14</v>
      </c>
      <c r="P18" s="3">
        <f t="shared" ref="P18:Q21" si="8">-D18</f>
        <v>0</v>
      </c>
      <c r="Q18" s="3">
        <f t="shared" si="8"/>
        <v>1245702.830931467</v>
      </c>
      <c r="R18" s="3">
        <f t="shared" si="6"/>
        <v>1245702.830931467</v>
      </c>
    </row>
    <row r="19" spans="1:18" x14ac:dyDescent="0.25">
      <c r="B19" t="s">
        <v>15</v>
      </c>
      <c r="D19" s="3">
        <v>0</v>
      </c>
      <c r="E19" s="3">
        <f>-317454-E12</f>
        <v>-318436.39899081277</v>
      </c>
      <c r="F19" s="3">
        <f t="shared" si="0"/>
        <v>-318436.39899081277</v>
      </c>
      <c r="H19" t="s">
        <v>15</v>
      </c>
      <c r="J19" s="3">
        <f t="shared" si="7"/>
        <v>0</v>
      </c>
      <c r="K19" s="3">
        <f t="shared" si="7"/>
        <v>-318436.39899081277</v>
      </c>
      <c r="L19" s="3">
        <f t="shared" si="5"/>
        <v>-318436.39899081277</v>
      </c>
      <c r="N19" t="s">
        <v>15</v>
      </c>
      <c r="P19" s="3">
        <f t="shared" si="8"/>
        <v>0</v>
      </c>
      <c r="Q19" s="3">
        <f t="shared" si="8"/>
        <v>318436.39899081277</v>
      </c>
      <c r="R19" s="3">
        <f t="shared" si="6"/>
        <v>318436.39899081277</v>
      </c>
    </row>
    <row r="20" spans="1:18" x14ac:dyDescent="0.25">
      <c r="B20" t="s">
        <v>16</v>
      </c>
      <c r="D20" s="3">
        <v>0</v>
      </c>
      <c r="E20" s="3">
        <f>-4398744-E13</f>
        <v>-4400289.7247034786</v>
      </c>
      <c r="F20" s="3">
        <f t="shared" si="0"/>
        <v>-4400289.7247034786</v>
      </c>
      <c r="H20" t="s">
        <v>16</v>
      </c>
      <c r="J20" s="3">
        <f t="shared" si="7"/>
        <v>0</v>
      </c>
      <c r="K20" s="3">
        <f t="shared" si="7"/>
        <v>-4400289.7247034786</v>
      </c>
      <c r="L20" s="3">
        <f t="shared" si="5"/>
        <v>-4400289.7247034786</v>
      </c>
      <c r="N20" t="s">
        <v>16</v>
      </c>
      <c r="P20" s="3">
        <f t="shared" si="8"/>
        <v>0</v>
      </c>
      <c r="Q20" s="3">
        <f t="shared" si="8"/>
        <v>4400289.7247034786</v>
      </c>
      <c r="R20" s="3">
        <f t="shared" si="6"/>
        <v>4400289.7247034786</v>
      </c>
    </row>
    <row r="21" spans="1:18" x14ac:dyDescent="0.25">
      <c r="B21" t="s">
        <v>17</v>
      </c>
      <c r="D21" s="3">
        <v>0</v>
      </c>
      <c r="E21" s="3">
        <f>-448-E14</f>
        <v>-448</v>
      </c>
      <c r="F21" s="3">
        <f t="shared" si="0"/>
        <v>-448</v>
      </c>
      <c r="H21" t="s">
        <v>17</v>
      </c>
      <c r="J21" s="3">
        <f t="shared" si="7"/>
        <v>0</v>
      </c>
      <c r="K21" s="3">
        <f t="shared" si="7"/>
        <v>-448</v>
      </c>
      <c r="L21" s="3">
        <f t="shared" si="5"/>
        <v>-448</v>
      </c>
      <c r="N21" t="s">
        <v>17</v>
      </c>
      <c r="P21" s="3">
        <f t="shared" si="8"/>
        <v>0</v>
      </c>
      <c r="Q21" s="3">
        <f t="shared" si="8"/>
        <v>448</v>
      </c>
      <c r="R21" s="3">
        <f t="shared" si="6"/>
        <v>448</v>
      </c>
    </row>
    <row r="22" spans="1:18" ht="15.75" thickBot="1" x14ac:dyDescent="0.3">
      <c r="D22" s="4">
        <f>SUM(D17:D21)</f>
        <v>0</v>
      </c>
      <c r="E22" s="4">
        <f>SUM(E17:E21)</f>
        <v>-10933434</v>
      </c>
      <c r="F22" s="4">
        <f>SUM(F17:F21)</f>
        <v>-10933434</v>
      </c>
      <c r="J22" s="4">
        <f>SUM(J17:J21)</f>
        <v>0</v>
      </c>
      <c r="K22" s="4">
        <f>SUM(K17:K21)</f>
        <v>-10933434</v>
      </c>
      <c r="L22" s="4">
        <f>SUM(L17:L21)</f>
        <v>-10933434</v>
      </c>
      <c r="P22" s="4">
        <f>SUM(P17:P21)</f>
        <v>0</v>
      </c>
      <c r="Q22" s="4">
        <f>SUM(Q17:Q21)</f>
        <v>10933434</v>
      </c>
      <c r="R22" s="4">
        <f>SUM(R17:R21)</f>
        <v>10933434</v>
      </c>
    </row>
    <row r="23" spans="1:18" x14ac:dyDescent="0.25">
      <c r="D23" s="3"/>
      <c r="E23" s="3"/>
      <c r="F23" s="3"/>
      <c r="J23" s="3"/>
      <c r="K23" s="3"/>
      <c r="L23" s="3"/>
      <c r="P23" s="3"/>
      <c r="Q23" s="3"/>
      <c r="R23" s="3"/>
    </row>
    <row r="24" spans="1:18" x14ac:dyDescent="0.25">
      <c r="A24" t="s">
        <v>6</v>
      </c>
      <c r="B24" t="s">
        <v>13</v>
      </c>
      <c r="D24" s="3">
        <f>SUM(D3,D10,D17)</f>
        <v>18867277</v>
      </c>
      <c r="E24" s="3">
        <f>SUM(E3,E10,E17)</f>
        <v>6315105.9999999991</v>
      </c>
      <c r="F24" s="3">
        <f>SUM(F3,F10,F17)</f>
        <v>-12552171</v>
      </c>
      <c r="H24" t="s">
        <v>13</v>
      </c>
      <c r="J24" s="3">
        <f>SUM(J3,J10,J17)</f>
        <v>1230317</v>
      </c>
      <c r="K24" s="3">
        <f>SUM(K3,K10,K17)</f>
        <v>-4267070</v>
      </c>
      <c r="L24" s="3">
        <f>SUM(L3,L10,L17)</f>
        <v>-5497387</v>
      </c>
      <c r="N24" t="s">
        <v>13</v>
      </c>
      <c r="P24" s="3">
        <f>SUM(P3,P10,P17)</f>
        <v>-1230317</v>
      </c>
      <c r="Q24" s="3">
        <f>SUM(Q3,Q10,Q17)</f>
        <v>4267070</v>
      </c>
      <c r="R24" s="3">
        <f>SUM(R3,R10,R17)</f>
        <v>5497387</v>
      </c>
    </row>
    <row r="25" spans="1:18" x14ac:dyDescent="0.25">
      <c r="B25" t="s">
        <v>14</v>
      </c>
      <c r="D25" s="3">
        <f t="shared" ref="D25:F28" si="9">SUM(D4,D11,D18)</f>
        <v>3287706</v>
      </c>
      <c r="E25" s="3">
        <f t="shared" si="9"/>
        <v>711983</v>
      </c>
      <c r="F25" s="3">
        <f t="shared" si="9"/>
        <v>-2575723</v>
      </c>
      <c r="H25" t="s">
        <v>14</v>
      </c>
      <c r="J25" s="3">
        <f t="shared" ref="J25:L28" si="10">SUM(J4,J11,J18)</f>
        <v>500705</v>
      </c>
      <c r="K25" s="3">
        <f t="shared" si="10"/>
        <v>-960217</v>
      </c>
      <c r="L25" s="3">
        <f t="shared" si="10"/>
        <v>-1460922</v>
      </c>
      <c r="N25" t="s">
        <v>14</v>
      </c>
      <c r="P25" s="3">
        <f t="shared" ref="P25:R28" si="11">SUM(P4,P11,P18)</f>
        <v>-500705</v>
      </c>
      <c r="Q25" s="3">
        <f t="shared" si="11"/>
        <v>960217</v>
      </c>
      <c r="R25" s="3">
        <f t="shared" si="11"/>
        <v>1460922</v>
      </c>
    </row>
    <row r="26" spans="1:18" x14ac:dyDescent="0.25">
      <c r="B26" t="s">
        <v>15</v>
      </c>
      <c r="D26" s="3">
        <f t="shared" si="9"/>
        <v>1954240</v>
      </c>
      <c r="E26" s="3">
        <f t="shared" si="9"/>
        <v>854056</v>
      </c>
      <c r="F26" s="3">
        <f t="shared" si="9"/>
        <v>-1100184</v>
      </c>
      <c r="H26" t="s">
        <v>15</v>
      </c>
      <c r="J26" s="3">
        <f t="shared" si="10"/>
        <v>1723</v>
      </c>
      <c r="K26" s="3">
        <f t="shared" si="10"/>
        <v>-317454</v>
      </c>
      <c r="L26" s="3">
        <f t="shared" si="10"/>
        <v>-319177</v>
      </c>
      <c r="N26" t="s">
        <v>15</v>
      </c>
      <c r="P26" s="3">
        <f t="shared" si="11"/>
        <v>-1723</v>
      </c>
      <c r="Q26" s="3">
        <f t="shared" si="11"/>
        <v>317454</v>
      </c>
      <c r="R26" s="3">
        <f t="shared" si="11"/>
        <v>319177</v>
      </c>
    </row>
    <row r="27" spans="1:18" x14ac:dyDescent="0.25">
      <c r="B27" t="s">
        <v>16</v>
      </c>
      <c r="D27" s="3">
        <f t="shared" si="9"/>
        <v>-3806946</v>
      </c>
      <c r="E27" s="3">
        <f t="shared" si="9"/>
        <v>-6684538</v>
      </c>
      <c r="F27" s="3">
        <f t="shared" si="9"/>
        <v>-2877592</v>
      </c>
      <c r="H27" t="s">
        <v>16</v>
      </c>
      <c r="J27" s="3">
        <f t="shared" si="10"/>
        <v>2711</v>
      </c>
      <c r="K27" s="3">
        <f t="shared" si="10"/>
        <v>-4398744</v>
      </c>
      <c r="L27" s="3">
        <f t="shared" si="10"/>
        <v>-4401455</v>
      </c>
      <c r="N27" t="s">
        <v>16</v>
      </c>
      <c r="P27" s="3">
        <f t="shared" si="11"/>
        <v>-2711</v>
      </c>
      <c r="Q27" s="3">
        <f t="shared" si="11"/>
        <v>4398744</v>
      </c>
      <c r="R27" s="3">
        <f t="shared" si="11"/>
        <v>4401455</v>
      </c>
    </row>
    <row r="28" spans="1:18" x14ac:dyDescent="0.25">
      <c r="B28" t="s">
        <v>17</v>
      </c>
      <c r="D28" s="3">
        <f t="shared" si="9"/>
        <v>54010</v>
      </c>
      <c r="E28" s="3">
        <f t="shared" si="9"/>
        <v>31958</v>
      </c>
      <c r="F28" s="3">
        <f t="shared" si="9"/>
        <v>-22052</v>
      </c>
      <c r="H28" t="s">
        <v>17</v>
      </c>
      <c r="J28" s="3">
        <f t="shared" si="10"/>
        <v>0</v>
      </c>
      <c r="K28" s="3">
        <f t="shared" si="10"/>
        <v>-448</v>
      </c>
      <c r="L28" s="3">
        <f t="shared" si="10"/>
        <v>-448</v>
      </c>
      <c r="N28" t="s">
        <v>17</v>
      </c>
      <c r="P28" s="3">
        <f t="shared" si="11"/>
        <v>0</v>
      </c>
      <c r="Q28" s="3">
        <f t="shared" si="11"/>
        <v>448</v>
      </c>
      <c r="R28" s="3">
        <f t="shared" si="11"/>
        <v>448</v>
      </c>
    </row>
    <row r="29" spans="1:18" ht="15.75" thickBot="1" x14ac:dyDescent="0.3">
      <c r="D29" s="4">
        <f>SUM(D24:D28)</f>
        <v>20356287</v>
      </c>
      <c r="E29" s="4">
        <f>SUM(E24:E28)</f>
        <v>1228564.9999999991</v>
      </c>
      <c r="F29" s="4">
        <f>SUM(F24:F28)</f>
        <v>-19127722</v>
      </c>
      <c r="J29" s="4">
        <f>SUM(J24:J28)</f>
        <v>1735456</v>
      </c>
      <c r="K29" s="4">
        <f>SUM(K24:K28)</f>
        <v>-9943933</v>
      </c>
      <c r="L29" s="4">
        <f>SUM(L24:L28)</f>
        <v>-11679389</v>
      </c>
      <c r="P29" s="4">
        <f>SUM(P24:P28)</f>
        <v>-1735456</v>
      </c>
      <c r="Q29" s="4">
        <f>SUM(Q24:Q28)</f>
        <v>9943933</v>
      </c>
      <c r="R29" s="4">
        <f>SUM(R24:R28)</f>
        <v>11679389</v>
      </c>
    </row>
    <row r="30" spans="1:18" x14ac:dyDescent="0.25">
      <c r="D30" s="3"/>
      <c r="E30" s="3"/>
      <c r="F30" s="3"/>
      <c r="J30" s="3"/>
      <c r="K30" s="3"/>
      <c r="L30" s="3"/>
      <c r="P30" s="3"/>
      <c r="Q30" s="3"/>
      <c r="R30" s="3"/>
    </row>
    <row r="31" spans="1:18" x14ac:dyDescent="0.25">
      <c r="A31" t="s">
        <v>28</v>
      </c>
      <c r="B31" t="s">
        <v>13</v>
      </c>
      <c r="C31" s="6">
        <f>'Allocation Factors'!$F$5</f>
        <v>0.68249000000000004</v>
      </c>
      <c r="D31" s="3">
        <f>$D$24*C31</f>
        <v>12876727.879730001</v>
      </c>
      <c r="E31" s="3">
        <f>$E$24*C31</f>
        <v>4309996.6939399997</v>
      </c>
      <c r="F31" s="3">
        <f t="shared" ref="F31:F35" si="12">E31-D31</f>
        <v>-8566731.1857900023</v>
      </c>
      <c r="H31" t="s">
        <v>13</v>
      </c>
      <c r="I31" s="6">
        <f>'Allocation Factors'!$F$5</f>
        <v>0.68249000000000004</v>
      </c>
      <c r="J31" s="3">
        <f>$J$24*I31</f>
        <v>839679.04933000007</v>
      </c>
      <c r="K31" s="3">
        <f>$K$24*I31</f>
        <v>-2912232.6043000002</v>
      </c>
      <c r="L31" s="3">
        <f t="shared" ref="L31:L35" si="13">K31-J31</f>
        <v>-3751911.6536300005</v>
      </c>
      <c r="N31" t="s">
        <v>13</v>
      </c>
      <c r="O31" s="6">
        <f>'Allocation Factors'!$F$5</f>
        <v>0.68249000000000004</v>
      </c>
      <c r="P31" s="3">
        <f>$P$24*O31</f>
        <v>-839679.04933000007</v>
      </c>
      <c r="Q31" s="3">
        <f>$Q$24*O31</f>
        <v>2912232.6043000002</v>
      </c>
      <c r="R31" s="3">
        <f t="shared" ref="R31:R35" si="14">Q31-P31</f>
        <v>3751911.6536300005</v>
      </c>
    </row>
    <row r="32" spans="1:18" x14ac:dyDescent="0.25">
      <c r="B32" t="s">
        <v>14</v>
      </c>
      <c r="C32" s="6">
        <v>0</v>
      </c>
      <c r="D32" s="3">
        <f>$D$25*C32</f>
        <v>0</v>
      </c>
      <c r="E32" s="3">
        <f>$E$25*C32</f>
        <v>0</v>
      </c>
      <c r="F32" s="3">
        <f t="shared" si="12"/>
        <v>0</v>
      </c>
      <c r="H32" t="s">
        <v>14</v>
      </c>
      <c r="I32" s="6">
        <v>0</v>
      </c>
      <c r="J32" s="3">
        <f>$J$25*I32</f>
        <v>0</v>
      </c>
      <c r="K32" s="3">
        <f>$K$25*I32</f>
        <v>0</v>
      </c>
      <c r="L32" s="3">
        <f t="shared" si="13"/>
        <v>0</v>
      </c>
      <c r="N32" t="s">
        <v>14</v>
      </c>
      <c r="O32" s="6">
        <v>0</v>
      </c>
      <c r="P32" s="3">
        <f>$P$25*O32</f>
        <v>0</v>
      </c>
      <c r="Q32" s="3">
        <f>$Q$25*O32</f>
        <v>0</v>
      </c>
      <c r="R32" s="3">
        <f t="shared" si="14"/>
        <v>0</v>
      </c>
    </row>
    <row r="33" spans="1:18" x14ac:dyDescent="0.25">
      <c r="B33" t="s">
        <v>15</v>
      </c>
      <c r="C33" s="6">
        <v>0</v>
      </c>
      <c r="D33" s="3">
        <f>$D$26*C33</f>
        <v>0</v>
      </c>
      <c r="E33" s="3">
        <f>$E$26*C33</f>
        <v>0</v>
      </c>
      <c r="F33" s="3">
        <f t="shared" si="12"/>
        <v>0</v>
      </c>
      <c r="H33" t="s">
        <v>15</v>
      </c>
      <c r="I33" s="6">
        <v>0</v>
      </c>
      <c r="J33" s="3">
        <f>$J$26*I33</f>
        <v>0</v>
      </c>
      <c r="K33" s="3">
        <f>$K$26*I33</f>
        <v>0</v>
      </c>
      <c r="L33" s="3">
        <f t="shared" si="13"/>
        <v>0</v>
      </c>
      <c r="N33" t="s">
        <v>15</v>
      </c>
      <c r="O33" s="6">
        <v>0</v>
      </c>
      <c r="P33" s="3">
        <f>$P$26*O33</f>
        <v>0</v>
      </c>
      <c r="Q33" s="3">
        <f>$Q$26*O33</f>
        <v>0</v>
      </c>
      <c r="R33" s="3">
        <f t="shared" si="14"/>
        <v>0</v>
      </c>
    </row>
    <row r="34" spans="1:18" x14ac:dyDescent="0.25">
      <c r="B34" t="s">
        <v>16</v>
      </c>
      <c r="C34" s="6">
        <f>'Allocation Factors'!$F$10</f>
        <v>0.47866436150000002</v>
      </c>
      <c r="D34" s="3">
        <f>$D$27*C34</f>
        <v>-1822249.3763549791</v>
      </c>
      <c r="E34" s="3">
        <f>$E$27*C34</f>
        <v>-3199650.1136924871</v>
      </c>
      <c r="F34" s="3">
        <f t="shared" si="12"/>
        <v>-1377400.737337508</v>
      </c>
      <c r="H34" t="s">
        <v>16</v>
      </c>
      <c r="I34" s="6">
        <f>'Allocation Factors'!$F$10</f>
        <v>0.47866436150000002</v>
      </c>
      <c r="J34" s="3">
        <f>$J$27*I34</f>
        <v>1297.6590840265001</v>
      </c>
      <c r="K34" s="3">
        <f>$K$27*I34</f>
        <v>-2105521.988161956</v>
      </c>
      <c r="L34" s="3">
        <f t="shared" si="13"/>
        <v>-2106819.6472459827</v>
      </c>
      <c r="N34" t="s">
        <v>16</v>
      </c>
      <c r="O34" s="6">
        <f>'Allocation Factors'!$F$10</f>
        <v>0.47866436150000002</v>
      </c>
      <c r="P34" s="3">
        <f>$P$27*O34</f>
        <v>-1297.6590840265001</v>
      </c>
      <c r="Q34" s="3">
        <f>$Q$27*O34</f>
        <v>2105521.988161956</v>
      </c>
      <c r="R34" s="3">
        <f t="shared" si="14"/>
        <v>2106819.6472459827</v>
      </c>
    </row>
    <row r="35" spans="1:18" x14ac:dyDescent="0.25">
      <c r="B35" t="s">
        <v>17</v>
      </c>
      <c r="C35" s="6">
        <f>'Allocation Factors'!$F$12</f>
        <v>0.53039710350000002</v>
      </c>
      <c r="D35" s="3">
        <f>$D$28*C35</f>
        <v>28646.747560035001</v>
      </c>
      <c r="E35" s="3">
        <f>$E$28*C35</f>
        <v>16950.430633652999</v>
      </c>
      <c r="F35" s="3">
        <f t="shared" si="12"/>
        <v>-11696.316926382002</v>
      </c>
      <c r="H35" t="s">
        <v>17</v>
      </c>
      <c r="I35" s="6">
        <f>'Allocation Factors'!$F$12</f>
        <v>0.53039710350000002</v>
      </c>
      <c r="J35" s="3">
        <f>$J$28*I35</f>
        <v>0</v>
      </c>
      <c r="K35" s="3">
        <f>$K$28*I35</f>
        <v>-237.61790236800002</v>
      </c>
      <c r="L35" s="3">
        <f t="shared" si="13"/>
        <v>-237.61790236800002</v>
      </c>
      <c r="N35" t="s">
        <v>17</v>
      </c>
      <c r="O35" s="6">
        <f>'Allocation Factors'!$F$12</f>
        <v>0.53039710350000002</v>
      </c>
      <c r="P35" s="3">
        <f>$P$28*O35</f>
        <v>0</v>
      </c>
      <c r="Q35" s="3">
        <f>$Q$28*O35</f>
        <v>237.61790236800002</v>
      </c>
      <c r="R35" s="3">
        <f t="shared" si="14"/>
        <v>237.61790236800002</v>
      </c>
    </row>
    <row r="36" spans="1:18" ht="15.75" thickBot="1" x14ac:dyDescent="0.3">
      <c r="C36" s="6"/>
      <c r="D36" s="4">
        <f>SUM(D31:D35)</f>
        <v>11083125.250935057</v>
      </c>
      <c r="E36" s="4">
        <f>SUM(E31:E35)</f>
        <v>1127297.0108811655</v>
      </c>
      <c r="F36" s="4">
        <f>SUM(F31:F35)</f>
        <v>-9955828.2400538921</v>
      </c>
      <c r="I36" s="6"/>
      <c r="J36" s="4">
        <f>SUM(J31:J35)</f>
        <v>840976.70841402654</v>
      </c>
      <c r="K36" s="4">
        <f>SUM(K31:K35)</f>
        <v>-5017992.210364325</v>
      </c>
      <c r="L36" s="4">
        <f>SUM(L31:L35)</f>
        <v>-5858968.9187783515</v>
      </c>
      <c r="O36" s="6"/>
      <c r="P36" s="4">
        <f>SUM(P31:P35)</f>
        <v>-840976.70841402654</v>
      </c>
      <c r="Q36" s="4">
        <f>SUM(Q31:Q35)</f>
        <v>5017992.210364325</v>
      </c>
      <c r="R36" s="4">
        <f>SUM(R31:R35)</f>
        <v>5858968.9187783515</v>
      </c>
    </row>
    <row r="37" spans="1:18" x14ac:dyDescent="0.25">
      <c r="C37" s="6"/>
      <c r="D37" s="8"/>
      <c r="E37" s="8"/>
      <c r="F37" s="8"/>
      <c r="I37" s="6"/>
      <c r="J37" s="8"/>
      <c r="K37" s="8"/>
      <c r="L37" s="8"/>
      <c r="O37" s="6"/>
      <c r="P37" s="8"/>
      <c r="Q37" s="8"/>
      <c r="R37" s="8"/>
    </row>
    <row r="38" spans="1:18" x14ac:dyDescent="0.25">
      <c r="A38" t="s">
        <v>29</v>
      </c>
      <c r="B38" t="s">
        <v>13</v>
      </c>
      <c r="C38" s="6">
        <f>'Allocation Factors'!$G$5</f>
        <v>0.31750999999999996</v>
      </c>
      <c r="D38" s="3">
        <f>$D$24*C38</f>
        <v>5990549.1202699989</v>
      </c>
      <c r="E38" s="3">
        <f>$E$24*C38</f>
        <v>2005109.3060599994</v>
      </c>
      <c r="F38" s="3">
        <f t="shared" ref="F38:F42" si="15">E38-D38</f>
        <v>-3985439.8142099995</v>
      </c>
      <c r="H38" t="s">
        <v>13</v>
      </c>
      <c r="I38" s="6">
        <f>'Allocation Factors'!$G$5</f>
        <v>0.31750999999999996</v>
      </c>
      <c r="J38" s="3">
        <f>$J$24*I38</f>
        <v>390637.95066999993</v>
      </c>
      <c r="K38" s="3">
        <f>$K$24*I38</f>
        <v>-1354837.3956999998</v>
      </c>
      <c r="L38" s="3">
        <f t="shared" ref="L38:L42" si="16">K38-J38</f>
        <v>-1745475.3463699997</v>
      </c>
      <c r="N38" t="s">
        <v>13</v>
      </c>
      <c r="O38" s="6">
        <f>'Allocation Factors'!$G$5</f>
        <v>0.31750999999999996</v>
      </c>
      <c r="P38" s="3">
        <f>$P$24*O38</f>
        <v>-390637.95066999993</v>
      </c>
      <c r="Q38" s="3">
        <f>$Q$24*O38</f>
        <v>1354837.3956999998</v>
      </c>
      <c r="R38" s="3">
        <f t="shared" ref="R38:R42" si="17">Q38-P38</f>
        <v>1745475.3463699997</v>
      </c>
    </row>
    <row r="39" spans="1:18" x14ac:dyDescent="0.25">
      <c r="B39" t="s">
        <v>14</v>
      </c>
      <c r="C39" s="6">
        <v>0</v>
      </c>
      <c r="D39" s="3">
        <f>$D$25*C39</f>
        <v>0</v>
      </c>
      <c r="E39" s="3">
        <f>$E$25*C39</f>
        <v>0</v>
      </c>
      <c r="F39" s="3">
        <f t="shared" si="15"/>
        <v>0</v>
      </c>
      <c r="H39" t="s">
        <v>14</v>
      </c>
      <c r="I39" s="6">
        <v>0</v>
      </c>
      <c r="J39" s="3">
        <f>$J$25*I39</f>
        <v>0</v>
      </c>
      <c r="K39" s="3">
        <f>$K$25*I39</f>
        <v>0</v>
      </c>
      <c r="L39" s="3">
        <f t="shared" si="16"/>
        <v>0</v>
      </c>
      <c r="N39" t="s">
        <v>14</v>
      </c>
      <c r="O39" s="6">
        <v>0</v>
      </c>
      <c r="P39" s="3">
        <f>$P$25*O39</f>
        <v>0</v>
      </c>
      <c r="Q39" s="3">
        <f>$Q$25*O39</f>
        <v>0</v>
      </c>
      <c r="R39" s="3">
        <f t="shared" si="17"/>
        <v>0</v>
      </c>
    </row>
    <row r="40" spans="1:18" x14ac:dyDescent="0.25">
      <c r="B40" t="s">
        <v>15</v>
      </c>
      <c r="C40" s="6">
        <v>0</v>
      </c>
      <c r="D40" s="3">
        <f>$D$26*C40</f>
        <v>0</v>
      </c>
      <c r="E40" s="3">
        <f>$E$26*C40</f>
        <v>0</v>
      </c>
      <c r="F40" s="3">
        <f t="shared" si="15"/>
        <v>0</v>
      </c>
      <c r="H40" t="s">
        <v>15</v>
      </c>
      <c r="I40" s="6">
        <v>0</v>
      </c>
      <c r="J40" s="3">
        <f>$J$26*I40</f>
        <v>0</v>
      </c>
      <c r="K40" s="3">
        <f>$K$26*I40</f>
        <v>0</v>
      </c>
      <c r="L40" s="3">
        <f t="shared" si="16"/>
        <v>0</v>
      </c>
      <c r="N40" t="s">
        <v>15</v>
      </c>
      <c r="O40" s="6">
        <v>0</v>
      </c>
      <c r="P40" s="3">
        <f>$P$26*O40</f>
        <v>0</v>
      </c>
      <c r="Q40" s="3">
        <f>$Q$26*O40</f>
        <v>0</v>
      </c>
      <c r="R40" s="3">
        <f t="shared" si="17"/>
        <v>0</v>
      </c>
    </row>
    <row r="41" spans="1:18" x14ac:dyDescent="0.25">
      <c r="B41" t="s">
        <v>16</v>
      </c>
      <c r="C41" s="6">
        <f>'Allocation Factors'!$G$10</f>
        <v>0.22268563849999998</v>
      </c>
      <c r="D41" s="3">
        <f>$D$27*C41</f>
        <v>-847752.20074502088</v>
      </c>
      <c r="E41" s="3">
        <f>$E$27*C41</f>
        <v>-1488550.6126075129</v>
      </c>
      <c r="F41" s="3">
        <f t="shared" si="15"/>
        <v>-640798.41186249198</v>
      </c>
      <c r="H41" t="s">
        <v>16</v>
      </c>
      <c r="I41" s="6">
        <f>'Allocation Factors'!$G$10</f>
        <v>0.22268563849999998</v>
      </c>
      <c r="J41" s="3">
        <f>$J$27*I41</f>
        <v>603.70076597349998</v>
      </c>
      <c r="K41" s="3">
        <f>$K$27*I41</f>
        <v>-979537.11623804388</v>
      </c>
      <c r="L41" s="3">
        <f t="shared" si="16"/>
        <v>-980140.81700401742</v>
      </c>
      <c r="N41" t="s">
        <v>16</v>
      </c>
      <c r="O41" s="6">
        <f>'Allocation Factors'!$G$10</f>
        <v>0.22268563849999998</v>
      </c>
      <c r="P41" s="3">
        <f>$P$27*O41</f>
        <v>-603.70076597349998</v>
      </c>
      <c r="Q41" s="3">
        <f>$Q$27*O41</f>
        <v>979537.11623804388</v>
      </c>
      <c r="R41" s="3">
        <f t="shared" si="17"/>
        <v>980140.81700401742</v>
      </c>
    </row>
    <row r="42" spans="1:18" x14ac:dyDescent="0.25">
      <c r="B42" t="s">
        <v>17</v>
      </c>
      <c r="C42" s="6">
        <f>'Allocation Factors'!$G$12</f>
        <v>0.24675289649999996</v>
      </c>
      <c r="D42" s="3">
        <f>$D$28*C42</f>
        <v>13327.123939964998</v>
      </c>
      <c r="E42" s="3">
        <f>$E$28*C42</f>
        <v>7885.7290663469985</v>
      </c>
      <c r="F42" s="3">
        <f t="shared" si="15"/>
        <v>-5441.394873618</v>
      </c>
      <c r="H42" t="s">
        <v>17</v>
      </c>
      <c r="I42" s="6">
        <f>'Allocation Factors'!$G$12</f>
        <v>0.24675289649999996</v>
      </c>
      <c r="J42" s="3">
        <f>$J$28*I42</f>
        <v>0</v>
      </c>
      <c r="K42" s="3">
        <f>$K$28*I42</f>
        <v>-110.54529763199999</v>
      </c>
      <c r="L42" s="3">
        <f t="shared" si="16"/>
        <v>-110.54529763199999</v>
      </c>
      <c r="N42" t="s">
        <v>17</v>
      </c>
      <c r="O42" s="6">
        <f>'Allocation Factors'!$G$12</f>
        <v>0.24675289649999996</v>
      </c>
      <c r="P42" s="3">
        <f>$P$28*O42</f>
        <v>0</v>
      </c>
      <c r="Q42" s="3">
        <f>$Q$28*O42</f>
        <v>110.54529763199999</v>
      </c>
      <c r="R42" s="3">
        <f t="shared" si="17"/>
        <v>110.54529763199999</v>
      </c>
    </row>
    <row r="43" spans="1:18" ht="15.75" thickBot="1" x14ac:dyDescent="0.3">
      <c r="C43" s="6"/>
      <c r="D43" s="4">
        <f>SUM(D38:D42)</f>
        <v>5156124.0434649428</v>
      </c>
      <c r="E43" s="4">
        <f>SUM(E38:E42)</f>
        <v>524444.42251883354</v>
      </c>
      <c r="F43" s="4">
        <f>SUM(F38:F42)</f>
        <v>-4631679.6209461093</v>
      </c>
      <c r="I43" s="6"/>
      <c r="J43" s="4">
        <f>SUM(J38:J42)</f>
        <v>391241.65143597341</v>
      </c>
      <c r="K43" s="4">
        <f>SUM(K38:K42)</f>
        <v>-2334485.0572356759</v>
      </c>
      <c r="L43" s="4">
        <f>SUM(L38:L42)</f>
        <v>-2725726.708671649</v>
      </c>
      <c r="O43" s="6"/>
      <c r="P43" s="4">
        <f>SUM(P38:P42)</f>
        <v>-391241.65143597341</v>
      </c>
      <c r="Q43" s="4">
        <f>SUM(Q38:Q42)</f>
        <v>2334485.0572356759</v>
      </c>
      <c r="R43" s="4">
        <f>SUM(R38:R42)</f>
        <v>2725726.708671649</v>
      </c>
    </row>
    <row r="44" spans="1:18" x14ac:dyDescent="0.25">
      <c r="C44" s="6"/>
      <c r="D44" s="3"/>
      <c r="E44" s="3"/>
      <c r="F44" s="3"/>
      <c r="I44" s="6"/>
      <c r="J44" s="3"/>
      <c r="K44" s="3"/>
      <c r="L44" s="3"/>
      <c r="O44" s="6"/>
      <c r="P44" s="3"/>
      <c r="Q44" s="3"/>
      <c r="R44" s="3"/>
    </row>
    <row r="45" spans="1:18" x14ac:dyDescent="0.25">
      <c r="A45" t="s">
        <v>30</v>
      </c>
      <c r="B45" t="s">
        <v>13</v>
      </c>
      <c r="C45" s="6">
        <v>0</v>
      </c>
      <c r="D45" s="3">
        <f>$D$24*C45</f>
        <v>0</v>
      </c>
      <c r="E45" s="3">
        <f>$E$24*C45</f>
        <v>0</v>
      </c>
      <c r="F45" s="3">
        <f t="shared" ref="F45:F49" si="18">E45-D45</f>
        <v>0</v>
      </c>
      <c r="H45" t="s">
        <v>13</v>
      </c>
      <c r="I45" s="6">
        <v>0</v>
      </c>
      <c r="J45" s="3">
        <f>$J$24*I45</f>
        <v>0</v>
      </c>
      <c r="K45" s="3">
        <f>$K$24*I45</f>
        <v>0</v>
      </c>
      <c r="L45" s="3">
        <f t="shared" ref="L45:L49" si="19">K45-J45</f>
        <v>0</v>
      </c>
      <c r="N45" t="s">
        <v>13</v>
      </c>
      <c r="O45" s="6">
        <v>0</v>
      </c>
      <c r="P45" s="3">
        <f>$P$24*O45</f>
        <v>0</v>
      </c>
      <c r="Q45" s="3">
        <f>$Q$24*O45</f>
        <v>0</v>
      </c>
      <c r="R45" s="3">
        <f t="shared" ref="R45:R49" si="20">Q45-P45</f>
        <v>0</v>
      </c>
    </row>
    <row r="46" spans="1:18" x14ac:dyDescent="0.25">
      <c r="B46" t="s">
        <v>14</v>
      </c>
      <c r="C46" s="6">
        <f>'Allocation Factors'!$F$7</f>
        <v>0.71353</v>
      </c>
      <c r="D46" s="3">
        <f>$D$25*C46</f>
        <v>2345876.8621800002</v>
      </c>
      <c r="E46" s="3">
        <f>$E$25*C46</f>
        <v>508021.22999000002</v>
      </c>
      <c r="F46" s="3">
        <f t="shared" si="18"/>
        <v>-1837855.6321900003</v>
      </c>
      <c r="H46" t="s">
        <v>14</v>
      </c>
      <c r="I46" s="6">
        <f>'Allocation Factors'!$F$7</f>
        <v>0.71353</v>
      </c>
      <c r="J46" s="3">
        <f>$J$25*I46</f>
        <v>357268.03865</v>
      </c>
      <c r="K46" s="3">
        <f>$K$25*I46</f>
        <v>-685143.63601000002</v>
      </c>
      <c r="L46" s="3">
        <f t="shared" si="19"/>
        <v>-1042411.67466</v>
      </c>
      <c r="N46" t="s">
        <v>14</v>
      </c>
      <c r="O46" s="6">
        <f>'Allocation Factors'!$F$7</f>
        <v>0.71353</v>
      </c>
      <c r="P46" s="3">
        <f>$P$25*O46</f>
        <v>-357268.03865</v>
      </c>
      <c r="Q46" s="3">
        <f>$Q$25*O46</f>
        <v>685143.63601000002</v>
      </c>
      <c r="R46" s="3">
        <f t="shared" si="20"/>
        <v>1042411.67466</v>
      </c>
    </row>
    <row r="47" spans="1:18" x14ac:dyDescent="0.25">
      <c r="B47" t="s">
        <v>15</v>
      </c>
      <c r="C47" s="6">
        <v>0</v>
      </c>
      <c r="D47" s="3">
        <f>$D$26*C47</f>
        <v>0</v>
      </c>
      <c r="E47" s="3">
        <f>$E$26*C47</f>
        <v>0</v>
      </c>
      <c r="F47" s="3">
        <f t="shared" si="18"/>
        <v>0</v>
      </c>
      <c r="H47" t="s">
        <v>15</v>
      </c>
      <c r="I47" s="6">
        <v>0</v>
      </c>
      <c r="J47" s="3">
        <f>$J$26*I47</f>
        <v>0</v>
      </c>
      <c r="K47" s="3">
        <f>$K$26*I47</f>
        <v>0</v>
      </c>
      <c r="L47" s="3">
        <f t="shared" si="19"/>
        <v>0</v>
      </c>
      <c r="N47" t="s">
        <v>15</v>
      </c>
      <c r="O47" s="6">
        <v>0</v>
      </c>
      <c r="P47" s="3">
        <f>$P$26*O47</f>
        <v>0</v>
      </c>
      <c r="Q47" s="3">
        <f>$Q$26*O47</f>
        <v>0</v>
      </c>
      <c r="R47" s="3">
        <f t="shared" si="20"/>
        <v>0</v>
      </c>
    </row>
    <row r="48" spans="1:18" x14ac:dyDescent="0.25">
      <c r="B48" t="s">
        <v>16</v>
      </c>
      <c r="C48" s="6">
        <f>'Allocation Factors'!$H$10</f>
        <v>0.1466232797</v>
      </c>
      <c r="D48" s="3">
        <f>$D$27*C48</f>
        <v>-558186.90816079616</v>
      </c>
      <c r="E48" s="3">
        <f>$E$27*C48</f>
        <v>-980108.88483927853</v>
      </c>
      <c r="F48" s="3">
        <f t="shared" si="18"/>
        <v>-421921.97667848237</v>
      </c>
      <c r="H48" t="s">
        <v>16</v>
      </c>
      <c r="I48" s="6">
        <f>'Allocation Factors'!$H$10</f>
        <v>0.1466232797</v>
      </c>
      <c r="J48" s="3">
        <f>$J$27*I48</f>
        <v>397.49571126669997</v>
      </c>
      <c r="K48" s="3">
        <f>$K$27*I48</f>
        <v>-644958.27184069681</v>
      </c>
      <c r="L48" s="3">
        <f t="shared" si="19"/>
        <v>-645355.76755196345</v>
      </c>
      <c r="N48" t="s">
        <v>16</v>
      </c>
      <c r="O48" s="6">
        <f>'Allocation Factors'!$H$10</f>
        <v>0.1466232797</v>
      </c>
      <c r="P48" s="3">
        <f>$P$27*O48</f>
        <v>-397.49571126669997</v>
      </c>
      <c r="Q48" s="3">
        <f>$Q$27*O48</f>
        <v>644958.27184069681</v>
      </c>
      <c r="R48" s="3">
        <f t="shared" si="20"/>
        <v>645355.76755196345</v>
      </c>
    </row>
    <row r="49" spans="1:18" x14ac:dyDescent="0.25">
      <c r="B49" t="s">
        <v>17</v>
      </c>
      <c r="C49" s="6">
        <f>'Allocation Factors'!$H$12</f>
        <v>0.1590101605</v>
      </c>
      <c r="D49" s="3">
        <f>$D$28*C49</f>
        <v>8588.1387686050002</v>
      </c>
      <c r="E49" s="3">
        <f>$E$28*C49</f>
        <v>5081.6467092590001</v>
      </c>
      <c r="F49" s="3">
        <f t="shared" si="18"/>
        <v>-3506.4920593460001</v>
      </c>
      <c r="H49" t="s">
        <v>17</v>
      </c>
      <c r="I49" s="6">
        <f>'Allocation Factors'!$H$12</f>
        <v>0.1590101605</v>
      </c>
      <c r="J49" s="3">
        <f>$J$28*I49</f>
        <v>0</v>
      </c>
      <c r="K49" s="3">
        <f>$K$28*I49</f>
        <v>-71.236551903999995</v>
      </c>
      <c r="L49" s="3">
        <f t="shared" si="19"/>
        <v>-71.236551903999995</v>
      </c>
      <c r="N49" t="s">
        <v>17</v>
      </c>
      <c r="O49" s="6">
        <f>'Allocation Factors'!$H$12</f>
        <v>0.1590101605</v>
      </c>
      <c r="P49" s="3">
        <f>$P$28*O49</f>
        <v>0</v>
      </c>
      <c r="Q49" s="3">
        <f>$Q$28*O49</f>
        <v>71.236551903999995</v>
      </c>
      <c r="R49" s="3">
        <f t="shared" si="20"/>
        <v>71.236551903999995</v>
      </c>
    </row>
    <row r="50" spans="1:18" ht="15.75" thickBot="1" x14ac:dyDescent="0.3">
      <c r="C50" s="6"/>
      <c r="D50" s="4">
        <f>SUM(D45:D49)</f>
        <v>1796278.092787809</v>
      </c>
      <c r="E50" s="4">
        <f>SUM(E45:E49)</f>
        <v>-467006.00814001949</v>
      </c>
      <c r="F50" s="4">
        <f>SUM(F45:F49)</f>
        <v>-2263284.1009278283</v>
      </c>
      <c r="I50" s="6"/>
      <c r="J50" s="4">
        <f>SUM(J45:J49)</f>
        <v>357665.53436126671</v>
      </c>
      <c r="K50" s="4">
        <f>SUM(K45:K49)</f>
        <v>-1330173.1444026006</v>
      </c>
      <c r="L50" s="4">
        <f>SUM(L45:L49)</f>
        <v>-1687838.6787638674</v>
      </c>
      <c r="O50" s="6"/>
      <c r="P50" s="4">
        <f>SUM(P45:P49)</f>
        <v>-357665.53436126671</v>
      </c>
      <c r="Q50" s="4">
        <f>SUM(Q45:Q49)</f>
        <v>1330173.1444026006</v>
      </c>
      <c r="R50" s="4">
        <f>SUM(R45:R49)</f>
        <v>1687838.6787638674</v>
      </c>
    </row>
    <row r="51" spans="1:18" x14ac:dyDescent="0.25">
      <c r="C51" s="6"/>
      <c r="D51" s="3"/>
      <c r="E51" s="3"/>
      <c r="F51" s="3"/>
      <c r="I51" s="6"/>
      <c r="J51" s="3"/>
      <c r="K51" s="3"/>
      <c r="L51" s="3"/>
      <c r="O51" s="6"/>
      <c r="P51" s="3"/>
      <c r="Q51" s="3"/>
      <c r="R51" s="3"/>
    </row>
    <row r="52" spans="1:18" x14ac:dyDescent="0.25">
      <c r="A52" t="s">
        <v>31</v>
      </c>
      <c r="B52" t="s">
        <v>13</v>
      </c>
      <c r="C52" s="6">
        <v>0</v>
      </c>
      <c r="D52" s="3">
        <f>$D$24*C52</f>
        <v>0</v>
      </c>
      <c r="E52" s="3">
        <f>$E$24*C52</f>
        <v>0</v>
      </c>
      <c r="F52" s="3">
        <f t="shared" ref="F52:F56" si="21">E52-D52</f>
        <v>0</v>
      </c>
      <c r="H52" t="s">
        <v>13</v>
      </c>
      <c r="I52" s="6">
        <v>0</v>
      </c>
      <c r="J52" s="3">
        <f>$J$24*I52</f>
        <v>0</v>
      </c>
      <c r="K52" s="3">
        <f>$K$24*I52</f>
        <v>0</v>
      </c>
      <c r="L52" s="3">
        <f t="shared" ref="L52:L56" si="22">K52-J52</f>
        <v>0</v>
      </c>
      <c r="N52" t="s">
        <v>13</v>
      </c>
      <c r="O52" s="6">
        <v>0</v>
      </c>
      <c r="P52" s="3">
        <f>$P$24*O52</f>
        <v>0</v>
      </c>
      <c r="Q52" s="3">
        <f>$Q$24*O52</f>
        <v>0</v>
      </c>
      <c r="R52" s="3">
        <f t="shared" ref="R52:R56" si="23">Q52-P52</f>
        <v>0</v>
      </c>
    </row>
    <row r="53" spans="1:18" x14ac:dyDescent="0.25">
      <c r="B53" t="s">
        <v>14</v>
      </c>
      <c r="C53" s="6">
        <f>'Allocation Factors'!$G$7</f>
        <v>0.28647</v>
      </c>
      <c r="D53" s="3">
        <f>$D$25*C53</f>
        <v>941829.13782000006</v>
      </c>
      <c r="E53" s="3">
        <f>$E$25*C53</f>
        <v>203961.77001000001</v>
      </c>
      <c r="F53" s="3">
        <f t="shared" si="21"/>
        <v>-737867.36781000008</v>
      </c>
      <c r="H53" t="s">
        <v>14</v>
      </c>
      <c r="I53" s="6">
        <f>'Allocation Factors'!$G$7</f>
        <v>0.28647</v>
      </c>
      <c r="J53" s="3">
        <f>$J$25*I53</f>
        <v>143436.96135</v>
      </c>
      <c r="K53" s="3">
        <f>$K$25*I53</f>
        <v>-275073.36398999998</v>
      </c>
      <c r="L53" s="3">
        <f t="shared" si="22"/>
        <v>-418510.32533999998</v>
      </c>
      <c r="N53" t="s">
        <v>14</v>
      </c>
      <c r="O53" s="6">
        <f>'Allocation Factors'!$G$7</f>
        <v>0.28647</v>
      </c>
      <c r="P53" s="3">
        <f>$P$25*O53</f>
        <v>-143436.96135</v>
      </c>
      <c r="Q53" s="3">
        <f>$Q$25*O53</f>
        <v>275073.36398999998</v>
      </c>
      <c r="R53" s="3">
        <f t="shared" si="23"/>
        <v>418510.32533999998</v>
      </c>
    </row>
    <row r="54" spans="1:18" x14ac:dyDescent="0.25">
      <c r="B54" t="s">
        <v>15</v>
      </c>
      <c r="C54" s="6">
        <v>0</v>
      </c>
      <c r="D54" s="3">
        <f>$D$26*C54</f>
        <v>0</v>
      </c>
      <c r="E54" s="3">
        <f>$E$26*C54</f>
        <v>0</v>
      </c>
      <c r="F54" s="3">
        <f t="shared" si="21"/>
        <v>0</v>
      </c>
      <c r="H54" t="s">
        <v>15</v>
      </c>
      <c r="I54" s="6">
        <v>0</v>
      </c>
      <c r="J54" s="3">
        <f>$J$26*I54</f>
        <v>0</v>
      </c>
      <c r="K54" s="3">
        <f>$K$26*I54</f>
        <v>0</v>
      </c>
      <c r="L54" s="3">
        <f t="shared" si="22"/>
        <v>0</v>
      </c>
      <c r="N54" t="s">
        <v>15</v>
      </c>
      <c r="O54" s="6">
        <v>0</v>
      </c>
      <c r="P54" s="3">
        <f>$P$26*O54</f>
        <v>0</v>
      </c>
      <c r="Q54" s="3">
        <f>$Q$26*O54</f>
        <v>0</v>
      </c>
      <c r="R54" s="3">
        <f t="shared" si="23"/>
        <v>0</v>
      </c>
    </row>
    <row r="55" spans="1:18" x14ac:dyDescent="0.25">
      <c r="B55" t="s">
        <v>16</v>
      </c>
      <c r="C55" s="6">
        <f>'Allocation Factors'!$I$10</f>
        <v>5.8866720300000001E-2</v>
      </c>
      <c r="D55" s="3">
        <f>$D$27*C55</f>
        <v>-224102.42537920381</v>
      </c>
      <c r="E55" s="3">
        <f>$E$27*C55</f>
        <v>-393496.82878072141</v>
      </c>
      <c r="F55" s="3">
        <f t="shared" si="21"/>
        <v>-169394.4034015176</v>
      </c>
      <c r="H55" t="s">
        <v>16</v>
      </c>
      <c r="I55" s="6">
        <f>'Allocation Factors'!$I$10</f>
        <v>5.8866720300000001E-2</v>
      </c>
      <c r="J55" s="3">
        <f>$J$27*I55</f>
        <v>159.58767873330001</v>
      </c>
      <c r="K55" s="3">
        <f>$K$27*I55</f>
        <v>-258939.63271930322</v>
      </c>
      <c r="L55" s="3">
        <f t="shared" si="22"/>
        <v>-259099.22039803653</v>
      </c>
      <c r="N55" t="s">
        <v>16</v>
      </c>
      <c r="O55" s="6">
        <f>'Allocation Factors'!$I$10</f>
        <v>5.8866720300000001E-2</v>
      </c>
      <c r="P55" s="3">
        <f>$P$27*O55</f>
        <v>-159.58767873330001</v>
      </c>
      <c r="Q55" s="3">
        <f>$Q$27*O55</f>
        <v>258939.63271930322</v>
      </c>
      <c r="R55" s="3">
        <f t="shared" si="23"/>
        <v>259099.22039803653</v>
      </c>
    </row>
    <row r="56" spans="1:18" x14ac:dyDescent="0.25">
      <c r="B56" t="s">
        <v>17</v>
      </c>
      <c r="C56" s="6">
        <f>'Allocation Factors'!$I$12</f>
        <v>6.3839839499999995E-2</v>
      </c>
      <c r="D56" s="3">
        <f>$D$28*C56</f>
        <v>3447.9897313949996</v>
      </c>
      <c r="E56" s="3">
        <f>$E$28*C56</f>
        <v>2040.1935907409998</v>
      </c>
      <c r="F56" s="3">
        <f t="shared" si="21"/>
        <v>-1407.7961406539998</v>
      </c>
      <c r="H56" t="s">
        <v>17</v>
      </c>
      <c r="I56" s="6">
        <f>'Allocation Factors'!$I$12</f>
        <v>6.3839839499999995E-2</v>
      </c>
      <c r="J56" s="3">
        <f>$J$28*I56</f>
        <v>0</v>
      </c>
      <c r="K56" s="3">
        <f>$K$28*I56</f>
        <v>-28.600248095999998</v>
      </c>
      <c r="L56" s="3">
        <f t="shared" si="22"/>
        <v>-28.600248095999998</v>
      </c>
      <c r="N56" t="s">
        <v>17</v>
      </c>
      <c r="O56" s="6">
        <f>'Allocation Factors'!$I$12</f>
        <v>6.3839839499999995E-2</v>
      </c>
      <c r="P56" s="3">
        <f>$P$28*O56</f>
        <v>0</v>
      </c>
      <c r="Q56" s="3">
        <f>$Q$28*O56</f>
        <v>28.600248095999998</v>
      </c>
      <c r="R56" s="3">
        <f t="shared" si="23"/>
        <v>28.600248095999998</v>
      </c>
    </row>
    <row r="57" spans="1:18" ht="15.75" thickBot="1" x14ac:dyDescent="0.3">
      <c r="C57" s="6"/>
      <c r="D57" s="4">
        <f>SUM(D52:D56)</f>
        <v>721174.70217219123</v>
      </c>
      <c r="E57" s="4">
        <f>SUM(E52:E56)</f>
        <v>-187494.86517998041</v>
      </c>
      <c r="F57" s="4">
        <f>SUM(F52:F56)</f>
        <v>-908669.56735217175</v>
      </c>
      <c r="I57" s="6"/>
      <c r="J57" s="4">
        <f>SUM(J52:J56)</f>
        <v>143596.54902873331</v>
      </c>
      <c r="K57" s="4">
        <f>SUM(K52:K56)</f>
        <v>-534041.59695739928</v>
      </c>
      <c r="L57" s="4">
        <f>SUM(L52:L56)</f>
        <v>-677638.14598613256</v>
      </c>
      <c r="O57" s="6"/>
      <c r="P57" s="4">
        <f>SUM(P52:P56)</f>
        <v>-143596.54902873331</v>
      </c>
      <c r="Q57" s="4">
        <f>SUM(Q52:Q56)</f>
        <v>534041.59695739928</v>
      </c>
      <c r="R57" s="4">
        <f>SUM(R52:R56)</f>
        <v>677638.14598613256</v>
      </c>
    </row>
    <row r="58" spans="1:18" x14ac:dyDescent="0.25">
      <c r="C58" s="6"/>
      <c r="D58" s="3"/>
      <c r="E58" s="3"/>
      <c r="F58" s="3"/>
      <c r="I58" s="6"/>
      <c r="J58" s="3"/>
      <c r="K58" s="3"/>
      <c r="L58" s="3"/>
      <c r="O58" s="6"/>
      <c r="P58" s="3"/>
      <c r="Q58" s="3"/>
      <c r="R58" s="3"/>
    </row>
    <row r="59" spans="1:18" x14ac:dyDescent="0.25">
      <c r="A59" t="s">
        <v>32</v>
      </c>
      <c r="B59" t="s">
        <v>13</v>
      </c>
      <c r="C59" s="6">
        <v>0</v>
      </c>
      <c r="D59" s="3">
        <f>$D$24*C59</f>
        <v>0</v>
      </c>
      <c r="E59" s="3">
        <f>$E$24*C59</f>
        <v>0</v>
      </c>
      <c r="F59" s="3">
        <f t="shared" ref="F59:F63" si="24">E59-D59</f>
        <v>0</v>
      </c>
      <c r="H59" t="s">
        <v>13</v>
      </c>
      <c r="I59" s="6">
        <v>0</v>
      </c>
      <c r="J59" s="3">
        <f>$J$24*I59</f>
        <v>0</v>
      </c>
      <c r="K59" s="3">
        <f>$K$24*I59</f>
        <v>0</v>
      </c>
      <c r="L59" s="3">
        <f t="shared" ref="L59:L63" si="25">K59-J59</f>
        <v>0</v>
      </c>
      <c r="N59" t="s">
        <v>13</v>
      </c>
      <c r="O59" s="6">
        <v>0</v>
      </c>
      <c r="P59" s="3">
        <f>$P$24*O59</f>
        <v>0</v>
      </c>
      <c r="Q59" s="3">
        <f>$Q$24*O59</f>
        <v>0</v>
      </c>
      <c r="R59" s="3">
        <f t="shared" ref="R59:R63" si="26">Q59-P59</f>
        <v>0</v>
      </c>
    </row>
    <row r="60" spans="1:18" x14ac:dyDescent="0.25">
      <c r="B60" t="s">
        <v>14</v>
      </c>
      <c r="C60" s="6">
        <v>0</v>
      </c>
      <c r="D60" s="3">
        <f>$D$25*C60</f>
        <v>0</v>
      </c>
      <c r="E60" s="3">
        <f>$E$25*C60</f>
        <v>0</v>
      </c>
      <c r="F60" s="3">
        <f t="shared" si="24"/>
        <v>0</v>
      </c>
      <c r="H60" t="s">
        <v>14</v>
      </c>
      <c r="I60" s="6">
        <v>0</v>
      </c>
      <c r="J60" s="3">
        <f>$J$25*I60</f>
        <v>0</v>
      </c>
      <c r="K60" s="3">
        <f>$K$25*I60</f>
        <v>0</v>
      </c>
      <c r="L60" s="3">
        <f t="shared" si="25"/>
        <v>0</v>
      </c>
      <c r="N60" t="s">
        <v>14</v>
      </c>
      <c r="O60" s="6">
        <v>0</v>
      </c>
      <c r="P60" s="3">
        <f>$P$25*O60</f>
        <v>0</v>
      </c>
      <c r="Q60" s="3">
        <f>$Q$25*O60</f>
        <v>0</v>
      </c>
      <c r="R60" s="3">
        <f t="shared" si="26"/>
        <v>0</v>
      </c>
    </row>
    <row r="61" spans="1:18" x14ac:dyDescent="0.25">
      <c r="B61" t="s">
        <v>15</v>
      </c>
      <c r="C61" s="6">
        <v>1</v>
      </c>
      <c r="D61" s="3">
        <f>$D$26*C61</f>
        <v>1954240</v>
      </c>
      <c r="E61" s="3">
        <f>$E$26*C61</f>
        <v>854056</v>
      </c>
      <c r="F61" s="3">
        <f t="shared" si="24"/>
        <v>-1100184</v>
      </c>
      <c r="H61" t="s">
        <v>15</v>
      </c>
      <c r="I61" s="6">
        <v>1</v>
      </c>
      <c r="J61" s="3">
        <f>$J$26*I61</f>
        <v>1723</v>
      </c>
      <c r="K61" s="3">
        <f>$K$26*I61</f>
        <v>-317454</v>
      </c>
      <c r="L61" s="3">
        <f t="shared" si="25"/>
        <v>-319177</v>
      </c>
      <c r="N61" t="s">
        <v>15</v>
      </c>
      <c r="O61" s="6">
        <v>1</v>
      </c>
      <c r="P61" s="3">
        <f>$P$26*O61</f>
        <v>-1723</v>
      </c>
      <c r="Q61" s="3">
        <f>$Q$26*O61</f>
        <v>317454</v>
      </c>
      <c r="R61" s="3">
        <f t="shared" si="26"/>
        <v>319177</v>
      </c>
    </row>
    <row r="62" spans="1:18" x14ac:dyDescent="0.25">
      <c r="B62" t="s">
        <v>16</v>
      </c>
      <c r="C62" s="6">
        <f>'Allocation Factors'!$J$10</f>
        <v>9.3160000000000007E-2</v>
      </c>
      <c r="D62" s="3">
        <f>$D$27*C62</f>
        <v>-354655.08936000004</v>
      </c>
      <c r="E62" s="3">
        <f>$E$27*C62</f>
        <v>-622731.56008000008</v>
      </c>
      <c r="F62" s="3">
        <f t="shared" si="24"/>
        <v>-268076.47072000004</v>
      </c>
      <c r="H62" t="s">
        <v>16</v>
      </c>
      <c r="I62" s="6">
        <f>'Allocation Factors'!$J$10</f>
        <v>9.3160000000000007E-2</v>
      </c>
      <c r="J62" s="3">
        <f>$J$27*I62</f>
        <v>252.55676000000003</v>
      </c>
      <c r="K62" s="3">
        <f>$K$27*I62</f>
        <v>-409786.99104000005</v>
      </c>
      <c r="L62" s="3">
        <f t="shared" si="25"/>
        <v>-410039.54780000006</v>
      </c>
      <c r="N62" t="s">
        <v>16</v>
      </c>
      <c r="O62" s="6">
        <f>'Allocation Factors'!$J$10</f>
        <v>9.3160000000000007E-2</v>
      </c>
      <c r="P62" s="3">
        <f>$P$27*O62</f>
        <v>-252.55676000000003</v>
      </c>
      <c r="Q62" s="3">
        <f>$Q$27*O62</f>
        <v>409786.99104000005</v>
      </c>
      <c r="R62" s="3">
        <f t="shared" si="26"/>
        <v>410039.54780000006</v>
      </c>
    </row>
    <row r="63" spans="1:18" x14ac:dyDescent="0.25">
      <c r="B63" t="s">
        <v>17</v>
      </c>
      <c r="C63" s="6">
        <v>0</v>
      </c>
      <c r="D63" s="3">
        <f>$D$28*C63</f>
        <v>0</v>
      </c>
      <c r="E63" s="3">
        <f>$E$28*C63</f>
        <v>0</v>
      </c>
      <c r="F63" s="3">
        <f t="shared" si="24"/>
        <v>0</v>
      </c>
      <c r="H63" t="s">
        <v>17</v>
      </c>
      <c r="I63" s="6">
        <v>0</v>
      </c>
      <c r="J63" s="3">
        <f>$J$28*I63</f>
        <v>0</v>
      </c>
      <c r="K63" s="3">
        <f>$K$28*I63</f>
        <v>0</v>
      </c>
      <c r="L63" s="3">
        <f t="shared" si="25"/>
        <v>0</v>
      </c>
      <c r="N63" t="s">
        <v>17</v>
      </c>
      <c r="O63" s="6">
        <v>0</v>
      </c>
      <c r="P63" s="3">
        <f>$P$28*O63</f>
        <v>0</v>
      </c>
      <c r="Q63" s="3">
        <f>$Q$28*O63</f>
        <v>0</v>
      </c>
      <c r="R63" s="3">
        <f t="shared" si="26"/>
        <v>0</v>
      </c>
    </row>
    <row r="64" spans="1:18" ht="15.75" thickBot="1" x14ac:dyDescent="0.3">
      <c r="D64" s="4">
        <f>SUM(D59:D63)</f>
        <v>1599584.9106399999</v>
      </c>
      <c r="E64" s="4">
        <f>SUM(E59:E63)</f>
        <v>231324.43991999992</v>
      </c>
      <c r="F64" s="4">
        <f>SUM(F59:F63)</f>
        <v>-1368260.4707200001</v>
      </c>
      <c r="J64" s="4">
        <f>SUM(J59:J63)</f>
        <v>1975.5567599999999</v>
      </c>
      <c r="K64" s="4">
        <f>SUM(K59:K63)</f>
        <v>-727240.99103999999</v>
      </c>
      <c r="L64" s="4">
        <f>SUM(L59:L63)</f>
        <v>-729216.54780000006</v>
      </c>
      <c r="P64" s="4">
        <f>SUM(P59:P63)</f>
        <v>-1975.5567599999999</v>
      </c>
      <c r="Q64" s="4">
        <f>SUM(Q59:Q63)</f>
        <v>727240.99103999999</v>
      </c>
      <c r="R64" s="4">
        <f>SUM(R59:R63)</f>
        <v>729216.54780000006</v>
      </c>
    </row>
    <row r="65" spans="1:18" x14ac:dyDescent="0.25">
      <c r="D65" s="3"/>
      <c r="E65" s="3"/>
      <c r="F65" s="3"/>
      <c r="J65" s="3"/>
      <c r="K65" s="3"/>
      <c r="L65" s="3"/>
      <c r="P65" s="3"/>
      <c r="Q65" s="3"/>
      <c r="R65" s="3"/>
    </row>
    <row r="66" spans="1:18" x14ac:dyDescent="0.25">
      <c r="A66" t="s">
        <v>6</v>
      </c>
      <c r="B66" t="s">
        <v>13</v>
      </c>
      <c r="D66" s="3">
        <f>SUM(D31,D38,D45,D52,D59)</f>
        <v>18867277</v>
      </c>
      <c r="E66" s="3">
        <f>SUM(E31,E38,E45,E52,E59)</f>
        <v>6315105.9999999991</v>
      </c>
      <c r="F66" s="3">
        <f t="shared" ref="F66:F70" si="27">E66-D66</f>
        <v>-12552171</v>
      </c>
      <c r="H66" t="s">
        <v>13</v>
      </c>
      <c r="J66" s="3">
        <f>SUM(J31,J38,J45,J52,J59)</f>
        <v>1230317</v>
      </c>
      <c r="K66" s="3">
        <f>SUM(K31,K38,K45,K52,K59)</f>
        <v>-4267070</v>
      </c>
      <c r="L66" s="3">
        <f t="shared" ref="L66:L70" si="28">K66-J66</f>
        <v>-5497387</v>
      </c>
      <c r="N66" t="s">
        <v>13</v>
      </c>
      <c r="P66" s="3">
        <f>SUM(P31,P38,P45,P52,P59)</f>
        <v>-1230317</v>
      </c>
      <c r="Q66" s="3">
        <f>SUM(Q31,Q38,Q45,Q52,Q59)</f>
        <v>4267070</v>
      </c>
      <c r="R66" s="3">
        <f t="shared" ref="R66:R70" si="29">Q66-P66</f>
        <v>5497387</v>
      </c>
    </row>
    <row r="67" spans="1:18" x14ac:dyDescent="0.25">
      <c r="B67" t="s">
        <v>14</v>
      </c>
      <c r="D67" s="3">
        <f t="shared" ref="D67:E70" si="30">SUM(D32,D39,D46,D53,D60)</f>
        <v>3287706</v>
      </c>
      <c r="E67" s="3">
        <f t="shared" si="30"/>
        <v>711983</v>
      </c>
      <c r="F67" s="3">
        <f t="shared" si="27"/>
        <v>-2575723</v>
      </c>
      <c r="H67" t="s">
        <v>14</v>
      </c>
      <c r="J67" s="3">
        <f t="shared" ref="J67:K70" si="31">SUM(J32,J39,J46,J53,J60)</f>
        <v>500705</v>
      </c>
      <c r="K67" s="3">
        <f t="shared" si="31"/>
        <v>-960217</v>
      </c>
      <c r="L67" s="3">
        <f t="shared" si="28"/>
        <v>-1460922</v>
      </c>
      <c r="N67" t="s">
        <v>14</v>
      </c>
      <c r="P67" s="3">
        <f t="shared" ref="P67:Q70" si="32">SUM(P32,P39,P46,P53,P60)</f>
        <v>-500705</v>
      </c>
      <c r="Q67" s="3">
        <f t="shared" si="32"/>
        <v>960217</v>
      </c>
      <c r="R67" s="3">
        <f t="shared" si="29"/>
        <v>1460922</v>
      </c>
    </row>
    <row r="68" spans="1:18" x14ac:dyDescent="0.25">
      <c r="B68" t="s">
        <v>15</v>
      </c>
      <c r="D68" s="3">
        <f t="shared" si="30"/>
        <v>1954240</v>
      </c>
      <c r="E68" s="3">
        <f t="shared" si="30"/>
        <v>854056</v>
      </c>
      <c r="F68" s="3">
        <f t="shared" si="27"/>
        <v>-1100184</v>
      </c>
      <c r="H68" t="s">
        <v>15</v>
      </c>
      <c r="J68" s="3">
        <f t="shared" si="31"/>
        <v>1723</v>
      </c>
      <c r="K68" s="3">
        <f t="shared" si="31"/>
        <v>-317454</v>
      </c>
      <c r="L68" s="3">
        <f t="shared" si="28"/>
        <v>-319177</v>
      </c>
      <c r="N68" t="s">
        <v>15</v>
      </c>
      <c r="P68" s="3">
        <f t="shared" si="32"/>
        <v>-1723</v>
      </c>
      <c r="Q68" s="3">
        <f t="shared" si="32"/>
        <v>317454</v>
      </c>
      <c r="R68" s="3">
        <f t="shared" si="29"/>
        <v>319177</v>
      </c>
    </row>
    <row r="69" spans="1:18" x14ac:dyDescent="0.25">
      <c r="B69" t="s">
        <v>16</v>
      </c>
      <c r="D69" s="3">
        <f t="shared" si="30"/>
        <v>-3806945.9999999995</v>
      </c>
      <c r="E69" s="3">
        <f t="shared" si="30"/>
        <v>-6684538.0000000009</v>
      </c>
      <c r="F69" s="3">
        <f t="shared" si="27"/>
        <v>-2877592.0000000014</v>
      </c>
      <c r="H69" t="s">
        <v>16</v>
      </c>
      <c r="J69" s="3">
        <f t="shared" si="31"/>
        <v>2711</v>
      </c>
      <c r="K69" s="3">
        <f t="shared" si="31"/>
        <v>-4398743.9999999991</v>
      </c>
      <c r="L69" s="3">
        <f t="shared" si="28"/>
        <v>-4401454.9999999991</v>
      </c>
      <c r="N69" t="s">
        <v>16</v>
      </c>
      <c r="P69" s="3">
        <f t="shared" si="32"/>
        <v>-2711</v>
      </c>
      <c r="Q69" s="3">
        <f t="shared" si="32"/>
        <v>4398743.9999999991</v>
      </c>
      <c r="R69" s="3">
        <f t="shared" si="29"/>
        <v>4401454.9999999991</v>
      </c>
    </row>
    <row r="70" spans="1:18" x14ac:dyDescent="0.25">
      <c r="B70" t="s">
        <v>17</v>
      </c>
      <c r="D70" s="3">
        <f t="shared" si="30"/>
        <v>54010</v>
      </c>
      <c r="E70" s="3">
        <f t="shared" si="30"/>
        <v>31957.999999999996</v>
      </c>
      <c r="F70" s="3">
        <f t="shared" si="27"/>
        <v>-22052.000000000004</v>
      </c>
      <c r="H70" t="s">
        <v>17</v>
      </c>
      <c r="J70" s="3">
        <f t="shared" si="31"/>
        <v>0</v>
      </c>
      <c r="K70" s="3">
        <f t="shared" si="31"/>
        <v>-448</v>
      </c>
      <c r="L70" s="3">
        <f t="shared" si="28"/>
        <v>-448</v>
      </c>
      <c r="N70" t="s">
        <v>17</v>
      </c>
      <c r="P70" s="3">
        <f t="shared" si="32"/>
        <v>0</v>
      </c>
      <c r="Q70" s="3">
        <f t="shared" si="32"/>
        <v>448</v>
      </c>
      <c r="R70" s="3">
        <f t="shared" si="29"/>
        <v>448</v>
      </c>
    </row>
    <row r="71" spans="1:18" ht="15.75" thickBot="1" x14ac:dyDescent="0.3">
      <c r="D71" s="4">
        <f>SUM(D66:D70)</f>
        <v>20356287</v>
      </c>
      <c r="E71" s="4">
        <f>SUM(E66:E70)</f>
        <v>1228564.9999999981</v>
      </c>
      <c r="F71" s="4">
        <f>SUM(F66:F70)</f>
        <v>-19127722</v>
      </c>
      <c r="J71" s="4">
        <f>SUM(J66:J70)</f>
        <v>1735456</v>
      </c>
      <c r="K71" s="4">
        <f>SUM(K66:K70)</f>
        <v>-9943933</v>
      </c>
      <c r="L71" s="4">
        <f>SUM(L66:L70)</f>
        <v>-11679389</v>
      </c>
      <c r="P71" s="4">
        <f>SUM(P66:P70)</f>
        <v>-1735456</v>
      </c>
      <c r="Q71" s="4">
        <f>SUM(Q66:Q70)</f>
        <v>9943933</v>
      </c>
      <c r="R71" s="4">
        <f>SUM(R66:R70)</f>
        <v>11679389</v>
      </c>
    </row>
  </sheetData>
  <mergeCells count="3">
    <mergeCell ref="D1:F1"/>
    <mergeCell ref="J1:L1"/>
    <mergeCell ref="P1:R1"/>
  </mergeCells>
  <pageMargins left="0.45" right="0.2" top="0.75" bottom="0.75" header="0.3" footer="0.3"/>
  <pageSetup scale="62" fitToHeight="3" orientation="landscape" r:id="rId1"/>
  <headerFooter>
    <oddFooter>&amp;LAvista
&amp;F
&amp;A&amp;RPage &amp;P of &amp;N</oddFooter>
  </headerFooter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12"/>
  <sheetViews>
    <sheetView workbookViewId="0"/>
  </sheetViews>
  <sheetFormatPr defaultRowHeight="15" x14ac:dyDescent="0.25"/>
  <cols>
    <col min="2" max="2" width="9.28515625" bestFit="1" customWidth="1"/>
    <col min="3" max="5" width="9.28515625" customWidth="1"/>
    <col min="6" max="8" width="15.140625" bestFit="1" customWidth="1"/>
    <col min="9" max="9" width="14.140625" bestFit="1" customWidth="1"/>
  </cols>
  <sheetData>
    <row r="4" spans="2:11" x14ac:dyDescent="0.25">
      <c r="F4" s="2" t="s">
        <v>24</v>
      </c>
      <c r="G4" s="2" t="s">
        <v>25</v>
      </c>
    </row>
    <row r="5" spans="2:11" x14ac:dyDescent="0.25">
      <c r="B5" t="s">
        <v>13</v>
      </c>
      <c r="F5" s="5">
        <v>0.68249000000000004</v>
      </c>
      <c r="G5" s="5">
        <f>1-F5</f>
        <v>0.31750999999999996</v>
      </c>
      <c r="H5" s="5">
        <f>SUM(F5:G5)</f>
        <v>1</v>
      </c>
    </row>
    <row r="6" spans="2:11" x14ac:dyDescent="0.25">
      <c r="F6" s="5"/>
      <c r="G6" s="5"/>
      <c r="H6" s="5"/>
    </row>
    <row r="7" spans="2:11" x14ac:dyDescent="0.25">
      <c r="B7" t="s">
        <v>14</v>
      </c>
      <c r="F7" s="5">
        <v>0.71353</v>
      </c>
      <c r="G7" s="5">
        <f>1-F7</f>
        <v>0.28647</v>
      </c>
      <c r="H7" s="5">
        <f>SUM(F7:G7)</f>
        <v>1</v>
      </c>
    </row>
    <row r="9" spans="2:11" x14ac:dyDescent="0.25">
      <c r="C9" s="2" t="s">
        <v>13</v>
      </c>
      <c r="D9" s="2" t="s">
        <v>14</v>
      </c>
      <c r="E9" s="2" t="s">
        <v>26</v>
      </c>
      <c r="F9" s="2" t="s">
        <v>0</v>
      </c>
      <c r="G9" s="2" t="s">
        <v>1</v>
      </c>
      <c r="H9" s="2" t="s">
        <v>2</v>
      </c>
      <c r="I9" s="2" t="s">
        <v>3</v>
      </c>
      <c r="J9" s="2" t="s">
        <v>27</v>
      </c>
    </row>
    <row r="10" spans="2:11" x14ac:dyDescent="0.25">
      <c r="B10" t="s">
        <v>16</v>
      </c>
      <c r="C10" s="7">
        <v>0.70135000000000003</v>
      </c>
      <c r="D10" s="7">
        <v>0.20549000000000001</v>
      </c>
      <c r="E10" s="7">
        <v>9.3160000000000007E-2</v>
      </c>
      <c r="F10" s="7">
        <f>C10*F5</f>
        <v>0.47866436150000002</v>
      </c>
      <c r="G10" s="7">
        <f>C10*G5</f>
        <v>0.22268563849999998</v>
      </c>
      <c r="H10" s="7">
        <f>D10*F7</f>
        <v>0.1466232797</v>
      </c>
      <c r="I10" s="7">
        <f>D10*G7</f>
        <v>5.8866720300000001E-2</v>
      </c>
      <c r="J10" s="7">
        <f>E10</f>
        <v>9.3160000000000007E-2</v>
      </c>
      <c r="K10" s="5">
        <f>SUM(F10:J10)</f>
        <v>1</v>
      </c>
    </row>
    <row r="11" spans="2:11" x14ac:dyDescent="0.25">
      <c r="C11" s="7"/>
      <c r="D11" s="7"/>
      <c r="E11" s="7"/>
      <c r="F11" s="7"/>
      <c r="G11" s="7"/>
      <c r="H11" s="7"/>
      <c r="I11" s="7"/>
      <c r="J11" s="7"/>
    </row>
    <row r="12" spans="2:11" x14ac:dyDescent="0.25">
      <c r="B12" t="s">
        <v>17</v>
      </c>
      <c r="C12" s="7">
        <v>0.77715000000000001</v>
      </c>
      <c r="D12" s="7">
        <v>0.22284999999999999</v>
      </c>
      <c r="E12" s="7"/>
      <c r="F12" s="7">
        <f>C12*F5</f>
        <v>0.53039710350000002</v>
      </c>
      <c r="G12" s="7">
        <f>C12*G5</f>
        <v>0.24675289649999996</v>
      </c>
      <c r="H12" s="7">
        <f>D12*F7</f>
        <v>0.1590101605</v>
      </c>
      <c r="I12" s="7">
        <f>D12*G7</f>
        <v>6.3839839499999995E-2</v>
      </c>
      <c r="J12" s="7"/>
      <c r="K12" s="5">
        <f>SUM(F12:J12)</f>
        <v>1</v>
      </c>
    </row>
  </sheetData>
  <pageMargins left="0.7" right="0.7" top="0.75" bottom="0.75" header="0.3" footer="0.3"/>
  <pageSetup scale="99" orientation="landscape" r:id="rId1"/>
  <headerFooter>
    <oddFooter>&amp;L&amp;F /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63"/>
  <sheetViews>
    <sheetView workbookViewId="0">
      <selection activeCell="L23" sqref="L23"/>
    </sheetView>
  </sheetViews>
  <sheetFormatPr defaultRowHeight="15" x14ac:dyDescent="0.25"/>
  <cols>
    <col min="3" max="3" width="45.28515625" bestFit="1" customWidth="1"/>
    <col min="4" max="5" width="12.5703125" bestFit="1" customWidth="1"/>
    <col min="6" max="6" width="13.7109375" bestFit="1" customWidth="1"/>
  </cols>
  <sheetData>
    <row r="1" spans="3:6" x14ac:dyDescent="0.25">
      <c r="D1" s="2" t="s">
        <v>0</v>
      </c>
      <c r="E1" s="2" t="s">
        <v>2</v>
      </c>
      <c r="F1" s="2" t="s">
        <v>6</v>
      </c>
    </row>
    <row r="2" spans="3:6" x14ac:dyDescent="0.25">
      <c r="C2" t="s">
        <v>11</v>
      </c>
      <c r="D2" s="3">
        <v>5026700</v>
      </c>
      <c r="E2" s="3">
        <v>1806911</v>
      </c>
      <c r="F2" s="3">
        <f>SUM(D2:E2)</f>
        <v>6833611</v>
      </c>
    </row>
    <row r="4" spans="3:6" x14ac:dyDescent="0.25">
      <c r="C4" t="s">
        <v>12</v>
      </c>
      <c r="D4" s="1">
        <v>43221</v>
      </c>
      <c r="E4" s="1">
        <v>43221</v>
      </c>
    </row>
    <row r="5" spans="3:6" x14ac:dyDescent="0.25">
      <c r="C5" t="s">
        <v>36</v>
      </c>
      <c r="D5">
        <v>12</v>
      </c>
      <c r="E5">
        <v>12</v>
      </c>
    </row>
    <row r="6" spans="3:6" x14ac:dyDescent="0.25">
      <c r="C6" t="s">
        <v>37</v>
      </c>
      <c r="D6" s="3">
        <f>D2/D5</f>
        <v>418891.66666666669</v>
      </c>
      <c r="E6" s="3">
        <f t="shared" ref="E6" si="0">E2/E5</f>
        <v>150575.91666666666</v>
      </c>
    </row>
    <row r="9" spans="3:6" x14ac:dyDescent="0.25">
      <c r="C9" t="s">
        <v>10</v>
      </c>
      <c r="D9" s="2" t="s">
        <v>0</v>
      </c>
      <c r="E9" s="2" t="s">
        <v>2</v>
      </c>
      <c r="F9" s="2" t="s">
        <v>6</v>
      </c>
    </row>
    <row r="10" spans="3:6" x14ac:dyDescent="0.25">
      <c r="C10" s="1">
        <v>43131</v>
      </c>
      <c r="D10" s="3"/>
      <c r="E10" s="3"/>
      <c r="F10" s="3">
        <f t="shared" ref="F10:F57" si="1">SUM(D10:E10)</f>
        <v>0</v>
      </c>
    </row>
    <row r="11" spans="3:6" x14ac:dyDescent="0.25">
      <c r="C11" s="1">
        <v>43159</v>
      </c>
      <c r="D11" s="3"/>
      <c r="E11" s="3"/>
      <c r="F11" s="3">
        <f t="shared" si="1"/>
        <v>0</v>
      </c>
    </row>
    <row r="12" spans="3:6" x14ac:dyDescent="0.25">
      <c r="C12" s="1">
        <v>43190</v>
      </c>
      <c r="D12" s="3"/>
      <c r="E12" s="3"/>
      <c r="F12" s="3">
        <f t="shared" si="1"/>
        <v>0</v>
      </c>
    </row>
    <row r="13" spans="3:6" x14ac:dyDescent="0.25">
      <c r="C13" s="1">
        <v>43220</v>
      </c>
      <c r="D13" s="3"/>
      <c r="E13" s="3"/>
      <c r="F13" s="3">
        <f t="shared" si="1"/>
        <v>0</v>
      </c>
    </row>
    <row r="14" spans="3:6" x14ac:dyDescent="0.25">
      <c r="C14" s="1">
        <v>43251</v>
      </c>
      <c r="D14" s="3">
        <f>D6</f>
        <v>418891.66666666669</v>
      </c>
      <c r="E14" s="3">
        <f>E6</f>
        <v>150575.91666666666</v>
      </c>
      <c r="F14" s="3">
        <f t="shared" si="1"/>
        <v>569467.58333333337</v>
      </c>
    </row>
    <row r="15" spans="3:6" x14ac:dyDescent="0.25">
      <c r="C15" s="1">
        <v>43281</v>
      </c>
      <c r="D15" s="3">
        <f>D14+$D$6</f>
        <v>837783.33333333337</v>
      </c>
      <c r="E15" s="3">
        <f>E14+$E$6</f>
        <v>301151.83333333331</v>
      </c>
      <c r="F15" s="3">
        <f t="shared" si="1"/>
        <v>1138935.1666666667</v>
      </c>
    </row>
    <row r="16" spans="3:6" x14ac:dyDescent="0.25">
      <c r="C16" s="1">
        <v>43312</v>
      </c>
      <c r="D16" s="3">
        <f t="shared" ref="D16:D25" si="2">D15+$D$6</f>
        <v>1256675</v>
      </c>
      <c r="E16" s="3">
        <f t="shared" ref="E16:E25" si="3">E15+$E$6</f>
        <v>451727.75</v>
      </c>
      <c r="F16" s="3">
        <f t="shared" si="1"/>
        <v>1708402.75</v>
      </c>
    </row>
    <row r="17" spans="3:7" x14ac:dyDescent="0.25">
      <c r="C17" s="1">
        <v>43343</v>
      </c>
      <c r="D17" s="3">
        <f t="shared" si="2"/>
        <v>1675566.6666666667</v>
      </c>
      <c r="E17" s="3">
        <f t="shared" si="3"/>
        <v>602303.66666666663</v>
      </c>
      <c r="F17" s="3">
        <f t="shared" si="1"/>
        <v>2277870.3333333335</v>
      </c>
    </row>
    <row r="18" spans="3:7" x14ac:dyDescent="0.25">
      <c r="C18" s="1">
        <v>43373</v>
      </c>
      <c r="D18" s="3">
        <f t="shared" si="2"/>
        <v>2094458.3333333335</v>
      </c>
      <c r="E18" s="3">
        <f t="shared" si="3"/>
        <v>752879.58333333326</v>
      </c>
      <c r="F18" s="3">
        <f t="shared" si="1"/>
        <v>2847337.916666667</v>
      </c>
    </row>
    <row r="19" spans="3:7" x14ac:dyDescent="0.25">
      <c r="C19" s="1">
        <v>43404</v>
      </c>
      <c r="D19" s="3">
        <f t="shared" si="2"/>
        <v>2513350</v>
      </c>
      <c r="E19" s="3">
        <f t="shared" si="3"/>
        <v>903455.49999999988</v>
      </c>
      <c r="F19" s="3">
        <f t="shared" si="1"/>
        <v>3416805.5</v>
      </c>
    </row>
    <row r="20" spans="3:7" x14ac:dyDescent="0.25">
      <c r="C20" s="1">
        <v>43434</v>
      </c>
      <c r="D20" s="3">
        <f t="shared" si="2"/>
        <v>2932241.6666666665</v>
      </c>
      <c r="E20" s="3">
        <f t="shared" si="3"/>
        <v>1054031.4166666665</v>
      </c>
      <c r="F20" s="3">
        <f t="shared" si="1"/>
        <v>3986273.083333333</v>
      </c>
    </row>
    <row r="21" spans="3:7" x14ac:dyDescent="0.25">
      <c r="C21" s="1">
        <v>43465</v>
      </c>
      <c r="D21" s="3">
        <f t="shared" si="2"/>
        <v>3351133.333333333</v>
      </c>
      <c r="E21" s="3">
        <f t="shared" si="3"/>
        <v>1204607.3333333333</v>
      </c>
      <c r="F21" s="3">
        <f t="shared" si="1"/>
        <v>4555740.666666666</v>
      </c>
    </row>
    <row r="22" spans="3:7" x14ac:dyDescent="0.25">
      <c r="C22" s="1">
        <v>43496</v>
      </c>
      <c r="D22" s="3">
        <f t="shared" si="2"/>
        <v>3770024.9999999995</v>
      </c>
      <c r="E22" s="3">
        <f t="shared" si="3"/>
        <v>1355183.25</v>
      </c>
      <c r="F22" s="3">
        <f t="shared" si="1"/>
        <v>5125208.25</v>
      </c>
    </row>
    <row r="23" spans="3:7" x14ac:dyDescent="0.25">
      <c r="C23" s="1">
        <v>43524</v>
      </c>
      <c r="D23" s="3">
        <f t="shared" si="2"/>
        <v>4188916.666666666</v>
      </c>
      <c r="E23" s="3">
        <f t="shared" si="3"/>
        <v>1505759.1666666667</v>
      </c>
      <c r="F23" s="3">
        <f t="shared" si="1"/>
        <v>5694675.833333333</v>
      </c>
    </row>
    <row r="24" spans="3:7" ht="15.75" thickBot="1" x14ac:dyDescent="0.3">
      <c r="C24" s="1">
        <v>43555</v>
      </c>
      <c r="D24" s="3">
        <f t="shared" si="2"/>
        <v>4607808.333333333</v>
      </c>
      <c r="E24" s="3">
        <f t="shared" si="3"/>
        <v>1656335.0833333335</v>
      </c>
      <c r="F24" s="3">
        <f t="shared" si="1"/>
        <v>6264143.416666666</v>
      </c>
    </row>
    <row r="25" spans="3:7" ht="15.75" thickBot="1" x14ac:dyDescent="0.3">
      <c r="C25" s="14">
        <v>43585</v>
      </c>
      <c r="D25" s="13">
        <f t="shared" si="2"/>
        <v>5026700</v>
      </c>
      <c r="E25" s="13">
        <f t="shared" si="3"/>
        <v>1806911.0000000002</v>
      </c>
      <c r="F25" s="13">
        <f t="shared" si="1"/>
        <v>6833611</v>
      </c>
      <c r="G25" s="15"/>
    </row>
    <row r="26" spans="3:7" x14ac:dyDescent="0.25">
      <c r="C26" s="1">
        <v>43616</v>
      </c>
      <c r="D26" s="3">
        <f>D25</f>
        <v>5026700</v>
      </c>
      <c r="E26" s="3">
        <f>E25</f>
        <v>1806911.0000000002</v>
      </c>
      <c r="F26" s="3">
        <f t="shared" si="1"/>
        <v>6833611</v>
      </c>
    </row>
    <row r="27" spans="3:7" x14ac:dyDescent="0.25">
      <c r="C27" s="1">
        <v>43646</v>
      </c>
      <c r="D27" s="3">
        <f t="shared" ref="D27:D57" si="4">D26</f>
        <v>5026700</v>
      </c>
      <c r="E27" s="3">
        <f t="shared" ref="E27:E57" si="5">E26</f>
        <v>1806911.0000000002</v>
      </c>
      <c r="F27" s="3">
        <f t="shared" si="1"/>
        <v>6833611</v>
      </c>
    </row>
    <row r="28" spans="3:7" x14ac:dyDescent="0.25">
      <c r="C28" s="1">
        <v>43677</v>
      </c>
      <c r="D28" s="3">
        <f t="shared" si="4"/>
        <v>5026700</v>
      </c>
      <c r="E28" s="3">
        <f t="shared" si="5"/>
        <v>1806911.0000000002</v>
      </c>
      <c r="F28" s="3">
        <f t="shared" si="1"/>
        <v>6833611</v>
      </c>
    </row>
    <row r="29" spans="3:7" x14ac:dyDescent="0.25">
      <c r="C29" s="1">
        <v>43708</v>
      </c>
      <c r="D29" s="3">
        <f t="shared" si="4"/>
        <v>5026700</v>
      </c>
      <c r="E29" s="3">
        <f t="shared" si="5"/>
        <v>1806911.0000000002</v>
      </c>
      <c r="F29" s="3">
        <f t="shared" si="1"/>
        <v>6833611</v>
      </c>
    </row>
    <row r="30" spans="3:7" x14ac:dyDescent="0.25">
      <c r="C30" s="1">
        <v>43738</v>
      </c>
      <c r="D30" s="3">
        <f t="shared" si="4"/>
        <v>5026700</v>
      </c>
      <c r="E30" s="3">
        <f t="shared" si="5"/>
        <v>1806911.0000000002</v>
      </c>
      <c r="F30" s="3">
        <f t="shared" si="1"/>
        <v>6833611</v>
      </c>
    </row>
    <row r="31" spans="3:7" x14ac:dyDescent="0.25">
      <c r="C31" s="1">
        <v>43769</v>
      </c>
      <c r="D31" s="3">
        <f t="shared" si="4"/>
        <v>5026700</v>
      </c>
      <c r="E31" s="3">
        <f t="shared" si="5"/>
        <v>1806911.0000000002</v>
      </c>
      <c r="F31" s="3">
        <f t="shared" si="1"/>
        <v>6833611</v>
      </c>
    </row>
    <row r="32" spans="3:7" x14ac:dyDescent="0.25">
      <c r="C32" s="1">
        <v>43799</v>
      </c>
      <c r="D32" s="3">
        <f t="shared" si="4"/>
        <v>5026700</v>
      </c>
      <c r="E32" s="3">
        <f t="shared" si="5"/>
        <v>1806911.0000000002</v>
      </c>
      <c r="F32" s="3">
        <f t="shared" si="1"/>
        <v>6833611</v>
      </c>
      <c r="G32" s="1"/>
    </row>
    <row r="33" spans="3:7" x14ac:dyDescent="0.25">
      <c r="C33" s="1">
        <v>43830</v>
      </c>
      <c r="D33" s="3">
        <f t="shared" si="4"/>
        <v>5026700</v>
      </c>
      <c r="E33" s="3">
        <f t="shared" si="5"/>
        <v>1806911.0000000002</v>
      </c>
      <c r="F33" s="3">
        <f t="shared" si="1"/>
        <v>6833611</v>
      </c>
      <c r="G33" s="1"/>
    </row>
    <row r="34" spans="3:7" x14ac:dyDescent="0.25">
      <c r="C34" s="1">
        <v>43861</v>
      </c>
      <c r="D34" s="3">
        <f>D33</f>
        <v>5026700</v>
      </c>
      <c r="E34" s="3">
        <f>E33</f>
        <v>1806911.0000000002</v>
      </c>
      <c r="F34" s="3">
        <f t="shared" si="1"/>
        <v>6833611</v>
      </c>
      <c r="G34" s="1"/>
    </row>
    <row r="35" spans="3:7" x14ac:dyDescent="0.25">
      <c r="C35" s="1">
        <v>43890</v>
      </c>
      <c r="D35" s="3">
        <f t="shared" si="4"/>
        <v>5026700</v>
      </c>
      <c r="E35" s="3">
        <f t="shared" si="5"/>
        <v>1806911.0000000002</v>
      </c>
      <c r="F35" s="3">
        <f t="shared" si="1"/>
        <v>6833611</v>
      </c>
    </row>
    <row r="36" spans="3:7" x14ac:dyDescent="0.25">
      <c r="C36" s="1">
        <v>43921</v>
      </c>
      <c r="D36" s="3">
        <f t="shared" si="4"/>
        <v>5026700</v>
      </c>
      <c r="E36" s="3">
        <f t="shared" si="5"/>
        <v>1806911.0000000002</v>
      </c>
      <c r="F36" s="3">
        <f t="shared" si="1"/>
        <v>6833611</v>
      </c>
    </row>
    <row r="37" spans="3:7" x14ac:dyDescent="0.25">
      <c r="C37" s="1">
        <v>43951</v>
      </c>
      <c r="D37" s="3">
        <f t="shared" si="4"/>
        <v>5026700</v>
      </c>
      <c r="E37" s="3">
        <f t="shared" si="5"/>
        <v>1806911.0000000002</v>
      </c>
      <c r="F37" s="3">
        <f t="shared" si="1"/>
        <v>6833611</v>
      </c>
    </row>
    <row r="38" spans="3:7" x14ac:dyDescent="0.25">
      <c r="C38" s="1">
        <v>43982</v>
      </c>
      <c r="D38" s="3">
        <f t="shared" si="4"/>
        <v>5026700</v>
      </c>
      <c r="E38" s="3">
        <f t="shared" si="5"/>
        <v>1806911.0000000002</v>
      </c>
      <c r="F38" s="3">
        <f t="shared" si="1"/>
        <v>6833611</v>
      </c>
    </row>
    <row r="39" spans="3:7" x14ac:dyDescent="0.25">
      <c r="C39" s="1">
        <v>44012</v>
      </c>
      <c r="D39" s="3">
        <f t="shared" si="4"/>
        <v>5026700</v>
      </c>
      <c r="E39" s="3">
        <f t="shared" si="5"/>
        <v>1806911.0000000002</v>
      </c>
      <c r="F39" s="3">
        <f t="shared" si="1"/>
        <v>6833611</v>
      </c>
    </row>
    <row r="40" spans="3:7" x14ac:dyDescent="0.25">
      <c r="C40" s="1">
        <v>44043</v>
      </c>
      <c r="D40" s="3">
        <f t="shared" si="4"/>
        <v>5026700</v>
      </c>
      <c r="E40" s="3">
        <f t="shared" si="5"/>
        <v>1806911.0000000002</v>
      </c>
      <c r="F40" s="3">
        <f t="shared" si="1"/>
        <v>6833611</v>
      </c>
    </row>
    <row r="41" spans="3:7" x14ac:dyDescent="0.25">
      <c r="C41" s="1">
        <v>44074</v>
      </c>
      <c r="D41" s="3">
        <f t="shared" si="4"/>
        <v>5026700</v>
      </c>
      <c r="E41" s="3">
        <f t="shared" si="5"/>
        <v>1806911.0000000002</v>
      </c>
      <c r="F41" s="3">
        <f t="shared" si="1"/>
        <v>6833611</v>
      </c>
    </row>
    <row r="42" spans="3:7" x14ac:dyDescent="0.25">
      <c r="C42" s="1">
        <v>44104</v>
      </c>
      <c r="D42" s="3">
        <f t="shared" si="4"/>
        <v>5026700</v>
      </c>
      <c r="E42" s="3">
        <f t="shared" si="5"/>
        <v>1806911.0000000002</v>
      </c>
      <c r="F42" s="3">
        <f t="shared" si="1"/>
        <v>6833611</v>
      </c>
    </row>
    <row r="43" spans="3:7" x14ac:dyDescent="0.25">
      <c r="C43" s="1">
        <v>44135</v>
      </c>
      <c r="D43" s="3">
        <f t="shared" si="4"/>
        <v>5026700</v>
      </c>
      <c r="E43" s="3">
        <f t="shared" si="5"/>
        <v>1806911.0000000002</v>
      </c>
      <c r="F43" s="3">
        <f t="shared" si="1"/>
        <v>6833611</v>
      </c>
    </row>
    <row r="44" spans="3:7" x14ac:dyDescent="0.25">
      <c r="C44" s="1">
        <v>44165</v>
      </c>
      <c r="D44" s="3">
        <f t="shared" si="4"/>
        <v>5026700</v>
      </c>
      <c r="E44" s="3">
        <f t="shared" si="5"/>
        <v>1806911.0000000002</v>
      </c>
      <c r="F44" s="3">
        <f t="shared" si="1"/>
        <v>6833611</v>
      </c>
    </row>
    <row r="45" spans="3:7" x14ac:dyDescent="0.25">
      <c r="C45" s="1">
        <v>44196</v>
      </c>
      <c r="D45" s="3">
        <f t="shared" si="4"/>
        <v>5026700</v>
      </c>
      <c r="E45" s="3">
        <f t="shared" si="5"/>
        <v>1806911.0000000002</v>
      </c>
      <c r="F45" s="3">
        <f t="shared" si="1"/>
        <v>6833611</v>
      </c>
    </row>
    <row r="46" spans="3:7" x14ac:dyDescent="0.25">
      <c r="C46" s="1">
        <v>44227</v>
      </c>
      <c r="D46" s="3">
        <f t="shared" si="4"/>
        <v>5026700</v>
      </c>
      <c r="E46" s="3">
        <f t="shared" si="5"/>
        <v>1806911.0000000002</v>
      </c>
      <c r="F46" s="3">
        <f t="shared" si="1"/>
        <v>6833611</v>
      </c>
    </row>
    <row r="47" spans="3:7" x14ac:dyDescent="0.25">
      <c r="C47" s="1">
        <v>44255</v>
      </c>
      <c r="D47" s="3">
        <f t="shared" si="4"/>
        <v>5026700</v>
      </c>
      <c r="E47" s="3">
        <f t="shared" si="5"/>
        <v>1806911.0000000002</v>
      </c>
      <c r="F47" s="3">
        <f t="shared" si="1"/>
        <v>6833611</v>
      </c>
    </row>
    <row r="48" spans="3:7" x14ac:dyDescent="0.25">
      <c r="C48" s="1">
        <v>44286</v>
      </c>
      <c r="D48" s="3">
        <f t="shared" si="4"/>
        <v>5026700</v>
      </c>
      <c r="E48" s="3">
        <f t="shared" si="5"/>
        <v>1806911.0000000002</v>
      </c>
      <c r="F48" s="3">
        <f t="shared" si="1"/>
        <v>6833611</v>
      </c>
    </row>
    <row r="49" spans="3:6" x14ac:dyDescent="0.25">
      <c r="C49" s="1">
        <v>44316</v>
      </c>
      <c r="D49" s="3">
        <f t="shared" si="4"/>
        <v>5026700</v>
      </c>
      <c r="E49" s="3">
        <f t="shared" si="5"/>
        <v>1806911.0000000002</v>
      </c>
      <c r="F49" s="3">
        <f t="shared" si="1"/>
        <v>6833611</v>
      </c>
    </row>
    <row r="50" spans="3:6" x14ac:dyDescent="0.25">
      <c r="C50" s="1">
        <v>44347</v>
      </c>
      <c r="D50" s="3">
        <f t="shared" si="4"/>
        <v>5026700</v>
      </c>
      <c r="E50" s="3">
        <f t="shared" si="5"/>
        <v>1806911.0000000002</v>
      </c>
      <c r="F50" s="3">
        <f t="shared" si="1"/>
        <v>6833611</v>
      </c>
    </row>
    <row r="51" spans="3:6" x14ac:dyDescent="0.25">
      <c r="C51" s="1">
        <v>44377</v>
      </c>
      <c r="D51" s="3">
        <f t="shared" si="4"/>
        <v>5026700</v>
      </c>
      <c r="E51" s="3">
        <f t="shared" si="5"/>
        <v>1806911.0000000002</v>
      </c>
      <c r="F51" s="3">
        <f t="shared" si="1"/>
        <v>6833611</v>
      </c>
    </row>
    <row r="52" spans="3:6" x14ac:dyDescent="0.25">
      <c r="C52" s="1">
        <v>44408</v>
      </c>
      <c r="D52" s="3">
        <f t="shared" si="4"/>
        <v>5026700</v>
      </c>
      <c r="E52" s="3">
        <f t="shared" si="5"/>
        <v>1806911.0000000002</v>
      </c>
      <c r="F52" s="3">
        <f t="shared" si="1"/>
        <v>6833611</v>
      </c>
    </row>
    <row r="53" spans="3:6" x14ac:dyDescent="0.25">
      <c r="C53" s="1">
        <v>44439</v>
      </c>
      <c r="D53" s="3">
        <f t="shared" si="4"/>
        <v>5026700</v>
      </c>
      <c r="E53" s="3">
        <f t="shared" si="5"/>
        <v>1806911.0000000002</v>
      </c>
      <c r="F53" s="3">
        <f t="shared" si="1"/>
        <v>6833611</v>
      </c>
    </row>
    <row r="54" spans="3:6" x14ac:dyDescent="0.25">
      <c r="C54" s="1">
        <v>44469</v>
      </c>
      <c r="D54" s="3">
        <f t="shared" si="4"/>
        <v>5026700</v>
      </c>
      <c r="E54" s="3">
        <f t="shared" si="5"/>
        <v>1806911.0000000002</v>
      </c>
      <c r="F54" s="3">
        <f t="shared" si="1"/>
        <v>6833611</v>
      </c>
    </row>
    <row r="55" spans="3:6" x14ac:dyDescent="0.25">
      <c r="C55" s="1">
        <v>44500</v>
      </c>
      <c r="D55" s="3">
        <f t="shared" si="4"/>
        <v>5026700</v>
      </c>
      <c r="E55" s="3">
        <f t="shared" si="5"/>
        <v>1806911.0000000002</v>
      </c>
      <c r="F55" s="3">
        <f t="shared" si="1"/>
        <v>6833611</v>
      </c>
    </row>
    <row r="56" spans="3:6" x14ac:dyDescent="0.25">
      <c r="C56" s="1">
        <v>44530</v>
      </c>
      <c r="D56" s="3">
        <f t="shared" si="4"/>
        <v>5026700</v>
      </c>
      <c r="E56" s="3">
        <f t="shared" si="5"/>
        <v>1806911.0000000002</v>
      </c>
      <c r="F56" s="3">
        <f t="shared" si="1"/>
        <v>6833611</v>
      </c>
    </row>
    <row r="57" spans="3:6" x14ac:dyDescent="0.25">
      <c r="C57" s="1">
        <v>44561</v>
      </c>
      <c r="D57" s="3">
        <f t="shared" si="4"/>
        <v>5026700</v>
      </c>
      <c r="E57" s="3">
        <f t="shared" si="5"/>
        <v>1806911.0000000002</v>
      </c>
      <c r="F57" s="3">
        <f t="shared" si="1"/>
        <v>6833611</v>
      </c>
    </row>
    <row r="58" spans="3:6" ht="15.75" thickBot="1" x14ac:dyDescent="0.3"/>
    <row r="59" spans="3:6" ht="15.75" thickBot="1" x14ac:dyDescent="0.3">
      <c r="C59" t="s">
        <v>7</v>
      </c>
      <c r="D59" s="16">
        <f>(((D14+D26)/2)+(D15+D16+D17+D18+D19+D20+D21+D22+D23+D24+D25))/12</f>
        <v>2914787.847222222</v>
      </c>
      <c r="E59" s="16">
        <f>(((E14+E26)/2)+(E15+E16+E17+E18+E19+E20+E21+E22+E23+E24+E25))/12</f>
        <v>1047757.420138889</v>
      </c>
    </row>
    <row r="60" spans="3:6" x14ac:dyDescent="0.25">
      <c r="C60" t="s">
        <v>8</v>
      </c>
      <c r="D60" s="3">
        <f>(((D26+D38)/2)+(D27+D28+D29+D30+D31+D32+D33+D34+D35+D36+D37))/12</f>
        <v>5026700</v>
      </c>
      <c r="E60" s="3">
        <f>(((E26+E38)/2)+(E27+E28+E29+E30+E31+E32+E33+E34+E35+E36+E37))/12</f>
        <v>1806911.0000000002</v>
      </c>
    </row>
    <row r="61" spans="3:6" x14ac:dyDescent="0.25">
      <c r="C61" t="s">
        <v>9</v>
      </c>
      <c r="D61" s="3">
        <f>(((D38+D50)/2)+(D39+D40+D41+D42+D43+D44+D45+D46+D47+D48+D49))/12</f>
        <v>5026700</v>
      </c>
      <c r="E61" s="3">
        <f>(((E38+E50)/2)+(E39+E40+E41+E42+E43+E44+E45+E46+E47+E48+E49))/12</f>
        <v>1806911.0000000002</v>
      </c>
    </row>
    <row r="62" spans="3:6" x14ac:dyDescent="0.25">
      <c r="D62" s="3"/>
      <c r="E62" s="3"/>
    </row>
    <row r="63" spans="3:6" x14ac:dyDescent="0.25">
      <c r="D63" s="3"/>
      <c r="E63" s="3"/>
    </row>
  </sheetData>
  <pageMargins left="0.7" right="0.7" top="0.75" bottom="0.75" header="0.3" footer="0.3"/>
  <pageSetup scale="76" orientation="portrait" r:id="rId1"/>
  <headerFooter>
    <oddFooter>&amp;LAvista
&amp;F&amp;RPage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F63"/>
  <sheetViews>
    <sheetView topLeftCell="A43" workbookViewId="0">
      <selection activeCell="D59" sqref="D59"/>
    </sheetView>
  </sheetViews>
  <sheetFormatPr defaultRowHeight="15" x14ac:dyDescent="0.25"/>
  <cols>
    <col min="3" max="3" width="45.28515625" bestFit="1" customWidth="1"/>
    <col min="4" max="5" width="12.5703125" bestFit="1" customWidth="1"/>
    <col min="6" max="6" width="13.7109375" bestFit="1" customWidth="1"/>
  </cols>
  <sheetData>
    <row r="1" spans="3:6" x14ac:dyDescent="0.25">
      <c r="D1" s="2" t="s">
        <v>0</v>
      </c>
      <c r="E1" s="2" t="s">
        <v>2</v>
      </c>
      <c r="F1" s="2" t="s">
        <v>6</v>
      </c>
    </row>
    <row r="2" spans="3:6" x14ac:dyDescent="0.25">
      <c r="C2" t="s">
        <v>11</v>
      </c>
      <c r="D2" s="3">
        <v>5026700</v>
      </c>
      <c r="E2" s="3">
        <v>1806911</v>
      </c>
      <c r="F2" s="3">
        <f>SUM(D2:E2)</f>
        <v>6833611</v>
      </c>
    </row>
    <row r="4" spans="3:6" x14ac:dyDescent="0.25">
      <c r="C4" t="s">
        <v>12</v>
      </c>
      <c r="D4" s="1">
        <v>43221</v>
      </c>
      <c r="E4" s="1">
        <v>43221</v>
      </c>
    </row>
    <row r="5" spans="3:6" x14ac:dyDescent="0.25">
      <c r="C5" t="s">
        <v>36</v>
      </c>
      <c r="D5">
        <v>36</v>
      </c>
      <c r="E5">
        <v>36</v>
      </c>
    </row>
    <row r="6" spans="3:6" x14ac:dyDescent="0.25">
      <c r="C6" t="s">
        <v>37</v>
      </c>
      <c r="D6" s="3">
        <f>D2/D5</f>
        <v>139630.55555555556</v>
      </c>
      <c r="E6" s="3">
        <f t="shared" ref="E6" si="0">E2/E5</f>
        <v>50191.972222222219</v>
      </c>
    </row>
    <row r="9" spans="3:6" x14ac:dyDescent="0.25">
      <c r="C9" t="s">
        <v>10</v>
      </c>
      <c r="D9" s="2" t="s">
        <v>0</v>
      </c>
      <c r="E9" s="2" t="s">
        <v>2</v>
      </c>
      <c r="F9" s="2" t="s">
        <v>6</v>
      </c>
    </row>
    <row r="10" spans="3:6" x14ac:dyDescent="0.25">
      <c r="C10" s="1">
        <v>43131</v>
      </c>
      <c r="D10" s="3"/>
      <c r="E10" s="3"/>
      <c r="F10" s="3">
        <f t="shared" ref="F10:F57" si="1">SUM(D10:E10)</f>
        <v>0</v>
      </c>
    </row>
    <row r="11" spans="3:6" x14ac:dyDescent="0.25">
      <c r="C11" s="1">
        <v>43159</v>
      </c>
      <c r="D11" s="3"/>
      <c r="E11" s="3"/>
      <c r="F11" s="3">
        <f t="shared" si="1"/>
        <v>0</v>
      </c>
    </row>
    <row r="12" spans="3:6" x14ac:dyDescent="0.25">
      <c r="C12" s="1">
        <v>43190</v>
      </c>
      <c r="D12" s="3"/>
      <c r="E12" s="3"/>
      <c r="F12" s="3">
        <f t="shared" si="1"/>
        <v>0</v>
      </c>
    </row>
    <row r="13" spans="3:6" x14ac:dyDescent="0.25">
      <c r="C13" s="1">
        <v>43220</v>
      </c>
      <c r="D13" s="3"/>
      <c r="E13" s="3"/>
      <c r="F13" s="3">
        <f t="shared" si="1"/>
        <v>0</v>
      </c>
    </row>
    <row r="14" spans="3:6" x14ac:dyDescent="0.25">
      <c r="C14" s="1">
        <v>43251</v>
      </c>
      <c r="D14" s="3">
        <f>D6</f>
        <v>139630.55555555556</v>
      </c>
      <c r="E14" s="3">
        <f>E6</f>
        <v>50191.972222222219</v>
      </c>
      <c r="F14" s="3">
        <f t="shared" si="1"/>
        <v>189822.52777777778</v>
      </c>
    </row>
    <row r="15" spans="3:6" x14ac:dyDescent="0.25">
      <c r="C15" s="1">
        <v>43281</v>
      </c>
      <c r="D15" s="3">
        <f>D14+$D$6</f>
        <v>279261.11111111112</v>
      </c>
      <c r="E15" s="3">
        <f>E14+$E$6</f>
        <v>100383.94444444444</v>
      </c>
      <c r="F15" s="3">
        <f t="shared" si="1"/>
        <v>379645.05555555556</v>
      </c>
    </row>
    <row r="16" spans="3:6" x14ac:dyDescent="0.25">
      <c r="C16" s="1">
        <v>43312</v>
      </c>
      <c r="D16" s="3">
        <f t="shared" ref="D16:D49" si="2">D15+$D$6</f>
        <v>418891.66666666669</v>
      </c>
      <c r="E16" s="3">
        <f t="shared" ref="E16:E49" si="3">E15+$E$6</f>
        <v>150575.91666666666</v>
      </c>
      <c r="F16" s="3">
        <f t="shared" si="1"/>
        <v>569467.58333333337</v>
      </c>
    </row>
    <row r="17" spans="3:6" x14ac:dyDescent="0.25">
      <c r="C17" s="1">
        <v>43343</v>
      </c>
      <c r="D17" s="3">
        <f t="shared" si="2"/>
        <v>558522.22222222225</v>
      </c>
      <c r="E17" s="3">
        <f t="shared" si="3"/>
        <v>200767.88888888888</v>
      </c>
      <c r="F17" s="3">
        <f t="shared" si="1"/>
        <v>759290.11111111112</v>
      </c>
    </row>
    <row r="18" spans="3:6" x14ac:dyDescent="0.25">
      <c r="C18" s="1">
        <v>43373</v>
      </c>
      <c r="D18" s="3">
        <f t="shared" si="2"/>
        <v>698152.77777777775</v>
      </c>
      <c r="E18" s="3">
        <f t="shared" si="3"/>
        <v>250959.86111111109</v>
      </c>
      <c r="F18" s="3">
        <f t="shared" si="1"/>
        <v>949112.63888888888</v>
      </c>
    </row>
    <row r="19" spans="3:6" x14ac:dyDescent="0.25">
      <c r="C19" s="1">
        <v>43404</v>
      </c>
      <c r="D19" s="3">
        <f t="shared" si="2"/>
        <v>837783.33333333326</v>
      </c>
      <c r="E19" s="3">
        <f t="shared" si="3"/>
        <v>301151.83333333331</v>
      </c>
      <c r="F19" s="3">
        <f t="shared" si="1"/>
        <v>1138935.1666666665</v>
      </c>
    </row>
    <row r="20" spans="3:6" x14ac:dyDescent="0.25">
      <c r="C20" s="1">
        <v>43434</v>
      </c>
      <c r="D20" s="3">
        <f t="shared" si="2"/>
        <v>977413.88888888876</v>
      </c>
      <c r="E20" s="3">
        <f t="shared" si="3"/>
        <v>351343.8055555555</v>
      </c>
      <c r="F20" s="3">
        <f t="shared" si="1"/>
        <v>1328757.6944444443</v>
      </c>
    </row>
    <row r="21" spans="3:6" x14ac:dyDescent="0.25">
      <c r="C21" s="1">
        <v>43465</v>
      </c>
      <c r="D21" s="3">
        <f t="shared" si="2"/>
        <v>1117044.4444444443</v>
      </c>
      <c r="E21" s="3">
        <f t="shared" si="3"/>
        <v>401535.77777777775</v>
      </c>
      <c r="F21" s="3">
        <f t="shared" si="1"/>
        <v>1518580.222222222</v>
      </c>
    </row>
    <row r="22" spans="3:6" x14ac:dyDescent="0.25">
      <c r="C22" s="1">
        <v>43496</v>
      </c>
      <c r="D22" s="3">
        <f t="shared" si="2"/>
        <v>1256674.9999999998</v>
      </c>
      <c r="E22" s="3">
        <f t="shared" si="3"/>
        <v>451727.75</v>
      </c>
      <c r="F22" s="3">
        <f t="shared" si="1"/>
        <v>1708402.7499999998</v>
      </c>
    </row>
    <row r="23" spans="3:6" x14ac:dyDescent="0.25">
      <c r="C23" s="1">
        <v>43524</v>
      </c>
      <c r="D23" s="3">
        <f t="shared" si="2"/>
        <v>1396305.5555555553</v>
      </c>
      <c r="E23" s="3">
        <f t="shared" si="3"/>
        <v>501919.72222222225</v>
      </c>
      <c r="F23" s="3">
        <f t="shared" si="1"/>
        <v>1898225.2777777775</v>
      </c>
    </row>
    <row r="24" spans="3:6" x14ac:dyDescent="0.25">
      <c r="C24" s="1">
        <v>43555</v>
      </c>
      <c r="D24" s="3">
        <f t="shared" si="2"/>
        <v>1535936.1111111108</v>
      </c>
      <c r="E24" s="3">
        <f t="shared" si="3"/>
        <v>552111.6944444445</v>
      </c>
      <c r="F24" s="3">
        <f t="shared" si="1"/>
        <v>2088047.8055555553</v>
      </c>
    </row>
    <row r="25" spans="3:6" x14ac:dyDescent="0.25">
      <c r="C25" s="1">
        <v>43585</v>
      </c>
      <c r="D25" s="3">
        <f t="shared" si="2"/>
        <v>1675566.6666666663</v>
      </c>
      <c r="E25" s="3">
        <f t="shared" si="3"/>
        <v>602303.66666666674</v>
      </c>
      <c r="F25" s="3">
        <f t="shared" si="1"/>
        <v>2277870.333333333</v>
      </c>
    </row>
    <row r="26" spans="3:6" x14ac:dyDescent="0.25">
      <c r="C26" s="1">
        <v>43616</v>
      </c>
      <c r="D26" s="3">
        <f t="shared" si="2"/>
        <v>1815197.2222222218</v>
      </c>
      <c r="E26" s="3">
        <f t="shared" si="3"/>
        <v>652495.63888888899</v>
      </c>
      <c r="F26" s="3">
        <f t="shared" si="1"/>
        <v>2467692.861111111</v>
      </c>
    </row>
    <row r="27" spans="3:6" x14ac:dyDescent="0.25">
      <c r="C27" s="1">
        <v>43646</v>
      </c>
      <c r="D27" s="3">
        <f t="shared" si="2"/>
        <v>1954827.7777777773</v>
      </c>
      <c r="E27" s="3">
        <f t="shared" si="3"/>
        <v>702687.61111111124</v>
      </c>
      <c r="F27" s="3">
        <f t="shared" si="1"/>
        <v>2657515.3888888885</v>
      </c>
    </row>
    <row r="28" spans="3:6" x14ac:dyDescent="0.25">
      <c r="C28" s="1">
        <v>43677</v>
      </c>
      <c r="D28" s="3">
        <f t="shared" si="2"/>
        <v>2094458.3333333328</v>
      </c>
      <c r="E28" s="3">
        <f t="shared" si="3"/>
        <v>752879.58333333349</v>
      </c>
      <c r="F28" s="3">
        <f t="shared" si="1"/>
        <v>2847337.916666666</v>
      </c>
    </row>
    <row r="29" spans="3:6" x14ac:dyDescent="0.25">
      <c r="C29" s="1">
        <v>43708</v>
      </c>
      <c r="D29" s="3">
        <f t="shared" si="2"/>
        <v>2234088.8888888885</v>
      </c>
      <c r="E29" s="3">
        <f t="shared" si="3"/>
        <v>803071.55555555574</v>
      </c>
      <c r="F29" s="3">
        <f t="shared" si="1"/>
        <v>3037160.444444444</v>
      </c>
    </row>
    <row r="30" spans="3:6" x14ac:dyDescent="0.25">
      <c r="C30" s="1">
        <v>43738</v>
      </c>
      <c r="D30" s="3">
        <f t="shared" si="2"/>
        <v>2373719.444444444</v>
      </c>
      <c r="E30" s="3">
        <f t="shared" si="3"/>
        <v>853263.52777777798</v>
      </c>
      <c r="F30" s="3">
        <f t="shared" si="1"/>
        <v>3226982.972222222</v>
      </c>
    </row>
    <row r="31" spans="3:6" x14ac:dyDescent="0.25">
      <c r="C31" s="1">
        <v>43769</v>
      </c>
      <c r="D31" s="3">
        <f t="shared" si="2"/>
        <v>2513349.9999999995</v>
      </c>
      <c r="E31" s="3">
        <f t="shared" si="3"/>
        <v>903455.50000000023</v>
      </c>
      <c r="F31" s="3">
        <f t="shared" si="1"/>
        <v>3416805.5</v>
      </c>
    </row>
    <row r="32" spans="3:6" x14ac:dyDescent="0.25">
      <c r="C32" s="1">
        <v>43799</v>
      </c>
      <c r="D32" s="3">
        <f t="shared" si="2"/>
        <v>2652980.555555555</v>
      </c>
      <c r="E32" s="3">
        <f t="shared" si="3"/>
        <v>953647.47222222248</v>
      </c>
      <c r="F32" s="3">
        <f t="shared" si="1"/>
        <v>3606628.0277777775</v>
      </c>
    </row>
    <row r="33" spans="3:6" x14ac:dyDescent="0.25">
      <c r="C33" s="1">
        <v>43830</v>
      </c>
      <c r="D33" s="3">
        <f t="shared" si="2"/>
        <v>2792611.1111111105</v>
      </c>
      <c r="E33" s="3">
        <f t="shared" si="3"/>
        <v>1003839.4444444447</v>
      </c>
      <c r="F33" s="3">
        <f t="shared" si="1"/>
        <v>3796450.555555555</v>
      </c>
    </row>
    <row r="34" spans="3:6" x14ac:dyDescent="0.25">
      <c r="C34" s="1">
        <v>43861</v>
      </c>
      <c r="D34" s="3">
        <f t="shared" si="2"/>
        <v>2932241.666666666</v>
      </c>
      <c r="E34" s="3">
        <f t="shared" si="3"/>
        <v>1054031.416666667</v>
      </c>
      <c r="F34" s="3">
        <f t="shared" si="1"/>
        <v>3986273.083333333</v>
      </c>
    </row>
    <row r="35" spans="3:6" x14ac:dyDescent="0.25">
      <c r="C35" s="1">
        <v>43890</v>
      </c>
      <c r="D35" s="3">
        <f t="shared" si="2"/>
        <v>3071872.2222222215</v>
      </c>
      <c r="E35" s="3">
        <f t="shared" si="3"/>
        <v>1104223.3888888892</v>
      </c>
      <c r="F35" s="3">
        <f t="shared" si="1"/>
        <v>4176095.611111111</v>
      </c>
    </row>
    <row r="36" spans="3:6" x14ac:dyDescent="0.25">
      <c r="C36" s="1">
        <v>43921</v>
      </c>
      <c r="D36" s="3">
        <f t="shared" si="2"/>
        <v>3211502.7777777771</v>
      </c>
      <c r="E36" s="3">
        <f t="shared" si="3"/>
        <v>1154415.3611111115</v>
      </c>
      <c r="F36" s="3">
        <f t="shared" si="1"/>
        <v>4365918.1388888881</v>
      </c>
    </row>
    <row r="37" spans="3:6" x14ac:dyDescent="0.25">
      <c r="C37" s="1">
        <v>43951</v>
      </c>
      <c r="D37" s="3">
        <f t="shared" si="2"/>
        <v>3351133.3333333326</v>
      </c>
      <c r="E37" s="3">
        <f t="shared" si="3"/>
        <v>1204607.3333333337</v>
      </c>
      <c r="F37" s="3">
        <f t="shared" si="1"/>
        <v>4555740.666666666</v>
      </c>
    </row>
    <row r="38" spans="3:6" x14ac:dyDescent="0.25">
      <c r="C38" s="1">
        <v>43982</v>
      </c>
      <c r="D38" s="3">
        <f t="shared" si="2"/>
        <v>3490763.8888888881</v>
      </c>
      <c r="E38" s="3">
        <f t="shared" si="3"/>
        <v>1254799.305555556</v>
      </c>
      <c r="F38" s="3">
        <f t="shared" si="1"/>
        <v>4745563.194444444</v>
      </c>
    </row>
    <row r="39" spans="3:6" x14ac:dyDescent="0.25">
      <c r="C39" s="1">
        <v>44012</v>
      </c>
      <c r="D39" s="3">
        <f t="shared" si="2"/>
        <v>3630394.4444444436</v>
      </c>
      <c r="E39" s="3">
        <f t="shared" si="3"/>
        <v>1304991.2777777782</v>
      </c>
      <c r="F39" s="3">
        <f t="shared" si="1"/>
        <v>4935385.722222222</v>
      </c>
    </row>
    <row r="40" spans="3:6" x14ac:dyDescent="0.25">
      <c r="C40" s="1">
        <v>44043</v>
      </c>
      <c r="D40" s="3">
        <f t="shared" si="2"/>
        <v>3770024.9999999991</v>
      </c>
      <c r="E40" s="3">
        <f t="shared" si="3"/>
        <v>1355183.2500000005</v>
      </c>
      <c r="F40" s="3">
        <f t="shared" si="1"/>
        <v>5125208.25</v>
      </c>
    </row>
    <row r="41" spans="3:6" x14ac:dyDescent="0.25">
      <c r="C41" s="1">
        <v>44074</v>
      </c>
      <c r="D41" s="3">
        <f t="shared" si="2"/>
        <v>3909655.5555555546</v>
      </c>
      <c r="E41" s="3">
        <f t="shared" si="3"/>
        <v>1405375.2222222227</v>
      </c>
      <c r="F41" s="3">
        <f t="shared" si="1"/>
        <v>5315030.7777777771</v>
      </c>
    </row>
    <row r="42" spans="3:6" x14ac:dyDescent="0.25">
      <c r="C42" s="1">
        <v>44104</v>
      </c>
      <c r="D42" s="3">
        <f t="shared" si="2"/>
        <v>4049286.1111111101</v>
      </c>
      <c r="E42" s="3">
        <f t="shared" si="3"/>
        <v>1455567.194444445</v>
      </c>
      <c r="F42" s="3">
        <f t="shared" si="1"/>
        <v>5504853.305555555</v>
      </c>
    </row>
    <row r="43" spans="3:6" x14ac:dyDescent="0.25">
      <c r="C43" s="1">
        <v>44135</v>
      </c>
      <c r="D43" s="3">
        <f t="shared" si="2"/>
        <v>4188916.6666666656</v>
      </c>
      <c r="E43" s="3">
        <f t="shared" si="3"/>
        <v>1505759.1666666672</v>
      </c>
      <c r="F43" s="3">
        <f t="shared" si="1"/>
        <v>5694675.833333333</v>
      </c>
    </row>
    <row r="44" spans="3:6" x14ac:dyDescent="0.25">
      <c r="C44" s="1">
        <v>44165</v>
      </c>
      <c r="D44" s="3">
        <f t="shared" si="2"/>
        <v>4328547.2222222211</v>
      </c>
      <c r="E44" s="3">
        <f t="shared" si="3"/>
        <v>1555951.1388888895</v>
      </c>
      <c r="F44" s="3">
        <f t="shared" si="1"/>
        <v>5884498.3611111101</v>
      </c>
    </row>
    <row r="45" spans="3:6" x14ac:dyDescent="0.25">
      <c r="C45" s="1">
        <v>44196</v>
      </c>
      <c r="D45" s="3">
        <f t="shared" si="2"/>
        <v>4468177.7777777771</v>
      </c>
      <c r="E45" s="3">
        <f t="shared" si="3"/>
        <v>1606143.1111111117</v>
      </c>
      <c r="F45" s="3">
        <f t="shared" si="1"/>
        <v>6074320.888888889</v>
      </c>
    </row>
    <row r="46" spans="3:6" x14ac:dyDescent="0.25">
      <c r="C46" s="1">
        <v>44227</v>
      </c>
      <c r="D46" s="3">
        <f t="shared" si="2"/>
        <v>4607808.333333333</v>
      </c>
      <c r="E46" s="3">
        <f t="shared" si="3"/>
        <v>1656335.083333334</v>
      </c>
      <c r="F46" s="3">
        <f t="shared" si="1"/>
        <v>6264143.416666667</v>
      </c>
    </row>
    <row r="47" spans="3:6" x14ac:dyDescent="0.25">
      <c r="C47" s="1">
        <v>44255</v>
      </c>
      <c r="D47" s="3">
        <f t="shared" si="2"/>
        <v>4747438.888888889</v>
      </c>
      <c r="E47" s="3">
        <f t="shared" si="3"/>
        <v>1706527.0555555562</v>
      </c>
      <c r="F47" s="3">
        <f t="shared" si="1"/>
        <v>6453965.944444445</v>
      </c>
    </row>
    <row r="48" spans="3:6" ht="15.75" thickBot="1" x14ac:dyDescent="0.3">
      <c r="C48" s="1">
        <v>44286</v>
      </c>
      <c r="D48" s="3">
        <f t="shared" si="2"/>
        <v>4887069.444444445</v>
      </c>
      <c r="E48" s="3">
        <f t="shared" si="3"/>
        <v>1756719.0277777785</v>
      </c>
      <c r="F48" s="3">
        <f t="shared" si="1"/>
        <v>6643788.4722222239</v>
      </c>
    </row>
    <row r="49" spans="3:6" ht="15.75" thickBot="1" x14ac:dyDescent="0.3">
      <c r="C49" s="14">
        <v>44316</v>
      </c>
      <c r="D49" s="13">
        <f t="shared" si="2"/>
        <v>5026700.0000000009</v>
      </c>
      <c r="E49" s="13">
        <f t="shared" si="3"/>
        <v>1806911.0000000007</v>
      </c>
      <c r="F49" s="13">
        <f t="shared" si="1"/>
        <v>6833611.0000000019</v>
      </c>
    </row>
    <row r="50" spans="3:6" x14ac:dyDescent="0.25">
      <c r="C50" s="1">
        <v>44347</v>
      </c>
      <c r="D50" s="12">
        <f>D49</f>
        <v>5026700.0000000009</v>
      </c>
      <c r="E50" s="12">
        <f>E49</f>
        <v>1806911.0000000007</v>
      </c>
      <c r="F50" s="12">
        <f t="shared" si="1"/>
        <v>6833611.0000000019</v>
      </c>
    </row>
    <row r="51" spans="3:6" x14ac:dyDescent="0.25">
      <c r="C51" s="1">
        <v>44377</v>
      </c>
      <c r="D51" s="12">
        <f t="shared" ref="D51:D57" si="4">D50</f>
        <v>5026700.0000000009</v>
      </c>
      <c r="E51" s="12">
        <f t="shared" ref="E51:E57" si="5">E50</f>
        <v>1806911.0000000007</v>
      </c>
      <c r="F51" s="12">
        <f t="shared" si="1"/>
        <v>6833611.0000000019</v>
      </c>
    </row>
    <row r="52" spans="3:6" x14ac:dyDescent="0.25">
      <c r="C52" s="1">
        <v>44408</v>
      </c>
      <c r="D52" s="12">
        <f t="shared" si="4"/>
        <v>5026700.0000000009</v>
      </c>
      <c r="E52" s="12">
        <f t="shared" si="5"/>
        <v>1806911.0000000007</v>
      </c>
      <c r="F52" s="12">
        <f t="shared" si="1"/>
        <v>6833611.0000000019</v>
      </c>
    </row>
    <row r="53" spans="3:6" x14ac:dyDescent="0.25">
      <c r="C53" s="1">
        <v>44439</v>
      </c>
      <c r="D53" s="12">
        <f t="shared" si="4"/>
        <v>5026700.0000000009</v>
      </c>
      <c r="E53" s="12">
        <f t="shared" si="5"/>
        <v>1806911.0000000007</v>
      </c>
      <c r="F53" s="12">
        <f t="shared" si="1"/>
        <v>6833611.0000000019</v>
      </c>
    </row>
    <row r="54" spans="3:6" x14ac:dyDescent="0.25">
      <c r="C54" s="1">
        <v>44469</v>
      </c>
      <c r="D54" s="12">
        <f t="shared" si="4"/>
        <v>5026700.0000000009</v>
      </c>
      <c r="E54" s="12">
        <f t="shared" si="5"/>
        <v>1806911.0000000007</v>
      </c>
      <c r="F54" s="12">
        <f t="shared" si="1"/>
        <v>6833611.0000000019</v>
      </c>
    </row>
    <row r="55" spans="3:6" x14ac:dyDescent="0.25">
      <c r="C55" s="1">
        <v>44500</v>
      </c>
      <c r="D55" s="12">
        <f t="shared" si="4"/>
        <v>5026700.0000000009</v>
      </c>
      <c r="E55" s="12">
        <f t="shared" si="5"/>
        <v>1806911.0000000007</v>
      </c>
      <c r="F55" s="12">
        <f t="shared" si="1"/>
        <v>6833611.0000000019</v>
      </c>
    </row>
    <row r="56" spans="3:6" x14ac:dyDescent="0.25">
      <c r="C56" s="1">
        <v>44530</v>
      </c>
      <c r="D56" s="12">
        <f t="shared" si="4"/>
        <v>5026700.0000000009</v>
      </c>
      <c r="E56" s="12">
        <f t="shared" si="5"/>
        <v>1806911.0000000007</v>
      </c>
      <c r="F56" s="12">
        <f t="shared" si="1"/>
        <v>6833611.0000000019</v>
      </c>
    </row>
    <row r="57" spans="3:6" x14ac:dyDescent="0.25">
      <c r="C57" s="1">
        <v>44561</v>
      </c>
      <c r="D57" s="12">
        <f t="shared" si="4"/>
        <v>5026700.0000000009</v>
      </c>
      <c r="E57" s="12">
        <f t="shared" si="5"/>
        <v>1806911.0000000007</v>
      </c>
      <c r="F57" s="12">
        <f t="shared" si="1"/>
        <v>6833611.0000000019</v>
      </c>
    </row>
    <row r="59" spans="3:6" x14ac:dyDescent="0.25">
      <c r="C59" t="s">
        <v>7</v>
      </c>
      <c r="D59" s="3">
        <f>(((D14+D26)/2)+(D15+D16+D17+D18+D19+D20+D21+D22+D23+D24+D25))/12</f>
        <v>977413.88888888864</v>
      </c>
      <c r="E59" s="3">
        <f>(((E14+E26)/2)+(E15+E16+E17+E18+E19+E20+E21+E22+E23+E24+E25))/12</f>
        <v>351343.80555555556</v>
      </c>
    </row>
    <row r="60" spans="3:6" x14ac:dyDescent="0.25">
      <c r="C60" t="s">
        <v>8</v>
      </c>
      <c r="D60" s="3">
        <f>(((D26+D38)/2)+(D27+D28+D29+D30+D31+D32+D33+D34+D35+D36+D37))/12</f>
        <v>2652980.5555555546</v>
      </c>
      <c r="E60" s="3">
        <f>(((E26+E38)/2)+(E27+E28+E29+E30+E31+E32+E33+E34+E35+E36+E37))/12</f>
        <v>953647.47222222248</v>
      </c>
    </row>
    <row r="61" spans="3:6" x14ac:dyDescent="0.25">
      <c r="C61" t="s">
        <v>9</v>
      </c>
      <c r="D61" s="3">
        <f>(((D38+D50)/2)+(D39+D40+D41+D42+D43+D44+D45+D46+D47+D48+D49))/12</f>
        <v>4322729.2824074067</v>
      </c>
      <c r="E61" s="3">
        <f>(((E38+E50)/2)+(E39+E40+E41+E42+E43+E44+E45+E46+E47+E48+E49))/12</f>
        <v>1553859.8067129636</v>
      </c>
    </row>
    <row r="62" spans="3:6" x14ac:dyDescent="0.25">
      <c r="D62" s="3"/>
      <c r="E62" s="3"/>
    </row>
    <row r="63" spans="3:6" x14ac:dyDescent="0.25">
      <c r="D63" s="3"/>
      <c r="E63" s="3"/>
    </row>
  </sheetData>
  <pageMargins left="0.7" right="0.7" top="0.75" bottom="0.75" header="0.3" footer="0.3"/>
  <pageSetup scale="77" orientation="portrait" r:id="rId1"/>
  <headerFooter>
    <oddFooter>&amp;LAvista
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SignificantOrder xmlns="dc463f71-b30c-4ab2-9473-d307f9d35888">false</SignificantOrder>
    <Date1 xmlns="dc463f71-b30c-4ab2-9473-d307f9d35888">2018-02-27T08:00:00+00:00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1335EC-B99B-4B6F-9605-DC37345A7925}"/>
</file>

<file path=customXml/itemProps2.xml><?xml version="1.0" encoding="utf-8"?>
<ds:datastoreItem xmlns:ds="http://schemas.openxmlformats.org/officeDocument/2006/customXml" ds:itemID="{D765D3AB-275F-4E0E-894B-A660BDD8BC94}"/>
</file>

<file path=customXml/itemProps3.xml><?xml version="1.0" encoding="utf-8"?>
<ds:datastoreItem xmlns:ds="http://schemas.openxmlformats.org/officeDocument/2006/customXml" ds:itemID="{2893F5E9-00CB-405B-9C29-77344EA17349}"/>
</file>

<file path=customXml/itemProps4.xml><?xml version="1.0" encoding="utf-8"?>
<ds:datastoreItem xmlns:ds="http://schemas.openxmlformats.org/officeDocument/2006/customXml" ds:itemID="{7500EC22-7A85-48A8-BD9D-4B572D409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Plant</vt:lpstr>
      <vt:lpstr>2018 Impact Plant</vt:lpstr>
      <vt:lpstr>2019 Impact Plant</vt:lpstr>
      <vt:lpstr>2020 Impact Plant</vt:lpstr>
      <vt:lpstr>2021 Impact Plant</vt:lpstr>
      <vt:lpstr>Allocation Factors</vt:lpstr>
      <vt:lpstr>Non-Plant (WA 1YR)</vt:lpstr>
      <vt:lpstr>Non-Plant (WA 3YR) -not used</vt:lpstr>
      <vt:lpstr>'Non-Plant (WA 1YR)'!Print_Area</vt:lpstr>
      <vt:lpstr>'Non-Plant (WA 3YR) -not used'!Print_Area</vt:lpstr>
      <vt:lpstr>Plant!Print_Area</vt:lpstr>
      <vt:lpstr>'2018 Impact Plant'!Print_Titles</vt:lpstr>
      <vt:lpstr>'2019 Impact Plant'!Print_Titles</vt:lpstr>
      <vt:lpstr>'2020 Impact Plant'!Print_Titles</vt:lpstr>
      <vt:lpstr>'2021 Impact Plant'!Print_Titles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Liz Andrews</cp:lastModifiedBy>
  <cp:lastPrinted>2018-02-26T20:04:34Z</cp:lastPrinted>
  <dcterms:created xsi:type="dcterms:W3CDTF">2018-01-26T21:11:24Z</dcterms:created>
  <dcterms:modified xsi:type="dcterms:W3CDTF">2018-02-26T20:06:18Z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