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3.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8.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xl/externalLinks/externalLink9.xml" ContentType="application/vnd.openxmlformats-officedocument.spreadsheetml.externalLink+xml"/>
  <Override PartName="/xl/externalLinks/externalLink7.xml" ContentType="application/vnd.openxmlformats-officedocument.spreadsheetml.externalLink+xml"/>
  <Override PartName="/xl/comments3.xml" ContentType="application/vnd.openxmlformats-officedocument.spreadsheetml.comments+xml"/>
  <Override PartName="/xl/externalLinks/externalLink5.xml" ContentType="application/vnd.openxmlformats-officedocument.spreadsheetml.externalLink+xml"/>
  <Override PartName="/xl/comments5.xml" ContentType="application/vnd.openxmlformats-officedocument.spreadsheetml.comments+xml"/>
  <Override PartName="/xl/comments4.xml" ContentType="application/vnd.openxmlformats-officedocument.spreadsheetml.comments+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2018\2018 Tax Reform\Workpapers\Models\WA Tax Adjusted Models\Incremental Adjustment Models\"/>
    </mc:Choice>
  </mc:AlternateContent>
  <bookViews>
    <workbookView xWindow="570" yWindow="-210" windowWidth="20370" windowHeight="12300" tabRatio="838" activeTab="1"/>
  </bookViews>
  <sheets>
    <sheet name="Recal wo Bonus" sheetId="86" r:id="rId1"/>
    <sheet name="Revised Year 2-3 - Table" sheetId="85" r:id="rId2"/>
    <sheet name="ADJ DETAIL INPUT-Restated CB" sheetId="79" r:id="rId3"/>
    <sheet name="Cost Trends" sheetId="80" r:id="rId4"/>
    <sheet name="Acerno_Cache_XXXXX" sheetId="78" state="veryHidden" r:id="rId5"/>
    <sheet name="Riders and Gas Cost Revenue" sheetId="81" r:id="rId6"/>
    <sheet name="Reg Amort and Other RB" sheetId="82" r:id="rId7"/>
    <sheet name="CF" sheetId="56" r:id="rId8"/>
    <sheet name="DEBT CALC" sheetId="75" r:id="rId9"/>
    <sheet name="ROO INPUT" sheetId="5" r:id="rId10"/>
    <sheet name="Coat of Capital" sheetId="55" r:id="rId11"/>
    <sheet name="ADJ SUMMARY" sheetId="3" r:id="rId12"/>
    <sheet name="Table" sheetId="8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ctuals_Mo">[1]Tables!$B$19</definedName>
    <definedName name="Allocation_Categories">OFFSET('[2]Allocation Factors'!$A$4,0,0,COUNTA('[2]Allocation Factors'!$A:$A)-COUNTA('[2]Allocation Factors'!$A$1:$A$3),1)</definedName>
    <definedName name="Base1_Billing2" localSheetId="1">#REF!</definedName>
    <definedName name="Base1_Billing2">#REF!</definedName>
    <definedName name="BaseRev60_EntryLookup">INDEX('[3]Rev Summary'!$F$1176:$F$1177,2):'[3]Rev Summary'!$F$1221</definedName>
    <definedName name="Basic">'[3]Rev Summary'!$I$1279:$I$1322</definedName>
    <definedName name="BilledRev60_EntryLookup">INDEX('[3]Rev Summary'!$F$70:$F$71,2):'[3]Rev Summary'!$F$115</definedName>
    <definedName name="CalRev60_EntryLookup">INDEX('[3]Rev Summary'!$F$373:$F$374,2):'[3]Rev Summary'!$F$418</definedName>
    <definedName name="ClassEntry">'[3]Rev Summary'!$D$2</definedName>
    <definedName name="ClassEntryNo">'[3]Rev Summary'!$D$3</definedName>
    <definedName name="CopyClasses">'[3]Rev Summary'!$F$1279:INDEX('[3]Rev Summary'!$F$1279:$F$1323,COUNTA('[3]Rev Summary'!$F$1279:$F$1323))</definedName>
    <definedName name="CustMos">'[1]Cust Load'!$D$3</definedName>
    <definedName name="DSMFlag">'[3]Exp Summary'!$E$30</definedName>
    <definedName name="EndMo">[1]Tables!$B$16</definedName>
    <definedName name="ERM">'[4]Rate Design'!$D$45</definedName>
    <definedName name="GRCRev60_EntryLookup">INDEX('[3]Rev Summary'!$F$1075:$F$1076,2):'[3]Rev Summary'!$F$1120</definedName>
    <definedName name="GrossUnbillAccrRev60_EntryLookup">INDEX('[3]Rev Summary'!$F$873:$F$874,2):'[3]Rev Summary'!$F$918</definedName>
    <definedName name="GrossUnbillRevRev60_EntryLookup">INDEX('[3]Rev Summary'!$F$974:$F$975,2):'[3]Rev Summary'!$F$1019</definedName>
    <definedName name="ID" localSheetId="1">#REF!</definedName>
    <definedName name="ID">#REF!</definedName>
    <definedName name="ID_001b" localSheetId="1">#REF!</definedName>
    <definedName name="ID_001b">#REF!</definedName>
    <definedName name="ID_011b" localSheetId="1">#REF!</definedName>
    <definedName name="ID_011b">#REF!</definedName>
    <definedName name="ID_012b" localSheetId="1">#REF!</definedName>
    <definedName name="ID_012b">#REF!</definedName>
    <definedName name="ID_021b" localSheetId="1">#REF!</definedName>
    <definedName name="ID_021b">#REF!</definedName>
    <definedName name="ID_Elec" localSheetId="7">[5]DebtCalc!#REF!</definedName>
    <definedName name="ID_Elec" localSheetId="10">[6]DebtCalc!#REF!</definedName>
    <definedName name="ID_Elec" localSheetId="8">'DEBT CALC'!$A$76:$F$153</definedName>
    <definedName name="ID_Elec" localSheetId="0">[6]DebtCalc!#REF!</definedName>
    <definedName name="ID_Elec" localSheetId="1">#REF!</definedName>
    <definedName name="ID_Elec">#REF!</definedName>
    <definedName name="ID_Gas" localSheetId="8">'DEBT CALC'!#REF!</definedName>
    <definedName name="ID_Gas" localSheetId="1">#REF!</definedName>
    <definedName name="ID_Gas">#REF!</definedName>
    <definedName name="ID04X">[3]Rates!$O$121:$V$121</definedName>
    <definedName name="IDPPRider">[3]Rates!$O$124:$V$124</definedName>
    <definedName name="IDResEx">[3]Rates!$O$125:$V$125</definedName>
    <definedName name="IDSurch">[3]Rates!$O$122:$V$122</definedName>
    <definedName name="ManualSched">'[3]Rev Summary'!$B$36</definedName>
    <definedName name="Month1">[3]Setup!$B$3</definedName>
    <definedName name="NetUnbillRev60_EntryLookup">INDEX('[3]Rev Summary'!$F$272:$F$273,2):'[3]Rev Summary'!$F$317</definedName>
    <definedName name="PPRev60_EntryLookup">INDEX('[3]Rev Summary'!$F$671:$F$672,2):'[3]Rev Summary'!$F$716</definedName>
    <definedName name="_xlnm.Print_Area" localSheetId="2">'ADJ DETAIL INPUT-Restated CB'!$A$1:$AG$82</definedName>
    <definedName name="_xlnm.Print_Area" localSheetId="11">'ADJ SUMMARY'!$A$1:$F$28</definedName>
    <definedName name="_xlnm.Print_Area" localSheetId="7">CF!$A$1:$E$29</definedName>
    <definedName name="_xlnm.Print_Area" localSheetId="10">'Coat of Capital'!$A$1:$H$36,'Coat of Capital'!$I$1:$N$19</definedName>
    <definedName name="_xlnm.Print_Area" localSheetId="3">'Cost Trends'!$A$2:$Y$209</definedName>
    <definedName name="_xlnm.Print_Area" localSheetId="8">'DEBT CALC'!$A$1:$I$54</definedName>
    <definedName name="_xlnm.Print_Area" localSheetId="0">'Recal wo Bonus'!$A$1:$H$48,'Recal wo Bonus'!$I$1:$N$21</definedName>
    <definedName name="_xlnm.Print_Area" localSheetId="5">'Riders and Gas Cost Revenue'!$A$1:$AX$65</definedName>
    <definedName name="_xlnm.Print_Area" localSheetId="9">'ROO INPUT'!$A$3:$G$82</definedName>
    <definedName name="Print_for_CBReport" localSheetId="1">#REF!</definedName>
    <definedName name="Print_for_CBReport">#REF!</definedName>
    <definedName name="Print_for_Checking" localSheetId="8">'[7]ADJ SUMMARY'!$A$1:'[7]ADJ SUMMARY'!#REF!</definedName>
    <definedName name="Print_for_Checking" localSheetId="1">#REF!</definedName>
    <definedName name="Print_for_Checking">#REF!</definedName>
    <definedName name="_xlnm.Print_Titles" localSheetId="3">'Cost Trends'!$2:$2</definedName>
    <definedName name="_xlnm.Print_Titles" localSheetId="5">'Riders and Gas Cost Revenue'!$A:$F,'Riders and Gas Cost Revenue'!$5:$9</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[8]Macro1!$A$92</definedName>
    <definedName name="ResExchRev60_EntryLookup">INDEX('[3]Rev Summary'!$F$772:$F$773,2):'[3]Rev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'[3]Rev Summary'!$E$2</definedName>
    <definedName name="SL_RateIncr">'[4]St Lts'!$AD$1</definedName>
    <definedName name="StartMo">[1]Tables!$B$13</definedName>
    <definedName name="Summary" localSheetId="8">#REF!</definedName>
    <definedName name="Summary" localSheetId="1">#REF!</definedName>
    <definedName name="Summary">#REF!</definedName>
    <definedName name="SurchRev60_EntryLookup">INDEX('[3]Rev Summary'!$F$474:$F$475,2):'[3]Rev Summary'!$F$519</definedName>
    <definedName name="TableName">"Dummy"</definedName>
    <definedName name="TaxCreditRev60_EntryLookup">INDEX('[3]Rev Summary'!$F$572:$F$621,2):'[3]Rev Summary'!$F$617</definedName>
    <definedName name="TaxRev60_EntryLookup">INDEX('[3]Rev Summary'!$F$171:$F$216,2):'[3]Rev Summary'!$F$216</definedName>
    <definedName name="Utility">[3]Setup!$B$1</definedName>
    <definedName name="vl_tbl_SchedClass">[1]!tbl_SchedAll[StClSch]</definedName>
    <definedName name="WA_001b" localSheetId="1">#REF!</definedName>
    <definedName name="WA_001b">#REF!</definedName>
    <definedName name="WA_011b" localSheetId="1">#REF!</definedName>
    <definedName name="WA_011b">#REF!</definedName>
    <definedName name="WA_012b" localSheetId="1">#REF!</definedName>
    <definedName name="WA_012b">#REF!</definedName>
    <definedName name="WA_021b" localSheetId="1">#REF!</definedName>
    <definedName name="WA_021b">#REF!</definedName>
    <definedName name="WA_Elec" localSheetId="7">[5]DebtCalc!#REF!</definedName>
    <definedName name="WA_Elec" localSheetId="10">[6]DebtCalc!#REF!</definedName>
    <definedName name="WA_Elec" localSheetId="8">'DEBT CALC'!$A$1:$F$75</definedName>
    <definedName name="WA_Elec" localSheetId="0">[6]DebtCalc!#REF!</definedName>
    <definedName name="WA_Elec" localSheetId="1">#REF!</definedName>
    <definedName name="WA_Elec">#REF!</definedName>
    <definedName name="WA_Gas" localSheetId="8">'DEBT CALC'!#REF!</definedName>
    <definedName name="WA_Gas" localSheetId="1">#REF!</definedName>
    <definedName name="WA_Gas">#REF!</definedName>
    <definedName name="WA04X">[3]Rates!$D$121:$K$121</definedName>
    <definedName name="WAPPRider">[3]Rates!$D$124:$K$124</definedName>
    <definedName name="WAResEx">[3]Rates!$D$125:$K$125</definedName>
    <definedName name="WASurch">[3]Rates!$D$122:$K$122</definedName>
    <definedName name="Year1">[3]Setup!$B$2</definedName>
    <definedName name="Z_5BE913A1_B14F_11D2_B0DC_0000832CDFF0_.wvu.Cols" localSheetId="2" hidden="1">'ADJ DETAIL INPUT-Restated CB'!$W:$Y</definedName>
    <definedName name="Z_5BE913A1_B14F_11D2_B0DC_0000832CDFF0_.wvu.Cols" localSheetId="3" hidden="1">'Cost Trends'!#REF!</definedName>
    <definedName name="Z_5BE913A1_B14F_11D2_B0DC_0000832CDFF0_.wvu.PrintArea" localSheetId="2" hidden="1">'ADJ DETAIL INPUT-Restated CB'!$E$12:$Y$83</definedName>
    <definedName name="Z_5BE913A1_B14F_11D2_B0DC_0000832CDFF0_.wvu.PrintArea" localSheetId="11" hidden="1">'ADJ SUMMARY'!$A$1:$F$45</definedName>
    <definedName name="Z_5BE913A1_B14F_11D2_B0DC_0000832CDFF0_.wvu.PrintArea" localSheetId="3" hidden="1">'Cost Trends'!$Q$11:$Q$91</definedName>
    <definedName name="Z_5BE913A1_B14F_11D2_B0DC_0000832CDFF0_.wvu.PrintArea" localSheetId="9" hidden="1">'ROO INPUT'!$A$3:$G$82</definedName>
    <definedName name="Z_5BE913A1_B14F_11D2_B0DC_0000832CDFF0_.wvu.PrintTitles" localSheetId="2" hidden="1">'ADJ DETAIL INPUT-Restated CB'!$A:$D,'ADJ DETAIL INPUT-Restated CB'!$2:$11</definedName>
    <definedName name="Z_5BE913A1_B14F_11D2_B0DC_0000832CDFF0_.wvu.PrintTitles" localSheetId="3" hidden="1">'Cost Trends'!$A:$D,'Cost Trends'!$1:$8</definedName>
    <definedName name="Z_5BE913A1_B14F_11D2_B0DC_0000832CDFF0_.wvu.Rows" localSheetId="11" hidden="1">'ADJ SUMMARY'!$26:$26,'ADJ SUMMARY'!$29:$45,'ADJ SUMMARY'!#REF!</definedName>
    <definedName name="Z_A15D1964_B049_11D2_8670_0000832CEEE8_.wvu.Cols" localSheetId="2" hidden="1">'ADJ DETAIL INPUT-Restated CB'!$W:$Y</definedName>
    <definedName name="Z_A15D1964_B049_11D2_8670_0000832CEEE8_.wvu.Cols" localSheetId="3" hidden="1">'Cost Trends'!#REF!</definedName>
    <definedName name="Z_A15D1964_B049_11D2_8670_0000832CEEE8_.wvu.PrintArea" localSheetId="2" hidden="1">'ADJ DETAIL INPUT-Restated CB'!$E$12:$Y$83</definedName>
    <definedName name="Z_A15D1964_B049_11D2_8670_0000832CEEE8_.wvu.PrintArea" localSheetId="11" hidden="1">'ADJ SUMMARY'!$A$1:$F$45</definedName>
    <definedName name="Z_A15D1964_B049_11D2_8670_0000832CEEE8_.wvu.PrintArea" localSheetId="3" hidden="1">'Cost Trends'!$Q$11:$Q$91</definedName>
    <definedName name="Z_A15D1964_B049_11D2_8670_0000832CEEE8_.wvu.PrintArea" localSheetId="9" hidden="1">'ROO INPUT'!$A$3:$G$82</definedName>
    <definedName name="Z_A15D1964_B049_11D2_8670_0000832CEEE8_.wvu.PrintTitles" localSheetId="2" hidden="1">'ADJ DETAIL INPUT-Restated CB'!$A:$D,'ADJ DETAIL INPUT-Restated CB'!$2:$11</definedName>
    <definedName name="Z_A15D1964_B049_11D2_8670_0000832CEEE8_.wvu.PrintTitles" localSheetId="3" hidden="1">'Cost Trends'!$A:$D,'Cost Trends'!$1:$8</definedName>
    <definedName name="Z_A15D1964_B049_11D2_8670_0000832CEEE8_.wvu.Rows" localSheetId="11" hidden="1">'ADJ SUMMARY'!$26:$26,'ADJ SUMMARY'!$29:$45,'ADJ SUMMARY'!#REF!</definedName>
  </definedNames>
  <calcPr calcId="152511"/>
  <customWorkbookViews>
    <customWorkbookView name="Kathy Mitchell - Personal View" guid="{A15D1964-B049-11D2-8670-0000832CEEE8}" mergeInterval="0" personalView="1" maximized="1" windowWidth="796" windowHeight="436" activeSheetId="1"/>
    <customWorkbookView name="Don Falkner - Personal View" guid="{5BE913A1-B14F-11D2-B0DC-0000832CDFF0}" mergeInterval="0" personalView="1" maximized="1" windowWidth="1020" windowHeight="604" activeSheetId="2"/>
  </customWorkbookViews>
</workbook>
</file>

<file path=xl/calcChain.xml><?xml version="1.0" encoding="utf-8"?>
<calcChain xmlns="http://schemas.openxmlformats.org/spreadsheetml/2006/main">
  <c r="AB71" i="86" l="1"/>
  <c r="F25" i="86"/>
  <c r="F21" i="86"/>
  <c r="L16" i="86"/>
  <c r="N14" i="86"/>
  <c r="L12" i="86"/>
  <c r="N12" i="86" s="1"/>
  <c r="A4" i="86"/>
  <c r="N16" i="86" l="1"/>
  <c r="F15" i="86" s="1"/>
  <c r="F19" i="86" s="1"/>
  <c r="F23" i="86" s="1"/>
  <c r="F10" i="85"/>
  <c r="F22" i="85" s="1"/>
  <c r="F27" i="86" l="1"/>
  <c r="F47" i="86"/>
  <c r="F31" i="86"/>
  <c r="D21" i="85"/>
  <c r="F21" i="85" s="1"/>
  <c r="F9" i="85"/>
  <c r="F48" i="86" l="1"/>
  <c r="F36" i="86"/>
  <c r="AE43" i="79"/>
  <c r="F39" i="86" l="1"/>
  <c r="F41" i="86"/>
  <c r="F44" i="86" s="1"/>
  <c r="AE31" i="79"/>
  <c r="G44" i="86" l="1"/>
  <c r="H44" i="86"/>
  <c r="G39" i="86"/>
  <c r="H39" i="86"/>
  <c r="C26" i="3"/>
  <c r="B26" i="3"/>
  <c r="C25" i="3"/>
  <c r="B25" i="3"/>
  <c r="C24" i="3"/>
  <c r="B24" i="3"/>
  <c r="C23" i="3"/>
  <c r="B23" i="3"/>
  <c r="C22" i="3"/>
  <c r="B22" i="3"/>
  <c r="C21" i="3"/>
  <c r="B21" i="3"/>
  <c r="C20" i="3"/>
  <c r="B20" i="3"/>
  <c r="C19" i="3"/>
  <c r="B19" i="3"/>
  <c r="C18" i="3"/>
  <c r="B18" i="3"/>
  <c r="C17" i="3"/>
  <c r="B17" i="3"/>
  <c r="C16" i="3"/>
  <c r="B16" i="3"/>
  <c r="C15" i="3"/>
  <c r="B15" i="3"/>
  <c r="C14" i="3"/>
  <c r="B14" i="3"/>
  <c r="C13" i="3"/>
  <c r="B13" i="3"/>
  <c r="C12" i="3"/>
  <c r="B12" i="3"/>
  <c r="A12" i="3"/>
  <c r="C11" i="3"/>
  <c r="B11" i="3"/>
  <c r="C10" i="3"/>
  <c r="B10" i="3"/>
  <c r="C9" i="3"/>
  <c r="B9" i="3"/>
  <c r="A1" i="3"/>
  <c r="C8" i="3"/>
  <c r="B8" i="3"/>
  <c r="A8" i="3"/>
  <c r="F22" i="84" l="1"/>
  <c r="E87" i="79" l="1"/>
  <c r="U68" i="82"/>
  <c r="T68" i="82"/>
  <c r="S68" i="82"/>
  <c r="R68" i="82"/>
  <c r="Q68" i="82"/>
  <c r="P68" i="82"/>
  <c r="O67" i="82"/>
  <c r="N67" i="82"/>
  <c r="M67" i="82"/>
  <c r="L67" i="82"/>
  <c r="K67" i="82"/>
  <c r="J67" i="82"/>
  <c r="I67" i="82"/>
  <c r="H67" i="82"/>
  <c r="G67" i="82"/>
  <c r="F67" i="82"/>
  <c r="E67" i="82"/>
  <c r="O66" i="82"/>
  <c r="P73" i="80" s="1"/>
  <c r="P75" i="80" s="1"/>
  <c r="N66" i="82"/>
  <c r="M66" i="82"/>
  <c r="L66" i="82"/>
  <c r="K66" i="82"/>
  <c r="L73" i="80" s="1"/>
  <c r="L75" i="80" s="1"/>
  <c r="J66" i="82"/>
  <c r="I66" i="82"/>
  <c r="H66" i="82"/>
  <c r="G66" i="82"/>
  <c r="H73" i="80" s="1"/>
  <c r="H75" i="80" s="1"/>
  <c r="F66" i="82"/>
  <c r="E66" i="82"/>
  <c r="U64" i="82"/>
  <c r="T64" i="82"/>
  <c r="S64" i="82"/>
  <c r="R64" i="82"/>
  <c r="Q64" i="82"/>
  <c r="P64" i="82"/>
  <c r="O64" i="82"/>
  <c r="N64" i="82"/>
  <c r="M64" i="82"/>
  <c r="L64" i="82"/>
  <c r="K64" i="82"/>
  <c r="J64" i="82"/>
  <c r="I64" i="82"/>
  <c r="H64" i="82"/>
  <c r="G64" i="82"/>
  <c r="F64" i="82"/>
  <c r="E64" i="82"/>
  <c r="U50" i="82"/>
  <c r="R50" i="82"/>
  <c r="U48" i="82"/>
  <c r="R48" i="82"/>
  <c r="S47" i="82"/>
  <c r="S54" i="82" s="1"/>
  <c r="K47" i="82"/>
  <c r="K54" i="82" s="1"/>
  <c r="R46" i="82"/>
  <c r="U45" i="82"/>
  <c r="U47" i="82" s="1"/>
  <c r="U54" i="82" s="1"/>
  <c r="P45" i="82"/>
  <c r="P47" i="82" s="1"/>
  <c r="P54" i="82" s="1"/>
  <c r="L45" i="82"/>
  <c r="L47" i="82" s="1"/>
  <c r="L54" i="82" s="1"/>
  <c r="H45" i="82"/>
  <c r="H47" i="82" s="1"/>
  <c r="H54" i="82" s="1"/>
  <c r="U44" i="82"/>
  <c r="S44" i="82"/>
  <c r="Q44" i="82"/>
  <c r="Q45" i="82" s="1"/>
  <c r="Q47" i="82" s="1"/>
  <c r="Q54" i="82" s="1"/>
  <c r="P44" i="82"/>
  <c r="O44" i="82"/>
  <c r="N44" i="82"/>
  <c r="M44" i="82"/>
  <c r="M45" i="82" s="1"/>
  <c r="M47" i="82" s="1"/>
  <c r="M54" i="82" s="1"/>
  <c r="L44" i="82"/>
  <c r="K44" i="82"/>
  <c r="J44" i="82"/>
  <c r="I44" i="82"/>
  <c r="I45" i="82" s="1"/>
  <c r="I47" i="82" s="1"/>
  <c r="I54" i="82" s="1"/>
  <c r="H44" i="82"/>
  <c r="G44" i="82"/>
  <c r="F44" i="82"/>
  <c r="E44" i="82"/>
  <c r="E45" i="82" s="1"/>
  <c r="E47" i="82" s="1"/>
  <c r="E54" i="82" s="1"/>
  <c r="U43" i="82"/>
  <c r="T43" i="82"/>
  <c r="T44" i="82" s="1"/>
  <c r="T45" i="82" s="1"/>
  <c r="T47" i="82" s="1"/>
  <c r="T54" i="82" s="1"/>
  <c r="R43" i="82"/>
  <c r="R44" i="82" s="1"/>
  <c r="R41" i="82"/>
  <c r="T38" i="82"/>
  <c r="S38" i="82"/>
  <c r="S45" i="82" s="1"/>
  <c r="R38" i="82"/>
  <c r="Q38" i="82"/>
  <c r="P38" i="82"/>
  <c r="O38" i="82"/>
  <c r="O45" i="82" s="1"/>
  <c r="O47" i="82" s="1"/>
  <c r="O54" i="82" s="1"/>
  <c r="N38" i="82"/>
  <c r="N45" i="82" s="1"/>
  <c r="N47" i="82" s="1"/>
  <c r="N54" i="82" s="1"/>
  <c r="M38" i="82"/>
  <c r="L38" i="82"/>
  <c r="K38" i="82"/>
  <c r="K45" i="82" s="1"/>
  <c r="J38" i="82"/>
  <c r="J45" i="82" s="1"/>
  <c r="J47" i="82" s="1"/>
  <c r="J54" i="82" s="1"/>
  <c r="I38" i="82"/>
  <c r="H38" i="82"/>
  <c r="G38" i="82"/>
  <c r="G45" i="82" s="1"/>
  <c r="G47" i="82" s="1"/>
  <c r="G54" i="82" s="1"/>
  <c r="F38" i="82"/>
  <c r="F45" i="82" s="1"/>
  <c r="F47" i="82" s="1"/>
  <c r="F54" i="82" s="1"/>
  <c r="E38" i="82"/>
  <c r="U37" i="82"/>
  <c r="U38" i="82" s="1"/>
  <c r="U32" i="82"/>
  <c r="T32" i="82"/>
  <c r="S30" i="82"/>
  <c r="O30" i="82"/>
  <c r="N30" i="82"/>
  <c r="K30" i="82"/>
  <c r="G30" i="82"/>
  <c r="F30" i="82"/>
  <c r="O28" i="82"/>
  <c r="G28" i="82"/>
  <c r="P27" i="82"/>
  <c r="P28" i="82" s="1"/>
  <c r="H27" i="82"/>
  <c r="H28" i="82" s="1"/>
  <c r="U25" i="82"/>
  <c r="U30" i="82" s="1"/>
  <c r="T25" i="82"/>
  <c r="T30" i="82" s="1"/>
  <c r="S25" i="82"/>
  <c r="R25" i="82"/>
  <c r="R30" i="82" s="1"/>
  <c r="Q25" i="82"/>
  <c r="Q30" i="82" s="1"/>
  <c r="P25" i="82"/>
  <c r="P30" i="82" s="1"/>
  <c r="O25" i="82"/>
  <c r="N25" i="82"/>
  <c r="M25" i="82"/>
  <c r="M30" i="82" s="1"/>
  <c r="L25" i="82"/>
  <c r="L30" i="82" s="1"/>
  <c r="K25" i="82"/>
  <c r="J25" i="82"/>
  <c r="J30" i="82" s="1"/>
  <c r="I25" i="82"/>
  <c r="I30" i="82" s="1"/>
  <c r="H25" i="82"/>
  <c r="H30" i="82" s="1"/>
  <c r="G25" i="82"/>
  <c r="F25" i="82"/>
  <c r="E25" i="82"/>
  <c r="E30" i="82" s="1"/>
  <c r="R17" i="82"/>
  <c r="R27" i="82" s="1"/>
  <c r="R28" i="82" s="1"/>
  <c r="O17" i="82"/>
  <c r="O27" i="82" s="1"/>
  <c r="K17" i="82"/>
  <c r="K27" i="82" s="1"/>
  <c r="K28" i="82" s="1"/>
  <c r="J17" i="82"/>
  <c r="J27" i="82" s="1"/>
  <c r="J28" i="82" s="1"/>
  <c r="G17" i="82"/>
  <c r="G27" i="82" s="1"/>
  <c r="J16" i="82"/>
  <c r="I16" i="82"/>
  <c r="Q15" i="82"/>
  <c r="Q17" i="82" s="1"/>
  <c r="Q27" i="82" s="1"/>
  <c r="Q28" i="82" s="1"/>
  <c r="P15" i="82"/>
  <c r="P17" i="82" s="1"/>
  <c r="O15" i="82"/>
  <c r="N15" i="82"/>
  <c r="N17" i="82" s="1"/>
  <c r="N27" i="82" s="1"/>
  <c r="N28" i="82" s="1"/>
  <c r="M15" i="82"/>
  <c r="M17" i="82" s="1"/>
  <c r="M27" i="82" s="1"/>
  <c r="M28" i="82" s="1"/>
  <c r="L15" i="82"/>
  <c r="L17" i="82" s="1"/>
  <c r="L27" i="82" s="1"/>
  <c r="L28" i="82" s="1"/>
  <c r="K15" i="82"/>
  <c r="J15" i="82"/>
  <c r="I15" i="82"/>
  <c r="H15" i="82"/>
  <c r="H17" i="82" s="1"/>
  <c r="G15" i="82"/>
  <c r="F15" i="82"/>
  <c r="F17" i="82" s="1"/>
  <c r="F27" i="82" s="1"/>
  <c r="F28" i="82" s="1"/>
  <c r="E15" i="82"/>
  <c r="E17" i="82" s="1"/>
  <c r="E27" i="82" s="1"/>
  <c r="E28" i="82" s="1"/>
  <c r="U14" i="82"/>
  <c r="U17" i="82" s="1"/>
  <c r="U27" i="82" s="1"/>
  <c r="U28" i="82" s="1"/>
  <c r="T14" i="82"/>
  <c r="T17" i="82" s="1"/>
  <c r="T27" i="82" s="1"/>
  <c r="T28" i="82" s="1"/>
  <c r="S14" i="82"/>
  <c r="S17" i="82" s="1"/>
  <c r="S27" i="82" s="1"/>
  <c r="S28" i="82" s="1"/>
  <c r="R14" i="82"/>
  <c r="J14" i="82"/>
  <c r="I14" i="82"/>
  <c r="AX63" i="81"/>
  <c r="AX19" i="81" s="1"/>
  <c r="AU63" i="81"/>
  <c r="AU19" i="81" s="1"/>
  <c r="AL63" i="81"/>
  <c r="AI63" i="81"/>
  <c r="AF63" i="81"/>
  <c r="R63" i="81"/>
  <c r="P63" i="81"/>
  <c r="N63" i="81"/>
  <c r="L63" i="81"/>
  <c r="J63" i="81"/>
  <c r="H63" i="81"/>
  <c r="AL61" i="81"/>
  <c r="AI61" i="81"/>
  <c r="AF61" i="81"/>
  <c r="AC61" i="81"/>
  <c r="Z61" i="81"/>
  <c r="W61" i="81"/>
  <c r="T61" i="81"/>
  <c r="R61" i="81"/>
  <c r="AK41" i="81"/>
  <c r="E40" i="81"/>
  <c r="AJ36" i="81"/>
  <c r="E35" i="81"/>
  <c r="E32" i="81"/>
  <c r="AX27" i="81"/>
  <c r="AW27" i="81"/>
  <c r="AV27" i="81"/>
  <c r="AU27" i="81"/>
  <c r="AT27" i="81"/>
  <c r="AS27" i="81"/>
  <c r="AR27" i="81"/>
  <c r="AQ27" i="81"/>
  <c r="AP27" i="81"/>
  <c r="AO27" i="81"/>
  <c r="AN27" i="81"/>
  <c r="AM27" i="81"/>
  <c r="AL27" i="81"/>
  <c r="AK27" i="81"/>
  <c r="AJ27" i="81"/>
  <c r="AI27" i="81"/>
  <c r="AH27" i="81"/>
  <c r="AG27" i="81"/>
  <c r="AF27" i="81"/>
  <c r="AE27" i="81"/>
  <c r="AD27" i="81"/>
  <c r="AC27" i="81"/>
  <c r="AB27" i="81"/>
  <c r="AA27" i="81"/>
  <c r="Z27" i="81"/>
  <c r="Y27" i="81"/>
  <c r="X27" i="81"/>
  <c r="W27" i="81"/>
  <c r="V27" i="81"/>
  <c r="U27" i="81"/>
  <c r="T27" i="81"/>
  <c r="S27" i="81"/>
  <c r="R27" i="81"/>
  <c r="Q27" i="81"/>
  <c r="P27" i="81"/>
  <c r="O27" i="81"/>
  <c r="N27" i="81"/>
  <c r="M27" i="81"/>
  <c r="L27" i="81"/>
  <c r="K27" i="81"/>
  <c r="J27" i="81"/>
  <c r="I27" i="81"/>
  <c r="H27" i="81"/>
  <c r="G27" i="81"/>
  <c r="AW21" i="81"/>
  <c r="AV21" i="81"/>
  <c r="AT21" i="81"/>
  <c r="AS21" i="81"/>
  <c r="AQ21" i="81"/>
  <c r="AP21" i="81"/>
  <c r="AN21" i="81"/>
  <c r="AM21" i="81"/>
  <c r="AK21" i="81"/>
  <c r="AJ21" i="81"/>
  <c r="AH21" i="81"/>
  <c r="AG21" i="81"/>
  <c r="AE21" i="81"/>
  <c r="AD21" i="81"/>
  <c r="AB21" i="81"/>
  <c r="AA21" i="81"/>
  <c r="Y21" i="81"/>
  <c r="X21" i="81"/>
  <c r="V21" i="81"/>
  <c r="U21" i="81"/>
  <c r="S21" i="81"/>
  <c r="Q21" i="81"/>
  <c r="O21" i="81"/>
  <c r="M21" i="81"/>
  <c r="K21" i="81"/>
  <c r="I21" i="81"/>
  <c r="G21" i="81"/>
  <c r="AX20" i="81"/>
  <c r="AU20" i="81"/>
  <c r="AR20" i="81"/>
  <c r="AO20" i="81"/>
  <c r="AL20" i="81"/>
  <c r="AI20" i="81"/>
  <c r="AF20" i="81"/>
  <c r="AC20" i="81"/>
  <c r="Z20" i="81"/>
  <c r="W20" i="81"/>
  <c r="T20" i="81"/>
  <c r="R20" i="81"/>
  <c r="P20" i="81"/>
  <c r="N20" i="81"/>
  <c r="L20" i="81"/>
  <c r="J20" i="81"/>
  <c r="H20" i="81"/>
  <c r="AR19" i="81"/>
  <c r="AO19" i="81"/>
  <c r="AL19" i="81"/>
  <c r="AI19" i="81"/>
  <c r="AF19" i="81"/>
  <c r="AC19" i="81"/>
  <c r="Z19" i="81"/>
  <c r="W19" i="81"/>
  <c r="T19" i="81"/>
  <c r="R19" i="81"/>
  <c r="P19" i="81"/>
  <c r="N19" i="81"/>
  <c r="L19" i="81"/>
  <c r="J19" i="81"/>
  <c r="H19" i="81"/>
  <c r="AX18" i="81"/>
  <c r="AU18" i="81"/>
  <c r="AR18" i="81"/>
  <c r="AO18" i="81"/>
  <c r="AL18" i="81"/>
  <c r="AI18" i="81"/>
  <c r="AF18" i="81"/>
  <c r="AC18" i="81"/>
  <c r="Z18" i="81"/>
  <c r="W18" i="81"/>
  <c r="T18" i="81"/>
  <c r="R18" i="81"/>
  <c r="P18" i="81"/>
  <c r="N18" i="81"/>
  <c r="L18" i="81"/>
  <c r="J18" i="81"/>
  <c r="H18" i="81"/>
  <c r="AX13" i="81"/>
  <c r="AU13" i="81"/>
  <c r="AR13" i="81"/>
  <c r="AO13" i="81"/>
  <c r="AL13" i="81"/>
  <c r="AI13" i="81"/>
  <c r="AF13" i="81"/>
  <c r="AC13" i="81"/>
  <c r="Z13" i="81"/>
  <c r="W13" i="81"/>
  <c r="R13" i="81"/>
  <c r="P13" i="81"/>
  <c r="N13" i="81"/>
  <c r="L13" i="81"/>
  <c r="J13" i="81"/>
  <c r="H13" i="81"/>
  <c r="E11" i="81"/>
  <c r="AV11" i="81" s="1"/>
  <c r="V181" i="80"/>
  <c r="V149" i="80"/>
  <c r="V147" i="80"/>
  <c r="U147" i="80"/>
  <c r="T147" i="80"/>
  <c r="S147" i="80"/>
  <c r="R147" i="80"/>
  <c r="Q147" i="80"/>
  <c r="P147" i="80"/>
  <c r="O147" i="80"/>
  <c r="N147" i="80"/>
  <c r="M147" i="80"/>
  <c r="L147" i="80"/>
  <c r="K147" i="80"/>
  <c r="J147" i="80"/>
  <c r="I147" i="80"/>
  <c r="H147" i="80"/>
  <c r="G147" i="80"/>
  <c r="F147" i="80"/>
  <c r="V146" i="80"/>
  <c r="U146" i="80"/>
  <c r="T146" i="80"/>
  <c r="S146" i="80"/>
  <c r="R146" i="80"/>
  <c r="R150" i="80" s="1"/>
  <c r="Q146" i="80"/>
  <c r="P146" i="80"/>
  <c r="O146" i="80"/>
  <c r="O150" i="80" s="1"/>
  <c r="N146" i="80"/>
  <c r="N150" i="80" s="1"/>
  <c r="M146" i="80"/>
  <c r="K146" i="80"/>
  <c r="K150" i="80" s="1"/>
  <c r="J146" i="80"/>
  <c r="J150" i="80" s="1"/>
  <c r="H146" i="80"/>
  <c r="G146" i="80"/>
  <c r="F146" i="80"/>
  <c r="Y140" i="80"/>
  <c r="X140" i="80"/>
  <c r="V132" i="80"/>
  <c r="U132" i="80"/>
  <c r="T132" i="80"/>
  <c r="S132" i="80"/>
  <c r="R132" i="80"/>
  <c r="Q132" i="80"/>
  <c r="P132" i="80"/>
  <c r="O132" i="80"/>
  <c r="N132" i="80"/>
  <c r="M132" i="80"/>
  <c r="L132" i="80"/>
  <c r="K132" i="80"/>
  <c r="J132" i="80"/>
  <c r="I132" i="80"/>
  <c r="H132" i="80"/>
  <c r="G132" i="80"/>
  <c r="F132" i="80"/>
  <c r="V131" i="80"/>
  <c r="U131" i="80"/>
  <c r="T131" i="80"/>
  <c r="S131" i="80"/>
  <c r="R131" i="80"/>
  <c r="Q131" i="80"/>
  <c r="P131" i="80"/>
  <c r="O131" i="80"/>
  <c r="N131" i="80"/>
  <c r="M131" i="80"/>
  <c r="L131" i="80"/>
  <c r="K131" i="80"/>
  <c r="J131" i="80"/>
  <c r="I131" i="80"/>
  <c r="H131" i="80"/>
  <c r="G131" i="80"/>
  <c r="F131" i="80"/>
  <c r="V130" i="80"/>
  <c r="U130" i="80"/>
  <c r="T130" i="80"/>
  <c r="S130" i="80"/>
  <c r="R130" i="80"/>
  <c r="Q130" i="80"/>
  <c r="P130" i="80"/>
  <c r="O130" i="80"/>
  <c r="N130" i="80"/>
  <c r="M130" i="80"/>
  <c r="L130" i="80"/>
  <c r="K130" i="80"/>
  <c r="J130" i="80"/>
  <c r="I130" i="80"/>
  <c r="H130" i="80"/>
  <c r="G130" i="80"/>
  <c r="F130" i="80"/>
  <c r="V129" i="80"/>
  <c r="U129" i="80"/>
  <c r="T129" i="80"/>
  <c r="S129" i="80"/>
  <c r="R129" i="80"/>
  <c r="Q129" i="80"/>
  <c r="P129" i="80"/>
  <c r="O129" i="80"/>
  <c r="N129" i="80"/>
  <c r="M129" i="80"/>
  <c r="L129" i="80"/>
  <c r="K129" i="80"/>
  <c r="J129" i="80"/>
  <c r="I129" i="80"/>
  <c r="H129" i="80"/>
  <c r="G129" i="80"/>
  <c r="F129" i="80"/>
  <c r="V125" i="80"/>
  <c r="U125" i="80"/>
  <c r="T125" i="80"/>
  <c r="S125" i="80"/>
  <c r="R125" i="80"/>
  <c r="Q125" i="80"/>
  <c r="P125" i="80"/>
  <c r="O125" i="80"/>
  <c r="N125" i="80"/>
  <c r="M125" i="80"/>
  <c r="L125" i="80"/>
  <c r="K125" i="80"/>
  <c r="J125" i="80"/>
  <c r="I125" i="80"/>
  <c r="H125" i="80"/>
  <c r="G125" i="80"/>
  <c r="F125" i="80"/>
  <c r="C125" i="80"/>
  <c r="V124" i="80"/>
  <c r="U124" i="80"/>
  <c r="T124" i="80"/>
  <c r="S124" i="80"/>
  <c r="R124" i="80"/>
  <c r="Q124" i="80"/>
  <c r="V119" i="80"/>
  <c r="U119" i="80"/>
  <c r="T119" i="80"/>
  <c r="S119" i="80"/>
  <c r="R119" i="80"/>
  <c r="Q119" i="80"/>
  <c r="V118" i="80"/>
  <c r="U118" i="80"/>
  <c r="T118" i="80"/>
  <c r="T120" i="80" s="1"/>
  <c r="S118" i="80"/>
  <c r="R118" i="80"/>
  <c r="Q118" i="80"/>
  <c r="P118" i="80"/>
  <c r="O118" i="80"/>
  <c r="N118" i="80"/>
  <c r="M118" i="80"/>
  <c r="L118" i="80"/>
  <c r="K118" i="80"/>
  <c r="J118" i="80"/>
  <c r="I118" i="80"/>
  <c r="H118" i="80"/>
  <c r="G118" i="80"/>
  <c r="F118" i="80"/>
  <c r="V117" i="80"/>
  <c r="U117" i="80"/>
  <c r="T117" i="80"/>
  <c r="S117" i="80"/>
  <c r="R117" i="80"/>
  <c r="Q117" i="80"/>
  <c r="P117" i="80"/>
  <c r="O117" i="80"/>
  <c r="N117" i="80"/>
  <c r="M117" i="80"/>
  <c r="L117" i="80"/>
  <c r="K117" i="80"/>
  <c r="J117" i="80"/>
  <c r="I117" i="80"/>
  <c r="H117" i="80"/>
  <c r="G117" i="80"/>
  <c r="F117" i="80"/>
  <c r="T109" i="80"/>
  <c r="S109" i="80"/>
  <c r="R109" i="80"/>
  <c r="Q109" i="80"/>
  <c r="P109" i="80"/>
  <c r="O109" i="80"/>
  <c r="N109" i="80"/>
  <c r="M109" i="80"/>
  <c r="L109" i="80"/>
  <c r="K109" i="80"/>
  <c r="J109" i="80"/>
  <c r="I109" i="80"/>
  <c r="H109" i="80"/>
  <c r="G109" i="80"/>
  <c r="F109" i="80"/>
  <c r="V107" i="80"/>
  <c r="U107" i="80"/>
  <c r="T107" i="80"/>
  <c r="S107" i="80"/>
  <c r="R107" i="80"/>
  <c r="Q107" i="80"/>
  <c r="P107" i="80"/>
  <c r="O107" i="80"/>
  <c r="N107" i="80"/>
  <c r="M107" i="80"/>
  <c r="L107" i="80"/>
  <c r="K107" i="80"/>
  <c r="J107" i="80"/>
  <c r="I107" i="80"/>
  <c r="H107" i="80"/>
  <c r="G107" i="80"/>
  <c r="F107" i="80"/>
  <c r="V106" i="80"/>
  <c r="U106" i="80"/>
  <c r="T106" i="80"/>
  <c r="S106" i="80"/>
  <c r="R106" i="80"/>
  <c r="Q106" i="80"/>
  <c r="P106" i="80"/>
  <c r="O106" i="80"/>
  <c r="N106" i="80"/>
  <c r="M106" i="80"/>
  <c r="L106" i="80"/>
  <c r="K106" i="80"/>
  <c r="J106" i="80"/>
  <c r="I106" i="80"/>
  <c r="H106" i="80"/>
  <c r="G106" i="80"/>
  <c r="F106" i="80"/>
  <c r="V105" i="80"/>
  <c r="U105" i="80"/>
  <c r="T105" i="80"/>
  <c r="S105" i="80"/>
  <c r="R105" i="80"/>
  <c r="Q105" i="80"/>
  <c r="P105" i="80"/>
  <c r="O105" i="80"/>
  <c r="N105" i="80"/>
  <c r="M105" i="80"/>
  <c r="L105" i="80"/>
  <c r="K105" i="80"/>
  <c r="J105" i="80"/>
  <c r="I105" i="80"/>
  <c r="H105" i="80"/>
  <c r="G105" i="80"/>
  <c r="F105" i="80"/>
  <c r="V104" i="80"/>
  <c r="U104" i="80"/>
  <c r="T104" i="80"/>
  <c r="S104" i="80"/>
  <c r="R104" i="80"/>
  <c r="Q104" i="80"/>
  <c r="P104" i="80"/>
  <c r="O104" i="80"/>
  <c r="N104" i="80"/>
  <c r="M104" i="80"/>
  <c r="L104" i="80"/>
  <c r="K104" i="80"/>
  <c r="J104" i="80"/>
  <c r="I104" i="80"/>
  <c r="H104" i="80"/>
  <c r="G104" i="80"/>
  <c r="F104" i="80"/>
  <c r="V103" i="80"/>
  <c r="U103" i="80"/>
  <c r="T103" i="80"/>
  <c r="S103" i="80"/>
  <c r="R103" i="80"/>
  <c r="Q103" i="80"/>
  <c r="P103" i="80"/>
  <c r="O103" i="80"/>
  <c r="N103" i="80"/>
  <c r="M103" i="80"/>
  <c r="L103" i="80"/>
  <c r="K103" i="80"/>
  <c r="J103" i="80"/>
  <c r="I103" i="80"/>
  <c r="H103" i="80"/>
  <c r="G103" i="80"/>
  <c r="F103" i="80"/>
  <c r="V102" i="80"/>
  <c r="U102" i="80"/>
  <c r="T102" i="80"/>
  <c r="S102" i="80"/>
  <c r="R102" i="80"/>
  <c r="Q102" i="80"/>
  <c r="P102" i="80"/>
  <c r="O102" i="80"/>
  <c r="N102" i="80"/>
  <c r="M102" i="80"/>
  <c r="L102" i="80"/>
  <c r="K102" i="80"/>
  <c r="J102" i="80"/>
  <c r="I102" i="80"/>
  <c r="H102" i="80"/>
  <c r="G102" i="80"/>
  <c r="F102" i="80"/>
  <c r="V100" i="80"/>
  <c r="U100" i="80"/>
  <c r="T100" i="80"/>
  <c r="S100" i="80"/>
  <c r="R100" i="80"/>
  <c r="Q100" i="80"/>
  <c r="P100" i="80"/>
  <c r="O100" i="80"/>
  <c r="N100" i="80"/>
  <c r="M100" i="80"/>
  <c r="L100" i="80"/>
  <c r="K100" i="80"/>
  <c r="J100" i="80"/>
  <c r="I100" i="80"/>
  <c r="H100" i="80"/>
  <c r="G100" i="80"/>
  <c r="F100" i="80"/>
  <c r="T87" i="80"/>
  <c r="S87" i="80"/>
  <c r="R87" i="80"/>
  <c r="Q87" i="80"/>
  <c r="P87" i="80"/>
  <c r="O87" i="80"/>
  <c r="N87" i="80"/>
  <c r="M87" i="80"/>
  <c r="L87" i="80"/>
  <c r="K87" i="80"/>
  <c r="J87" i="80"/>
  <c r="I87" i="80"/>
  <c r="H87" i="80"/>
  <c r="G87" i="80"/>
  <c r="F87" i="80"/>
  <c r="T83" i="80"/>
  <c r="S83" i="80"/>
  <c r="R83" i="80"/>
  <c r="Q83" i="80"/>
  <c r="P83" i="80"/>
  <c r="O83" i="80"/>
  <c r="N83" i="80"/>
  <c r="M83" i="80"/>
  <c r="L83" i="80"/>
  <c r="K83" i="80"/>
  <c r="J83" i="80"/>
  <c r="I83" i="80"/>
  <c r="H83" i="80"/>
  <c r="G83" i="80"/>
  <c r="F83" i="80"/>
  <c r="V81" i="80"/>
  <c r="U81" i="80"/>
  <c r="T81" i="80"/>
  <c r="S81" i="80"/>
  <c r="R81" i="80"/>
  <c r="Q81" i="80"/>
  <c r="P81" i="80"/>
  <c r="O81" i="80"/>
  <c r="N81" i="80"/>
  <c r="M81" i="80"/>
  <c r="L81" i="80"/>
  <c r="K81" i="80"/>
  <c r="J81" i="80"/>
  <c r="I81" i="80"/>
  <c r="H81" i="80"/>
  <c r="G81" i="80"/>
  <c r="F81" i="80"/>
  <c r="V75" i="80"/>
  <c r="U75" i="80"/>
  <c r="R75" i="80"/>
  <c r="T73" i="80"/>
  <c r="T75" i="80" s="1"/>
  <c r="T82" i="80" s="1"/>
  <c r="T84" i="80" s="1"/>
  <c r="S73" i="80"/>
  <c r="S75" i="80" s="1"/>
  <c r="R73" i="80"/>
  <c r="Q73" i="80"/>
  <c r="Q75" i="80" s="1"/>
  <c r="O73" i="80"/>
  <c r="O75" i="80" s="1"/>
  <c r="O82" i="80" s="1"/>
  <c r="N73" i="80"/>
  <c r="N75" i="80" s="1"/>
  <c r="M73" i="80"/>
  <c r="M75" i="80" s="1"/>
  <c r="K73" i="80"/>
  <c r="K75" i="80" s="1"/>
  <c r="K82" i="80" s="1"/>
  <c r="J73" i="80"/>
  <c r="J75" i="80" s="1"/>
  <c r="J82" i="80" s="1"/>
  <c r="J84" i="80" s="1"/>
  <c r="I73" i="80"/>
  <c r="I75" i="80" s="1"/>
  <c r="I82" i="80" s="1"/>
  <c r="G73" i="80"/>
  <c r="G75" i="80" s="1"/>
  <c r="F73" i="80"/>
  <c r="F75" i="80" s="1"/>
  <c r="V66" i="80"/>
  <c r="U66" i="80"/>
  <c r="A62" i="80"/>
  <c r="T54" i="80"/>
  <c r="V45" i="80"/>
  <c r="U45" i="80"/>
  <c r="T45" i="80"/>
  <c r="S45" i="80"/>
  <c r="R45" i="80"/>
  <c r="Q45" i="80"/>
  <c r="P43" i="80"/>
  <c r="P124" i="80" s="1"/>
  <c r="O43" i="80"/>
  <c r="O124" i="80" s="1"/>
  <c r="O126" i="80" s="1"/>
  <c r="N43" i="80"/>
  <c r="N124" i="80" s="1"/>
  <c r="M43" i="80"/>
  <c r="M124" i="80" s="1"/>
  <c r="M126" i="80" s="1"/>
  <c r="L43" i="80"/>
  <c r="L124" i="80" s="1"/>
  <c r="K43" i="80"/>
  <c r="K124" i="80" s="1"/>
  <c r="K126" i="80" s="1"/>
  <c r="J43" i="80"/>
  <c r="J124" i="80" s="1"/>
  <c r="I43" i="80"/>
  <c r="I124" i="80" s="1"/>
  <c r="I126" i="80" s="1"/>
  <c r="H43" i="80"/>
  <c r="H124" i="80" s="1"/>
  <c r="G43" i="80"/>
  <c r="G124" i="80" s="1"/>
  <c r="G126" i="80" s="1"/>
  <c r="F43" i="80"/>
  <c r="F124" i="80" s="1"/>
  <c r="P42" i="80"/>
  <c r="O42" i="80"/>
  <c r="O119" i="80" s="1"/>
  <c r="N42" i="80"/>
  <c r="N119" i="80" s="1"/>
  <c r="M42" i="80"/>
  <c r="L42" i="80"/>
  <c r="I42" i="80"/>
  <c r="I119" i="80" s="1"/>
  <c r="H42" i="80"/>
  <c r="G42" i="80"/>
  <c r="G119" i="80" s="1"/>
  <c r="F42" i="80"/>
  <c r="F119" i="80" s="1"/>
  <c r="H35" i="80"/>
  <c r="V34" i="80"/>
  <c r="U34" i="80"/>
  <c r="T34" i="80"/>
  <c r="S34" i="80"/>
  <c r="R34" i="80"/>
  <c r="Q34" i="80"/>
  <c r="P34" i="80"/>
  <c r="O34" i="80"/>
  <c r="N34" i="80"/>
  <c r="M34" i="80"/>
  <c r="L34" i="80"/>
  <c r="K34" i="80"/>
  <c r="J34" i="80"/>
  <c r="I34" i="80"/>
  <c r="H34" i="80"/>
  <c r="G34" i="80"/>
  <c r="F34" i="80"/>
  <c r="V28" i="80"/>
  <c r="U28" i="80"/>
  <c r="T28" i="80"/>
  <c r="S28" i="80"/>
  <c r="R28" i="80"/>
  <c r="Q28" i="80"/>
  <c r="P28" i="80"/>
  <c r="O28" i="80"/>
  <c r="N28" i="80"/>
  <c r="M28" i="80"/>
  <c r="L28" i="80"/>
  <c r="K28" i="80"/>
  <c r="J28" i="80"/>
  <c r="I28" i="80"/>
  <c r="H28" i="80"/>
  <c r="G28" i="80"/>
  <c r="F28" i="80"/>
  <c r="V22" i="80"/>
  <c r="U22" i="80"/>
  <c r="T22" i="80"/>
  <c r="S22" i="80"/>
  <c r="R22" i="80"/>
  <c r="Q22" i="80"/>
  <c r="P22" i="80"/>
  <c r="O22" i="80"/>
  <c r="N22" i="80"/>
  <c r="M22" i="80"/>
  <c r="L22" i="80"/>
  <c r="K22" i="80"/>
  <c r="J22" i="80"/>
  <c r="I22" i="80"/>
  <c r="H22" i="80"/>
  <c r="G22" i="80"/>
  <c r="F22" i="80"/>
  <c r="V15" i="80"/>
  <c r="U15" i="80"/>
  <c r="T15" i="80"/>
  <c r="S15" i="80"/>
  <c r="R15" i="80"/>
  <c r="Q15" i="80"/>
  <c r="P15" i="80"/>
  <c r="O15" i="80"/>
  <c r="N15" i="80"/>
  <c r="M15" i="80"/>
  <c r="K15" i="80"/>
  <c r="J15" i="80"/>
  <c r="H15" i="80"/>
  <c r="G15" i="80"/>
  <c r="F15" i="80"/>
  <c r="L14" i="80"/>
  <c r="L146" i="80" s="1"/>
  <c r="I14" i="80"/>
  <c r="I146" i="80" s="1"/>
  <c r="I150" i="80" s="1"/>
  <c r="L13" i="80"/>
  <c r="I13" i="80"/>
  <c r="E79" i="79"/>
  <c r="X79" i="79" s="1"/>
  <c r="Y79" i="79" s="1"/>
  <c r="E78" i="79"/>
  <c r="X78" i="79" s="1"/>
  <c r="Y78" i="79" s="1"/>
  <c r="E77" i="79"/>
  <c r="X77" i="79" s="1"/>
  <c r="Y77" i="79" s="1"/>
  <c r="E76" i="79"/>
  <c r="X76" i="79" s="1"/>
  <c r="Y76" i="79" s="1"/>
  <c r="E74" i="79"/>
  <c r="X74" i="79" s="1"/>
  <c r="Y74" i="79" s="1"/>
  <c r="W73" i="79"/>
  <c r="W75" i="79" s="1"/>
  <c r="W82" i="79" s="1"/>
  <c r="E26" i="3" s="1"/>
  <c r="W72" i="79"/>
  <c r="V72" i="79"/>
  <c r="U72" i="79"/>
  <c r="T72" i="79"/>
  <c r="S72" i="79"/>
  <c r="R72" i="79"/>
  <c r="Q72" i="79"/>
  <c r="Q73" i="79" s="1"/>
  <c r="Q75" i="79" s="1"/>
  <c r="Q82" i="79" s="1"/>
  <c r="E20" i="3" s="1"/>
  <c r="P72" i="79"/>
  <c r="O72" i="79"/>
  <c r="N72" i="79"/>
  <c r="M72" i="79"/>
  <c r="L72" i="79"/>
  <c r="K72" i="79"/>
  <c r="J72" i="79"/>
  <c r="I72" i="79"/>
  <c r="H72" i="79"/>
  <c r="G72" i="79"/>
  <c r="F72" i="79"/>
  <c r="E71" i="79"/>
  <c r="X71" i="79" s="1"/>
  <c r="Y71" i="79" s="1"/>
  <c r="E70" i="79"/>
  <c r="X70" i="79" s="1"/>
  <c r="Y70" i="79" s="1"/>
  <c r="E69" i="79"/>
  <c r="W66" i="79"/>
  <c r="V66" i="79"/>
  <c r="V73" i="79" s="1"/>
  <c r="V75" i="79" s="1"/>
  <c r="V82" i="79" s="1"/>
  <c r="E25" i="3" s="1"/>
  <c r="U66" i="79"/>
  <c r="T66" i="79"/>
  <c r="T73" i="79" s="1"/>
  <c r="T75" i="79" s="1"/>
  <c r="T82" i="79" s="1"/>
  <c r="E23" i="3" s="1"/>
  <c r="S66" i="79"/>
  <c r="S73" i="79" s="1"/>
  <c r="S75" i="79" s="1"/>
  <c r="S82" i="79" s="1"/>
  <c r="E22" i="3" s="1"/>
  <c r="R66" i="79"/>
  <c r="R73" i="79" s="1"/>
  <c r="R75" i="79" s="1"/>
  <c r="R82" i="79" s="1"/>
  <c r="E21" i="3" s="1"/>
  <c r="Q66" i="79"/>
  <c r="P66" i="79"/>
  <c r="O66" i="79"/>
  <c r="O73" i="79" s="1"/>
  <c r="O75" i="79" s="1"/>
  <c r="O82" i="79" s="1"/>
  <c r="E18" i="3" s="1"/>
  <c r="N66" i="79"/>
  <c r="N73" i="79" s="1"/>
  <c r="N75" i="79" s="1"/>
  <c r="N82" i="79" s="1"/>
  <c r="E17" i="3" s="1"/>
  <c r="M66" i="79"/>
  <c r="L66" i="79"/>
  <c r="L73" i="79" s="1"/>
  <c r="L75" i="79" s="1"/>
  <c r="L82" i="79" s="1"/>
  <c r="E15" i="3" s="1"/>
  <c r="K66" i="79"/>
  <c r="K73" i="79" s="1"/>
  <c r="K75" i="79" s="1"/>
  <c r="K82" i="79" s="1"/>
  <c r="E14" i="3" s="1"/>
  <c r="J66" i="79"/>
  <c r="J73" i="79" s="1"/>
  <c r="J75" i="79" s="1"/>
  <c r="J82" i="79" s="1"/>
  <c r="E13" i="3" s="1"/>
  <c r="I66" i="79"/>
  <c r="H66" i="79"/>
  <c r="G66" i="79"/>
  <c r="G73" i="79" s="1"/>
  <c r="G75" i="79" s="1"/>
  <c r="G82" i="79" s="1"/>
  <c r="E10" i="3" s="1"/>
  <c r="F66" i="79"/>
  <c r="F73" i="79" s="1"/>
  <c r="F75" i="79" s="1"/>
  <c r="F82" i="79" s="1"/>
  <c r="E9" i="3" s="1"/>
  <c r="E65" i="79"/>
  <c r="X65" i="79" s="1"/>
  <c r="Y65" i="79" s="1"/>
  <c r="E64" i="79"/>
  <c r="X64" i="79" s="1"/>
  <c r="Y64" i="79" s="1"/>
  <c r="E63" i="79"/>
  <c r="E57" i="79"/>
  <c r="X57" i="79" s="1"/>
  <c r="Y57" i="79" s="1"/>
  <c r="E56" i="79"/>
  <c r="X56" i="79" s="1"/>
  <c r="Y56" i="79" s="1"/>
  <c r="E55" i="79"/>
  <c r="E54" i="79"/>
  <c r="AC55" i="79"/>
  <c r="W48" i="79"/>
  <c r="V48" i="79"/>
  <c r="U48" i="79"/>
  <c r="T48" i="79"/>
  <c r="Q48" i="79"/>
  <c r="P48" i="79"/>
  <c r="O48" i="79"/>
  <c r="N48" i="79"/>
  <c r="M48" i="79"/>
  <c r="L48" i="79"/>
  <c r="K48" i="79"/>
  <c r="J48" i="79"/>
  <c r="I48" i="79"/>
  <c r="H48" i="79"/>
  <c r="G48" i="79"/>
  <c r="F48" i="79"/>
  <c r="E47" i="79"/>
  <c r="X47" i="79" s="1"/>
  <c r="Y47" i="79" s="1"/>
  <c r="E46" i="79"/>
  <c r="X46" i="79" s="1"/>
  <c r="Y46" i="79" s="1"/>
  <c r="E45" i="79"/>
  <c r="X45" i="79" s="1"/>
  <c r="Y45" i="79" s="1"/>
  <c r="S44" i="79"/>
  <c r="S48" i="79" s="1"/>
  <c r="R44" i="79"/>
  <c r="R48" i="79" s="1"/>
  <c r="E44" i="79"/>
  <c r="X44" i="79" s="1"/>
  <c r="Y44" i="79" s="1"/>
  <c r="X43" i="79"/>
  <c r="E41" i="79"/>
  <c r="X41" i="79" s="1"/>
  <c r="Y41" i="79" s="1"/>
  <c r="E40" i="79"/>
  <c r="X40" i="79" s="1"/>
  <c r="Y40" i="79" s="1"/>
  <c r="S39" i="79"/>
  <c r="R39" i="79"/>
  <c r="E39" i="79"/>
  <c r="W37" i="79"/>
  <c r="V37" i="79"/>
  <c r="U37" i="79"/>
  <c r="T37" i="79"/>
  <c r="Q37" i="79"/>
  <c r="P37" i="79"/>
  <c r="O37" i="79"/>
  <c r="N37" i="79"/>
  <c r="M37" i="79"/>
  <c r="L37" i="79"/>
  <c r="K37" i="79"/>
  <c r="J37" i="79"/>
  <c r="I37" i="79"/>
  <c r="H37" i="79"/>
  <c r="G37" i="79"/>
  <c r="F37" i="79"/>
  <c r="S36" i="79"/>
  <c r="S37" i="79" s="1"/>
  <c r="R36" i="79"/>
  <c r="E36" i="79"/>
  <c r="E35" i="79"/>
  <c r="X35" i="79" s="1"/>
  <c r="Y35" i="79" s="1"/>
  <c r="X34" i="79"/>
  <c r="Y34" i="79" s="1"/>
  <c r="E34" i="79"/>
  <c r="AD31" i="79"/>
  <c r="W31" i="79"/>
  <c r="V31" i="79"/>
  <c r="U31" i="79"/>
  <c r="T31" i="79"/>
  <c r="S31" i="79"/>
  <c r="R31" i="79"/>
  <c r="Q31" i="79"/>
  <c r="P31" i="79"/>
  <c r="O31" i="79"/>
  <c r="N31" i="79"/>
  <c r="M31" i="79"/>
  <c r="L31" i="79"/>
  <c r="K31" i="79"/>
  <c r="J31" i="79"/>
  <c r="I31" i="79"/>
  <c r="H31" i="79"/>
  <c r="G31" i="79"/>
  <c r="F31" i="79"/>
  <c r="AB30" i="79"/>
  <c r="E30" i="79"/>
  <c r="X30" i="79" s="1"/>
  <c r="Y30" i="79" s="1"/>
  <c r="E29" i="79"/>
  <c r="X29" i="79" s="1"/>
  <c r="Y29" i="79" s="1"/>
  <c r="AB42" i="79" s="1"/>
  <c r="E28" i="79"/>
  <c r="X28" i="79" s="1"/>
  <c r="W25" i="79"/>
  <c r="V25" i="79"/>
  <c r="U25" i="79"/>
  <c r="T25" i="79"/>
  <c r="S25" i="79"/>
  <c r="R25" i="79"/>
  <c r="Q25" i="79"/>
  <c r="P25" i="79"/>
  <c r="O25" i="79"/>
  <c r="O49" i="79" s="1"/>
  <c r="N25" i="79"/>
  <c r="M25" i="79"/>
  <c r="L25" i="79"/>
  <c r="K25" i="79"/>
  <c r="K49" i="79" s="1"/>
  <c r="J25" i="79"/>
  <c r="I25" i="79"/>
  <c r="H25" i="79"/>
  <c r="G25" i="79"/>
  <c r="G49" i="79" s="1"/>
  <c r="F25" i="79"/>
  <c r="F49" i="79" s="1"/>
  <c r="E24" i="79"/>
  <c r="X24" i="79" s="1"/>
  <c r="Y24" i="79" s="1"/>
  <c r="E23" i="79"/>
  <c r="X23" i="79" s="1"/>
  <c r="Y23" i="79" s="1"/>
  <c r="E22" i="79"/>
  <c r="W18" i="79"/>
  <c r="V18" i="79"/>
  <c r="U18" i="79"/>
  <c r="T18" i="79"/>
  <c r="S18" i="79"/>
  <c r="R18" i="79"/>
  <c r="Q18" i="79"/>
  <c r="P18" i="79"/>
  <c r="O18" i="79"/>
  <c r="N18" i="79"/>
  <c r="M18" i="79"/>
  <c r="L18" i="79"/>
  <c r="K18" i="79"/>
  <c r="J18" i="79"/>
  <c r="I18" i="79"/>
  <c r="H18" i="79"/>
  <c r="G18" i="79"/>
  <c r="F18" i="79"/>
  <c r="E17" i="79"/>
  <c r="X17" i="79" s="1"/>
  <c r="Y17" i="79" s="1"/>
  <c r="E16" i="79"/>
  <c r="X16" i="79" s="1"/>
  <c r="Y16" i="79" s="1"/>
  <c r="E15" i="79"/>
  <c r="X15" i="79" s="1"/>
  <c r="Y15" i="79" s="1"/>
  <c r="K11" i="79"/>
  <c r="J11" i="79"/>
  <c r="A13" i="3" s="1"/>
  <c r="F11" i="79"/>
  <c r="A6" i="79"/>
  <c r="A5" i="79"/>
  <c r="A4" i="55" s="1"/>
  <c r="A2" i="79"/>
  <c r="AA11" i="81" l="1"/>
  <c r="AA32" i="81" s="1"/>
  <c r="AE11" i="81"/>
  <c r="AE14" i="81" s="1"/>
  <c r="I11" i="81"/>
  <c r="I40" i="81" s="1"/>
  <c r="I44" i="81" s="1"/>
  <c r="K11" i="81"/>
  <c r="K14" i="81" s="1"/>
  <c r="D9" i="85"/>
  <c r="D21" i="84"/>
  <c r="G45" i="80"/>
  <c r="S120" i="80"/>
  <c r="S162" i="80" s="1"/>
  <c r="R126" i="80"/>
  <c r="V126" i="80"/>
  <c r="F126" i="80"/>
  <c r="J126" i="80"/>
  <c r="N126" i="80"/>
  <c r="S126" i="80"/>
  <c r="U126" i="80"/>
  <c r="P150" i="80"/>
  <c r="T150" i="80"/>
  <c r="L11" i="79"/>
  <c r="A14" i="3"/>
  <c r="L49" i="79"/>
  <c r="G11" i="79"/>
  <c r="A9" i="3"/>
  <c r="G51" i="79"/>
  <c r="G54" i="79" s="1"/>
  <c r="K51" i="79"/>
  <c r="O51" i="79"/>
  <c r="AD30" i="79"/>
  <c r="AD32" i="79" s="1"/>
  <c r="AB32" i="79"/>
  <c r="X39" i="79"/>
  <c r="Y39" i="79" s="1"/>
  <c r="H49" i="79"/>
  <c r="P49" i="79"/>
  <c r="P51" i="79" s="1"/>
  <c r="M73" i="79"/>
  <c r="M75" i="79" s="1"/>
  <c r="M82" i="79" s="1"/>
  <c r="E16" i="3" s="1"/>
  <c r="U73" i="79"/>
  <c r="U75" i="79" s="1"/>
  <c r="U82" i="79" s="1"/>
  <c r="E24" i="3" s="1"/>
  <c r="H73" i="79"/>
  <c r="H75" i="79" s="1"/>
  <c r="H82" i="79" s="1"/>
  <c r="E11" i="3" s="1"/>
  <c r="P73" i="79"/>
  <c r="P75" i="79" s="1"/>
  <c r="P82" i="79" s="1"/>
  <c r="E19" i="3" s="1"/>
  <c r="O11" i="81"/>
  <c r="O14" i="81" s="1"/>
  <c r="AM11" i="81"/>
  <c r="AM14" i="81" s="1"/>
  <c r="G11" i="81"/>
  <c r="G40" i="81" s="1"/>
  <c r="G44" i="81" s="1"/>
  <c r="S11" i="81"/>
  <c r="S32" i="81" s="1"/>
  <c r="AQ11" i="81"/>
  <c r="AQ35" i="81" s="1"/>
  <c r="R46" i="80"/>
  <c r="V46" i="80"/>
  <c r="L45" i="80"/>
  <c r="L46" i="80" s="1"/>
  <c r="L48" i="80" s="1"/>
  <c r="L56" i="80" s="1"/>
  <c r="P45" i="80"/>
  <c r="P46" i="80" s="1"/>
  <c r="P48" i="80" s="1"/>
  <c r="P56" i="80" s="1"/>
  <c r="F82" i="80"/>
  <c r="F84" i="80" s="1"/>
  <c r="R82" i="80"/>
  <c r="R84" i="80" s="1"/>
  <c r="R139" i="80" s="1"/>
  <c r="I15" i="80"/>
  <c r="O45" i="80"/>
  <c r="O46" i="80" s="1"/>
  <c r="O48" i="80" s="1"/>
  <c r="O56" i="80" s="1"/>
  <c r="H108" i="80"/>
  <c r="L108" i="80"/>
  <c r="P108" i="80"/>
  <c r="T108" i="80"/>
  <c r="F108" i="80"/>
  <c r="J108" i="80"/>
  <c r="N108" i="80"/>
  <c r="R108" i="80"/>
  <c r="V108" i="80"/>
  <c r="F150" i="80"/>
  <c r="G151" i="80" s="1"/>
  <c r="K151" i="80"/>
  <c r="S150" i="80"/>
  <c r="S151" i="80" s="1"/>
  <c r="H82" i="80"/>
  <c r="H84" i="80" s="1"/>
  <c r="L82" i="80"/>
  <c r="L84" i="80" s="1"/>
  <c r="L139" i="80" s="1"/>
  <c r="P82" i="80"/>
  <c r="P84" i="80" s="1"/>
  <c r="P139" i="80" s="1"/>
  <c r="L15" i="80"/>
  <c r="H45" i="80"/>
  <c r="N82" i="80"/>
  <c r="N84" i="80" s="1"/>
  <c r="N139" i="80" s="1"/>
  <c r="V82" i="80"/>
  <c r="V84" i="80" s="1"/>
  <c r="V139" i="80" s="1"/>
  <c r="V166" i="80" s="1"/>
  <c r="Q126" i="80"/>
  <c r="G150" i="80"/>
  <c r="P151" i="80"/>
  <c r="M45" i="80"/>
  <c r="M46" i="80" s="1"/>
  <c r="M48" i="80" s="1"/>
  <c r="M56" i="80" s="1"/>
  <c r="O84" i="80"/>
  <c r="I108" i="80"/>
  <c r="M108" i="80"/>
  <c r="Q108" i="80"/>
  <c r="U108" i="80"/>
  <c r="R120" i="80"/>
  <c r="V120" i="80"/>
  <c r="I151" i="80"/>
  <c r="K84" i="80"/>
  <c r="Q82" i="80"/>
  <c r="Q84" i="80" s="1"/>
  <c r="Q139" i="80" s="1"/>
  <c r="H150" i="80"/>
  <c r="H151" i="80" s="1"/>
  <c r="N151" i="80"/>
  <c r="V150" i="80"/>
  <c r="M150" i="80"/>
  <c r="Q150" i="80"/>
  <c r="Q151" i="80" s="1"/>
  <c r="U150" i="80"/>
  <c r="U151" i="80" s="1"/>
  <c r="AE46" i="79"/>
  <c r="L150" i="80"/>
  <c r="L151" i="80" s="1"/>
  <c r="T46" i="80"/>
  <c r="T48" i="80" s="1"/>
  <c r="T56" i="80" s="1"/>
  <c r="I45" i="80"/>
  <c r="I46" i="80" s="1"/>
  <c r="I48" i="80" s="1"/>
  <c r="I56" i="80" s="1"/>
  <c r="H126" i="80"/>
  <c r="L126" i="80"/>
  <c r="P126" i="80"/>
  <c r="M82" i="80"/>
  <c r="M84" i="80" s="1"/>
  <c r="U82" i="80"/>
  <c r="U84" i="80" s="1"/>
  <c r="N21" i="81"/>
  <c r="N65" i="81" s="1"/>
  <c r="W21" i="81"/>
  <c r="W11" i="81" s="1"/>
  <c r="W32" i="81" s="1"/>
  <c r="U109" i="80"/>
  <c r="L21" i="81"/>
  <c r="L11" i="81" s="1"/>
  <c r="T21" i="81"/>
  <c r="T11" i="81" s="1"/>
  <c r="AF21" i="81"/>
  <c r="AF65" i="81" s="1"/>
  <c r="AR21" i="81"/>
  <c r="AR65" i="81" s="1"/>
  <c r="V109" i="80"/>
  <c r="H21" i="81"/>
  <c r="H65" i="81" s="1"/>
  <c r="P21" i="81"/>
  <c r="P11" i="81" s="1"/>
  <c r="Z21" i="81"/>
  <c r="Z65" i="81" s="1"/>
  <c r="AL21" i="81"/>
  <c r="AL11" i="81" s="1"/>
  <c r="AX21" i="81"/>
  <c r="AX11" i="81" s="1"/>
  <c r="AX35" i="81" s="1"/>
  <c r="J21" i="81"/>
  <c r="J65" i="81" s="1"/>
  <c r="R21" i="81"/>
  <c r="R11" i="81" s="1"/>
  <c r="R35" i="81" s="1"/>
  <c r="F139" i="80"/>
  <c r="F91" i="80"/>
  <c r="H139" i="80"/>
  <c r="H91" i="80"/>
  <c r="J139" i="80"/>
  <c r="J91" i="80"/>
  <c r="Q91" i="80"/>
  <c r="I84" i="80"/>
  <c r="S82" i="80"/>
  <c r="S84" i="80" s="1"/>
  <c r="G108" i="80"/>
  <c r="K108" i="80"/>
  <c r="O108" i="80"/>
  <c r="S108" i="80"/>
  <c r="U139" i="80"/>
  <c r="U91" i="80"/>
  <c r="O91" i="80"/>
  <c r="O139" i="80"/>
  <c r="T139" i="80"/>
  <c r="T91" i="80"/>
  <c r="G120" i="80"/>
  <c r="O120" i="80"/>
  <c r="F120" i="80"/>
  <c r="N120" i="80"/>
  <c r="T121" i="80"/>
  <c r="S121" i="80"/>
  <c r="AA33" i="81"/>
  <c r="O134" i="80"/>
  <c r="K91" i="80"/>
  <c r="K139" i="80"/>
  <c r="R48" i="80"/>
  <c r="R56" i="80" s="1"/>
  <c r="V48" i="80"/>
  <c r="V56" i="80" s="1"/>
  <c r="Q46" i="80"/>
  <c r="Q48" i="80" s="1"/>
  <c r="Q56" i="80" s="1"/>
  <c r="U46" i="80"/>
  <c r="U48" i="80" s="1"/>
  <c r="U56" i="80" s="1"/>
  <c r="H46" i="80"/>
  <c r="H48" i="80" s="1"/>
  <c r="H56" i="80" s="1"/>
  <c r="G82" i="80"/>
  <c r="G84" i="80" s="1"/>
  <c r="I120" i="80"/>
  <c r="Q120" i="80"/>
  <c r="U120" i="80"/>
  <c r="M119" i="80"/>
  <c r="M120" i="80" s="1"/>
  <c r="T126" i="80"/>
  <c r="J151" i="80"/>
  <c r="O151" i="80"/>
  <c r="K42" i="80"/>
  <c r="G35" i="81"/>
  <c r="G32" i="81"/>
  <c r="G14" i="81"/>
  <c r="AA35" i="81"/>
  <c r="AA40" i="81"/>
  <c r="AA44" i="81" s="1"/>
  <c r="F45" i="80"/>
  <c r="F46" i="80" s="1"/>
  <c r="F48" i="80" s="1"/>
  <c r="F56" i="80" s="1"/>
  <c r="N45" i="80"/>
  <c r="N46" i="80" s="1"/>
  <c r="N48" i="80" s="1"/>
  <c r="N56" i="80" s="1"/>
  <c r="H119" i="80"/>
  <c r="H120" i="80" s="1"/>
  <c r="L119" i="80"/>
  <c r="L120" i="80" s="1"/>
  <c r="P119" i="80"/>
  <c r="P120" i="80" s="1"/>
  <c r="AM35" i="81"/>
  <c r="AA14" i="81"/>
  <c r="AL65" i="81"/>
  <c r="G46" i="80"/>
  <c r="G48" i="80" s="1"/>
  <c r="G56" i="80" s="1"/>
  <c r="S46" i="80"/>
  <c r="S48" i="80" s="1"/>
  <c r="S56" i="80" s="1"/>
  <c r="AV40" i="81"/>
  <c r="AV44" i="81" s="1"/>
  <c r="AV32" i="81"/>
  <c r="AV33" i="81" s="1"/>
  <c r="AV35" i="81"/>
  <c r="AV14" i="81"/>
  <c r="AE35" i="81"/>
  <c r="S14" i="81"/>
  <c r="M11" i="81"/>
  <c r="Q11" i="81"/>
  <c r="U11" i="81"/>
  <c r="Y11" i="81"/>
  <c r="AG11" i="81"/>
  <c r="AK11" i="81"/>
  <c r="AS11" i="81"/>
  <c r="AW11" i="81"/>
  <c r="I14" i="81"/>
  <c r="V11" i="81"/>
  <c r="AD11" i="81"/>
  <c r="AH11" i="81"/>
  <c r="AP11" i="81"/>
  <c r="AT11" i="81"/>
  <c r="AI21" i="81"/>
  <c r="AU21" i="81"/>
  <c r="R45" i="82"/>
  <c r="R47" i="82" s="1"/>
  <c r="R54" i="82" s="1"/>
  <c r="X11" i="81"/>
  <c r="AB11" i="81"/>
  <c r="AJ11" i="81"/>
  <c r="AN11" i="81"/>
  <c r="AC21" i="81"/>
  <c r="AC65" i="81" s="1"/>
  <c r="AO21" i="81"/>
  <c r="I17" i="82"/>
  <c r="I49" i="79"/>
  <c r="I51" i="79" s="1"/>
  <c r="I54" i="79" s="1"/>
  <c r="Q49" i="79"/>
  <c r="Q51" i="79" s="1"/>
  <c r="T49" i="79"/>
  <c r="AF31" i="79"/>
  <c r="AD33" i="79" s="1"/>
  <c r="I73" i="79"/>
  <c r="I75" i="79" s="1"/>
  <c r="I82" i="79" s="1"/>
  <c r="E12" i="3" s="1"/>
  <c r="M49" i="79"/>
  <c r="M51" i="79" s="1"/>
  <c r="U49" i="79"/>
  <c r="U51" i="79" s="1"/>
  <c r="V49" i="79"/>
  <c r="V51" i="79" s="1"/>
  <c r="W49" i="79"/>
  <c r="W51" i="79" s="1"/>
  <c r="M54" i="79"/>
  <c r="F51" i="79"/>
  <c r="K54" i="79"/>
  <c r="O54" i="79"/>
  <c r="J49" i="79"/>
  <c r="J51" i="79" s="1"/>
  <c r="N49" i="79"/>
  <c r="N51" i="79" s="1"/>
  <c r="N59" i="79" s="1"/>
  <c r="D17" i="3" s="1"/>
  <c r="R37" i="79"/>
  <c r="R49" i="79" s="1"/>
  <c r="R51" i="79" s="1"/>
  <c r="X36" i="79"/>
  <c r="Y36" i="79" s="1"/>
  <c r="Y37" i="79" s="1"/>
  <c r="Y48" i="79"/>
  <c r="X48" i="79"/>
  <c r="Y18" i="79"/>
  <c r="E31" i="79"/>
  <c r="E37" i="79"/>
  <c r="X18" i="79"/>
  <c r="H51" i="79"/>
  <c r="L51" i="79"/>
  <c r="T51" i="79"/>
  <c r="X31" i="79"/>
  <c r="Y28" i="79"/>
  <c r="E18" i="79"/>
  <c r="X63" i="79"/>
  <c r="E66" i="79"/>
  <c r="E25" i="79"/>
  <c r="E49" i="79" s="1"/>
  <c r="X22" i="79"/>
  <c r="S49" i="79"/>
  <c r="S51" i="79" s="1"/>
  <c r="E48" i="79"/>
  <c r="X69" i="79"/>
  <c r="E72" i="79"/>
  <c r="E27" i="56"/>
  <c r="K35" i="81" l="1"/>
  <c r="K32" i="81"/>
  <c r="AM32" i="81"/>
  <c r="AM33" i="81" s="1"/>
  <c r="K40" i="81"/>
  <c r="K44" i="81" s="1"/>
  <c r="AM40" i="81"/>
  <c r="AM44" i="81" s="1"/>
  <c r="AM45" i="81" s="1"/>
  <c r="AM47" i="81" s="1"/>
  <c r="AM55" i="81" s="1"/>
  <c r="I32" i="81"/>
  <c r="I33" i="81" s="1"/>
  <c r="I35" i="81"/>
  <c r="G111" i="80" s="1"/>
  <c r="AE32" i="81"/>
  <c r="P135" i="80" s="1"/>
  <c r="S40" i="81"/>
  <c r="S44" i="81" s="1"/>
  <c r="AE40" i="81"/>
  <c r="AE44" i="81" s="1"/>
  <c r="AA45" i="81"/>
  <c r="S35" i="81"/>
  <c r="L111" i="80" s="1"/>
  <c r="P91" i="80"/>
  <c r="P142" i="80" s="1"/>
  <c r="T177" i="80"/>
  <c r="V162" i="80"/>
  <c r="K140" i="80"/>
  <c r="R91" i="80"/>
  <c r="R142" i="80" s="1"/>
  <c r="N91" i="80"/>
  <c r="M56" i="82" s="1"/>
  <c r="T162" i="80"/>
  <c r="L91" i="80"/>
  <c r="K56" i="82" s="1"/>
  <c r="AD34" i="79"/>
  <c r="H11" i="79"/>
  <c r="A11" i="3" s="1"/>
  <c r="A10" i="3"/>
  <c r="M11" i="79"/>
  <c r="A15" i="3"/>
  <c r="Y31" i="79"/>
  <c r="AB43" i="79"/>
  <c r="AQ45" i="81"/>
  <c r="AQ47" i="81" s="1"/>
  <c r="AQ55" i="81" s="1"/>
  <c r="O32" i="81"/>
  <c r="J134" i="80" s="1"/>
  <c r="AQ32" i="81"/>
  <c r="AQ33" i="81" s="1"/>
  <c r="O40" i="81"/>
  <c r="O44" i="81" s="1"/>
  <c r="AV45" i="81"/>
  <c r="AV47" i="81" s="1"/>
  <c r="AV55" i="81" s="1"/>
  <c r="AQ14" i="81"/>
  <c r="AQ40" i="81"/>
  <c r="AQ44" i="81" s="1"/>
  <c r="O35" i="81"/>
  <c r="J111" i="80" s="1"/>
  <c r="L65" i="81"/>
  <c r="T151" i="80"/>
  <c r="V91" i="80"/>
  <c r="V142" i="80" s="1"/>
  <c r="R121" i="80"/>
  <c r="V151" i="80"/>
  <c r="AD42" i="79"/>
  <c r="G121" i="80"/>
  <c r="M151" i="80"/>
  <c r="H121" i="80"/>
  <c r="W14" i="81"/>
  <c r="S177" i="80"/>
  <c r="S193" i="80" s="1"/>
  <c r="AX32" i="81"/>
  <c r="AX33" i="81" s="1"/>
  <c r="W35" i="81"/>
  <c r="W65" i="81"/>
  <c r="R151" i="80"/>
  <c r="Z11" i="81"/>
  <c r="Z32" i="81" s="1"/>
  <c r="AR11" i="81"/>
  <c r="AR14" i="81" s="1"/>
  <c r="W40" i="81"/>
  <c r="W44" i="81" s="1"/>
  <c r="N11" i="81"/>
  <c r="N14" i="81" s="1"/>
  <c r="AX40" i="81"/>
  <c r="AX44" i="81" s="1"/>
  <c r="T65" i="81"/>
  <c r="AF11" i="81"/>
  <c r="AF32" i="81" s="1"/>
  <c r="R14" i="81"/>
  <c r="P65" i="81"/>
  <c r="J11" i="81"/>
  <c r="J35" i="81" s="1"/>
  <c r="H11" i="81"/>
  <c r="H40" i="81" s="1"/>
  <c r="H44" i="81" s="1"/>
  <c r="AX65" i="81"/>
  <c r="AX14" i="81"/>
  <c r="R40" i="81"/>
  <c r="R44" i="81" s="1"/>
  <c r="R32" i="81"/>
  <c r="R33" i="81" s="1"/>
  <c r="R65" i="81"/>
  <c r="N177" i="80"/>
  <c r="M121" i="80"/>
  <c r="AO11" i="81"/>
  <c r="V32" i="81"/>
  <c r="V40" i="81"/>
  <c r="V44" i="81" s="1"/>
  <c r="V35" i="81"/>
  <c r="M112" i="80" s="1"/>
  <c r="V14" i="81"/>
  <c r="AS35" i="81"/>
  <c r="AS32" i="81"/>
  <c r="AS33" i="81" s="1"/>
  <c r="AS14" i="81"/>
  <c r="AS40" i="81"/>
  <c r="AS44" i="81" s="1"/>
  <c r="AH32" i="81"/>
  <c r="AH40" i="81"/>
  <c r="AH44" i="81" s="1"/>
  <c r="AH14" i="81"/>
  <c r="AH35" i="81"/>
  <c r="AG40" i="81"/>
  <c r="AG44" i="81" s="1"/>
  <c r="AG35" i="81"/>
  <c r="AG32" i="81"/>
  <c r="AG14" i="81"/>
  <c r="M40" i="81"/>
  <c r="M44" i="81" s="1"/>
  <c r="M35" i="81"/>
  <c r="M32" i="81"/>
  <c r="M14" i="81"/>
  <c r="K33" i="81"/>
  <c r="H134" i="80"/>
  <c r="AE33" i="81"/>
  <c r="AE45" i="81" s="1"/>
  <c r="AE47" i="81" s="1"/>
  <c r="AE55" i="81" s="1"/>
  <c r="AA47" i="81"/>
  <c r="AA55" i="81" s="1"/>
  <c r="Q177" i="80"/>
  <c r="P121" i="80"/>
  <c r="P162" i="80"/>
  <c r="S33" i="81"/>
  <c r="L134" i="80"/>
  <c r="W33" i="81"/>
  <c r="M133" i="80"/>
  <c r="R177" i="80"/>
  <c r="Q162" i="80"/>
  <c r="Q121" i="80"/>
  <c r="G91" i="80"/>
  <c r="G139" i="80"/>
  <c r="G140" i="80" s="1"/>
  <c r="N56" i="82"/>
  <c r="O142" i="80"/>
  <c r="P56" i="82"/>
  <c r="Q142" i="80"/>
  <c r="O56" i="82"/>
  <c r="G56" i="82"/>
  <c r="H142" i="80"/>
  <c r="Q56" i="82"/>
  <c r="AB32" i="81"/>
  <c r="AB35" i="81"/>
  <c r="AB14" i="81"/>
  <c r="AB40" i="81"/>
  <c r="AB44" i="81" s="1"/>
  <c r="AT40" i="81"/>
  <c r="AT44" i="81" s="1"/>
  <c r="AT32" i="81"/>
  <c r="AT33" i="81" s="1"/>
  <c r="AT35" i="81"/>
  <c r="AT14" i="81"/>
  <c r="U40" i="81"/>
  <c r="U44" i="81" s="1"/>
  <c r="U35" i="81"/>
  <c r="U32" i="81"/>
  <c r="U14" i="81"/>
  <c r="K119" i="80"/>
  <c r="K120" i="80" s="1"/>
  <c r="K45" i="80"/>
  <c r="K46" i="80" s="1"/>
  <c r="K48" i="80" s="1"/>
  <c r="K56" i="80" s="1"/>
  <c r="I27" i="82"/>
  <c r="I28" i="82" s="1"/>
  <c r="J42" i="80"/>
  <c r="AN32" i="81"/>
  <c r="AN33" i="81" s="1"/>
  <c r="AN35" i="81"/>
  <c r="AN14" i="81"/>
  <c r="AN40" i="81"/>
  <c r="AN44" i="81" s="1"/>
  <c r="AU11" i="81"/>
  <c r="AJ32" i="81"/>
  <c r="AJ35" i="81"/>
  <c r="AJ14" i="81"/>
  <c r="AJ40" i="81"/>
  <c r="AJ44" i="81" s="1"/>
  <c r="AI11" i="81"/>
  <c r="AD32" i="81"/>
  <c r="AD40" i="81"/>
  <c r="AD44" i="81" s="1"/>
  <c r="AD35" i="81"/>
  <c r="AD14" i="81"/>
  <c r="AW40" i="81"/>
  <c r="AW44" i="81" s="1"/>
  <c r="AW35" i="81"/>
  <c r="AW32" i="81"/>
  <c r="AW33" i="81" s="1"/>
  <c r="AW14" i="81"/>
  <c r="Y40" i="81"/>
  <c r="Y44" i="81" s="1"/>
  <c r="Y35" i="81"/>
  <c r="Y32" i="81"/>
  <c r="Y14" i="81"/>
  <c r="Z35" i="81"/>
  <c r="L121" i="80"/>
  <c r="F111" i="80"/>
  <c r="AU65" i="81"/>
  <c r="O177" i="80"/>
  <c r="N162" i="80"/>
  <c r="N121" i="80"/>
  <c r="T142" i="80"/>
  <c r="AL32" i="81"/>
  <c r="AL40" i="81"/>
  <c r="AL44" i="81" s="1"/>
  <c r="AL35" i="81"/>
  <c r="AL14" i="81"/>
  <c r="S91" i="80"/>
  <c r="T168" i="80" s="1"/>
  <c r="S139" i="80"/>
  <c r="Q181" i="80"/>
  <c r="P166" i="80"/>
  <c r="P140" i="80"/>
  <c r="H140" i="80"/>
  <c r="S181" i="80"/>
  <c r="R166" i="80"/>
  <c r="R140" i="80"/>
  <c r="L32" i="81"/>
  <c r="L35" i="81"/>
  <c r="L14" i="81"/>
  <c r="L40" i="81"/>
  <c r="L44" i="81" s="1"/>
  <c r="I121" i="80"/>
  <c r="J56" i="82"/>
  <c r="K142" i="80"/>
  <c r="P177" i="80"/>
  <c r="O162" i="80"/>
  <c r="O121" i="80"/>
  <c r="U168" i="80"/>
  <c r="U142" i="80"/>
  <c r="U143" i="80" s="1"/>
  <c r="I91" i="80"/>
  <c r="I139" i="80"/>
  <c r="I140" i="80" s="1"/>
  <c r="I56" i="82"/>
  <c r="J142" i="80"/>
  <c r="L142" i="80"/>
  <c r="E56" i="82"/>
  <c r="F142" i="80"/>
  <c r="AC11" i="81"/>
  <c r="X32" i="81"/>
  <c r="X35" i="81"/>
  <c r="X14" i="81"/>
  <c r="X40" i="81"/>
  <c r="X44" i="81" s="1"/>
  <c r="AP32" i="81"/>
  <c r="AP33" i="81" s="1"/>
  <c r="AP40" i="81"/>
  <c r="AP44" i="81" s="1"/>
  <c r="AP14" i="81"/>
  <c r="AP35" i="81"/>
  <c r="AK40" i="81"/>
  <c r="AK44" i="81" s="1"/>
  <c r="AK35" i="81"/>
  <c r="AK32" i="81"/>
  <c r="AK14" i="81"/>
  <c r="Q40" i="81"/>
  <c r="Q44" i="81" s="1"/>
  <c r="Q35" i="81"/>
  <c r="Q32" i="81"/>
  <c r="Q14" i="81"/>
  <c r="O111" i="80"/>
  <c r="T32" i="81"/>
  <c r="T35" i="81"/>
  <c r="T14" i="81"/>
  <c r="T40" i="81"/>
  <c r="T44" i="81" s="1"/>
  <c r="G33" i="81"/>
  <c r="G45" i="81" s="1"/>
  <c r="G47" i="81" s="1"/>
  <c r="G55" i="81" s="1"/>
  <c r="F134" i="80"/>
  <c r="AO65" i="81"/>
  <c r="U162" i="80"/>
  <c r="U121" i="80"/>
  <c r="M91" i="80"/>
  <c r="M139" i="80"/>
  <c r="N166" i="80" s="1"/>
  <c r="AI65" i="81"/>
  <c r="V121" i="80"/>
  <c r="R162" i="80"/>
  <c r="P181" i="80"/>
  <c r="O166" i="80"/>
  <c r="O140" i="80"/>
  <c r="U140" i="80"/>
  <c r="U166" i="80"/>
  <c r="P32" i="81"/>
  <c r="P35" i="81"/>
  <c r="P40" i="81"/>
  <c r="P44" i="81" s="1"/>
  <c r="P14" i="81"/>
  <c r="R181" i="80"/>
  <c r="Q140" i="80"/>
  <c r="Q166" i="80"/>
  <c r="J140" i="80"/>
  <c r="L140" i="80"/>
  <c r="W140" i="80"/>
  <c r="W141" i="80" s="1"/>
  <c r="V140" i="80"/>
  <c r="O181" i="80"/>
  <c r="U54" i="79"/>
  <c r="R54" i="79"/>
  <c r="J54" i="79"/>
  <c r="T54" i="79"/>
  <c r="P54" i="79"/>
  <c r="X72" i="79"/>
  <c r="Y69" i="79"/>
  <c r="Y72" i="79" s="1"/>
  <c r="Y22" i="79"/>
  <c r="Y25" i="79" s="1"/>
  <c r="X25" i="79"/>
  <c r="X66" i="79"/>
  <c r="X73" i="79" s="1"/>
  <c r="X75" i="79" s="1"/>
  <c r="X82" i="79" s="1"/>
  <c r="Y63" i="79"/>
  <c r="Y66" i="79" s="1"/>
  <c r="Y73" i="79" s="1"/>
  <c r="Y75" i="79" s="1"/>
  <c r="H54" i="79"/>
  <c r="V54" i="79"/>
  <c r="E51" i="79"/>
  <c r="S54" i="79"/>
  <c r="F54" i="79"/>
  <c r="E73" i="79"/>
  <c r="E75" i="79" s="1"/>
  <c r="E82" i="79" s="1"/>
  <c r="E8" i="3" s="1"/>
  <c r="L54" i="79"/>
  <c r="X37" i="79"/>
  <c r="Q54" i="79"/>
  <c r="K45" i="81" l="1"/>
  <c r="K47" i="81" s="1"/>
  <c r="K55" i="81" s="1"/>
  <c r="H111" i="80"/>
  <c r="M111" i="80"/>
  <c r="I45" i="81"/>
  <c r="I47" i="81" s="1"/>
  <c r="I55" i="81" s="1"/>
  <c r="O33" i="81"/>
  <c r="P112" i="80"/>
  <c r="G134" i="80"/>
  <c r="S45" i="81"/>
  <c r="S47" i="81" s="1"/>
  <c r="S55" i="81" s="1"/>
  <c r="R111" i="80"/>
  <c r="C7" i="85"/>
  <c r="C8" i="84"/>
  <c r="C19" i="84"/>
  <c r="N142" i="80"/>
  <c r="O143" i="80" s="1"/>
  <c r="T193" i="80"/>
  <c r="V110" i="80"/>
  <c r="V113" i="80" s="1"/>
  <c r="J32" i="81"/>
  <c r="G133" i="80" s="1"/>
  <c r="G136" i="80" s="1"/>
  <c r="Y49" i="79"/>
  <c r="Y51" i="79" s="1"/>
  <c r="N11" i="79"/>
  <c r="A16" i="3"/>
  <c r="Y82" i="79"/>
  <c r="AA46" i="79"/>
  <c r="AB46" i="79" s="1"/>
  <c r="O45" i="81"/>
  <c r="O47" i="81" s="1"/>
  <c r="O55" i="81" s="1"/>
  <c r="AT45" i="81"/>
  <c r="O112" i="80"/>
  <c r="M110" i="80"/>
  <c r="M113" i="80" s="1"/>
  <c r="I111" i="80"/>
  <c r="Q111" i="80"/>
  <c r="AS45" i="81"/>
  <c r="AS47" i="81" s="1"/>
  <c r="AS55" i="81" s="1"/>
  <c r="AR40" i="81"/>
  <c r="AR44" i="81" s="1"/>
  <c r="J40" i="81"/>
  <c r="J44" i="81" s="1"/>
  <c r="AR32" i="81"/>
  <c r="AR33" i="81" s="1"/>
  <c r="K110" i="80"/>
  <c r="AX45" i="81"/>
  <c r="AX47" i="81" s="1"/>
  <c r="AX55" i="81" s="1"/>
  <c r="V143" i="80"/>
  <c r="Z14" i="81"/>
  <c r="N35" i="81"/>
  <c r="V133" i="80"/>
  <c r="V136" i="80" s="1"/>
  <c r="Z40" i="81"/>
  <c r="Z44" i="81" s="1"/>
  <c r="Q143" i="80"/>
  <c r="R110" i="80"/>
  <c r="W45" i="81"/>
  <c r="W47" i="81" s="1"/>
  <c r="W55" i="81" s="1"/>
  <c r="AR35" i="81"/>
  <c r="J14" i="81"/>
  <c r="R45" i="81"/>
  <c r="R47" i="81" s="1"/>
  <c r="R55" i="81" s="1"/>
  <c r="H14" i="81"/>
  <c r="N40" i="81"/>
  <c r="N44" i="81" s="1"/>
  <c r="N32" i="81"/>
  <c r="N33" i="81" s="1"/>
  <c r="AF14" i="81"/>
  <c r="AF40" i="81"/>
  <c r="AF44" i="81" s="1"/>
  <c r="H35" i="81"/>
  <c r="F110" i="80" s="1"/>
  <c r="F113" i="80" s="1"/>
  <c r="AF35" i="81"/>
  <c r="H32" i="81"/>
  <c r="H33" i="81" s="1"/>
  <c r="K133" i="80"/>
  <c r="T181" i="80"/>
  <c r="C10" i="84" s="1"/>
  <c r="S166" i="80"/>
  <c r="S140" i="80"/>
  <c r="AD33" i="81"/>
  <c r="AD45" i="81" s="1"/>
  <c r="AD47" i="81" s="1"/>
  <c r="AD55" i="81" s="1"/>
  <c r="P134" i="80"/>
  <c r="AU35" i="81"/>
  <c r="AU40" i="81"/>
  <c r="AU44" i="81" s="1"/>
  <c r="AU32" i="81"/>
  <c r="AU14" i="81"/>
  <c r="Q193" i="80"/>
  <c r="N140" i="80"/>
  <c r="J110" i="80"/>
  <c r="J113" i="80" s="1"/>
  <c r="L56" i="82"/>
  <c r="M142" i="80"/>
  <c r="M143" i="80" s="1"/>
  <c r="Q33" i="81"/>
  <c r="Q45" i="81" s="1"/>
  <c r="Q47" i="81" s="1"/>
  <c r="Q55" i="81" s="1"/>
  <c r="K134" i="80"/>
  <c r="T166" i="80"/>
  <c r="K143" i="80"/>
  <c r="AI35" i="81"/>
  <c r="AI40" i="81"/>
  <c r="AI44" i="81" s="1"/>
  <c r="AI32" i="81"/>
  <c r="AI14" i="81"/>
  <c r="J33" i="81"/>
  <c r="AH33" i="81"/>
  <c r="AH45" i="81" s="1"/>
  <c r="Q135" i="80"/>
  <c r="P33" i="81"/>
  <c r="P45" i="81" s="1"/>
  <c r="P47" i="81" s="1"/>
  <c r="P55" i="81" s="1"/>
  <c r="J133" i="80"/>
  <c r="J136" i="80" s="1"/>
  <c r="L110" i="80"/>
  <c r="L113" i="80" s="1"/>
  <c r="K111" i="80"/>
  <c r="R112" i="80"/>
  <c r="N111" i="80"/>
  <c r="T140" i="80"/>
  <c r="P193" i="80"/>
  <c r="H110" i="80"/>
  <c r="H113" i="80" s="1"/>
  <c r="AL33" i="81"/>
  <c r="AL45" i="81" s="1"/>
  <c r="AL47" i="81" s="1"/>
  <c r="AL55" i="81" s="1"/>
  <c r="R133" i="80"/>
  <c r="O193" i="80"/>
  <c r="Z33" i="81"/>
  <c r="N133" i="80"/>
  <c r="Y33" i="81"/>
  <c r="Y45" i="81" s="1"/>
  <c r="Y47" i="81" s="1"/>
  <c r="Y55" i="81" s="1"/>
  <c r="N135" i="80"/>
  <c r="AW45" i="81"/>
  <c r="AW47" i="81" s="1"/>
  <c r="AW55" i="81" s="1"/>
  <c r="P111" i="80"/>
  <c r="AJ33" i="81"/>
  <c r="AJ45" i="81" s="1"/>
  <c r="AJ47" i="81" s="1"/>
  <c r="AJ55" i="81" s="1"/>
  <c r="R134" i="80"/>
  <c r="J119" i="80"/>
  <c r="J120" i="80" s="1"/>
  <c r="J121" i="80" s="1"/>
  <c r="J45" i="80"/>
  <c r="J46" i="80" s="1"/>
  <c r="J48" i="80" s="1"/>
  <c r="J56" i="80" s="1"/>
  <c r="AT47" i="81"/>
  <c r="AT55" i="81" s="1"/>
  <c r="R143" i="80"/>
  <c r="P143" i="80"/>
  <c r="F56" i="82"/>
  <c r="G142" i="80"/>
  <c r="G143" i="80" s="1"/>
  <c r="Q112" i="80"/>
  <c r="V33" i="81"/>
  <c r="V45" i="81" s="1"/>
  <c r="V47" i="81" s="1"/>
  <c r="V55" i="81" s="1"/>
  <c r="M135" i="80"/>
  <c r="N193" i="80"/>
  <c r="P197" i="80"/>
  <c r="M140" i="80"/>
  <c r="N181" i="80"/>
  <c r="AC40" i="81"/>
  <c r="AC44" i="81" s="1"/>
  <c r="AC35" i="81"/>
  <c r="AC32" i="81"/>
  <c r="AC14" i="81"/>
  <c r="H56" i="82"/>
  <c r="I142" i="80"/>
  <c r="I143" i="80" s="1"/>
  <c r="R197" i="80"/>
  <c r="AK33" i="81"/>
  <c r="AK45" i="81" s="1"/>
  <c r="AK47" i="81" s="1"/>
  <c r="AK55" i="81" s="1"/>
  <c r="R135" i="80"/>
  <c r="S142" i="80"/>
  <c r="S143" i="80" s="1"/>
  <c r="T183" i="80"/>
  <c r="AF33" i="81"/>
  <c r="P133" i="80"/>
  <c r="AN45" i="81"/>
  <c r="AN47" i="81" s="1"/>
  <c r="AN55" i="81" s="1"/>
  <c r="AB33" i="81"/>
  <c r="AB45" i="81" s="1"/>
  <c r="AB47" i="81" s="1"/>
  <c r="AB55" i="81" s="1"/>
  <c r="O135" i="80"/>
  <c r="R193" i="80"/>
  <c r="O197" i="80"/>
  <c r="T33" i="81"/>
  <c r="T45" i="81" s="1"/>
  <c r="T47" i="81" s="1"/>
  <c r="T55" i="81" s="1"/>
  <c r="L133" i="80"/>
  <c r="L136" i="80" s="1"/>
  <c r="AP45" i="81"/>
  <c r="AP47" i="81" s="1"/>
  <c r="AP55" i="81" s="1"/>
  <c r="X33" i="81"/>
  <c r="X45" i="81" s="1"/>
  <c r="X47" i="81" s="1"/>
  <c r="X55" i="81" s="1"/>
  <c r="N134" i="80"/>
  <c r="L143" i="80"/>
  <c r="L33" i="81"/>
  <c r="L45" i="81" s="1"/>
  <c r="L47" i="81" s="1"/>
  <c r="L55" i="81" s="1"/>
  <c r="H133" i="80"/>
  <c r="H136" i="80" s="1"/>
  <c r="S197" i="80"/>
  <c r="Q197" i="80"/>
  <c r="N112" i="80"/>
  <c r="U33" i="81"/>
  <c r="U45" i="81" s="1"/>
  <c r="U47" i="81" s="1"/>
  <c r="U55" i="81" s="1"/>
  <c r="M134" i="80"/>
  <c r="M33" i="81"/>
  <c r="M45" i="81" s="1"/>
  <c r="M47" i="81" s="1"/>
  <c r="M55" i="81" s="1"/>
  <c r="I134" i="80"/>
  <c r="AG33" i="81"/>
  <c r="AG45" i="81" s="1"/>
  <c r="AG47" i="81" s="1"/>
  <c r="AG55" i="81" s="1"/>
  <c r="Q134" i="80"/>
  <c r="AH47" i="81"/>
  <c r="AH55" i="81" s="1"/>
  <c r="AO40" i="81"/>
  <c r="AO44" i="81" s="1"/>
  <c r="AO35" i="81"/>
  <c r="AO32" i="81"/>
  <c r="AO14" i="81"/>
  <c r="X51" i="79"/>
  <c r="E59" i="79"/>
  <c r="X49" i="79"/>
  <c r="J45" i="81" l="1"/>
  <c r="J47" i="81" s="1"/>
  <c r="J55" i="81" s="1"/>
  <c r="G110" i="80"/>
  <c r="G113" i="80" s="1"/>
  <c r="H114" i="80" s="1"/>
  <c r="R113" i="80"/>
  <c r="N174" i="80"/>
  <c r="N189" i="80" s="1"/>
  <c r="N143" i="80"/>
  <c r="E83" i="79"/>
  <c r="D8" i="3"/>
  <c r="O11" i="79"/>
  <c r="A17" i="3"/>
  <c r="P136" i="80"/>
  <c r="Q179" i="80" s="1"/>
  <c r="T110" i="80"/>
  <c r="T113" i="80" s="1"/>
  <c r="T133" i="80"/>
  <c r="T136" i="80" s="1"/>
  <c r="N110" i="80"/>
  <c r="N113" i="80" s="1"/>
  <c r="AB44" i="79"/>
  <c r="AB48" i="79" s="1"/>
  <c r="AC56" i="79" s="1"/>
  <c r="AB65" i="79" s="1"/>
  <c r="V206" i="80" s="1"/>
  <c r="M136" i="80"/>
  <c r="N179" i="80" s="1"/>
  <c r="K113" i="80"/>
  <c r="L114" i="80" s="1"/>
  <c r="I133" i="80"/>
  <c r="I136" i="80" s="1"/>
  <c r="I137" i="80" s="1"/>
  <c r="R136" i="80"/>
  <c r="S179" i="80" s="1"/>
  <c r="N136" i="80"/>
  <c r="N137" i="80" s="1"/>
  <c r="AR45" i="81"/>
  <c r="AR47" i="81" s="1"/>
  <c r="AR55" i="81" s="1"/>
  <c r="Z45" i="81"/>
  <c r="Z47" i="81" s="1"/>
  <c r="Z55" i="81" s="1"/>
  <c r="AD46" i="79"/>
  <c r="I110" i="80"/>
  <c r="I113" i="80" s="1"/>
  <c r="I114" i="80" s="1"/>
  <c r="H45" i="81"/>
  <c r="H47" i="81" s="1"/>
  <c r="H55" i="81" s="1"/>
  <c r="N45" i="81"/>
  <c r="N47" i="81" s="1"/>
  <c r="N55" i="81" s="1"/>
  <c r="P110" i="80"/>
  <c r="P113" i="80" s="1"/>
  <c r="Q174" i="80" s="1"/>
  <c r="F133" i="80"/>
  <c r="F136" i="80" s="1"/>
  <c r="G137" i="80" s="1"/>
  <c r="H137" i="80"/>
  <c r="AF45" i="81"/>
  <c r="AF47" i="81" s="1"/>
  <c r="AF55" i="81" s="1"/>
  <c r="K136" i="80"/>
  <c r="K137" i="80" s="1"/>
  <c r="N197" i="80"/>
  <c r="Q110" i="80"/>
  <c r="Q113" i="80" s="1"/>
  <c r="R114" i="80" s="1"/>
  <c r="U110" i="80"/>
  <c r="U113" i="80" s="1"/>
  <c r="V160" i="80" s="1"/>
  <c r="AO33" i="81"/>
  <c r="AO45" i="81" s="1"/>
  <c r="AO47" i="81" s="1"/>
  <c r="AO55" i="81" s="1"/>
  <c r="S133" i="80"/>
  <c r="S136" i="80" s="1"/>
  <c r="T143" i="80"/>
  <c r="S174" i="80"/>
  <c r="AC33" i="81"/>
  <c r="AC45" i="81" s="1"/>
  <c r="AC47" i="81" s="1"/>
  <c r="AC55" i="81" s="1"/>
  <c r="O133" i="80"/>
  <c r="O136" i="80" s="1"/>
  <c r="J143" i="80"/>
  <c r="T197" i="80"/>
  <c r="K121" i="80"/>
  <c r="H143" i="80"/>
  <c r="S110" i="80"/>
  <c r="S113" i="80" s="1"/>
  <c r="T160" i="80" s="1"/>
  <c r="O110" i="80"/>
  <c r="O113" i="80" s="1"/>
  <c r="AI33" i="81"/>
  <c r="AI45" i="81" s="1"/>
  <c r="AI47" i="81" s="1"/>
  <c r="AI55" i="81" s="1"/>
  <c r="Q133" i="80"/>
  <c r="Q136" i="80" s="1"/>
  <c r="U133" i="80"/>
  <c r="U136" i="80" s="1"/>
  <c r="V164" i="80" s="1"/>
  <c r="AU33" i="81"/>
  <c r="AU45" i="81" s="1"/>
  <c r="AU47" i="81" s="1"/>
  <c r="AU55" i="81" s="1"/>
  <c r="M114" i="80"/>
  <c r="B41" i="75"/>
  <c r="G114" i="80" l="1"/>
  <c r="P11" i="79"/>
  <c r="A18" i="3"/>
  <c r="P164" i="80"/>
  <c r="K114" i="80"/>
  <c r="R160" i="80"/>
  <c r="T137" i="80"/>
  <c r="O179" i="80"/>
  <c r="O195" i="80" s="1"/>
  <c r="M137" i="80"/>
  <c r="N164" i="80"/>
  <c r="L137" i="80"/>
  <c r="P114" i="80"/>
  <c r="J114" i="80"/>
  <c r="AC43" i="79"/>
  <c r="M203" i="80" s="1"/>
  <c r="V203" i="80" s="1"/>
  <c r="AC42" i="79"/>
  <c r="AC46" i="79"/>
  <c r="AC44" i="79"/>
  <c r="T164" i="80"/>
  <c r="R179" i="80"/>
  <c r="Q164" i="80"/>
  <c r="Q137" i="80"/>
  <c r="Q195" i="80"/>
  <c r="R164" i="80"/>
  <c r="P174" i="80"/>
  <c r="O160" i="80"/>
  <c r="O114" i="80"/>
  <c r="O137" i="80"/>
  <c r="O164" i="80"/>
  <c r="P179" i="80"/>
  <c r="S189" i="80"/>
  <c r="U114" i="80"/>
  <c r="U160" i="80"/>
  <c r="V114" i="80"/>
  <c r="S195" i="80"/>
  <c r="N195" i="80"/>
  <c r="P160" i="80"/>
  <c r="T174" i="80"/>
  <c r="V174" i="80" s="1"/>
  <c r="S160" i="80"/>
  <c r="S114" i="80"/>
  <c r="R137" i="80"/>
  <c r="T114" i="80"/>
  <c r="U164" i="80"/>
  <c r="U137" i="80"/>
  <c r="V137" i="80"/>
  <c r="J137" i="80"/>
  <c r="O174" i="80"/>
  <c r="N160" i="80"/>
  <c r="N114" i="80"/>
  <c r="P137" i="80"/>
  <c r="S137" i="80"/>
  <c r="T179" i="80"/>
  <c r="S164" i="80"/>
  <c r="Q114" i="80"/>
  <c r="Q160" i="80"/>
  <c r="R174" i="80"/>
  <c r="Q189" i="80"/>
  <c r="F41" i="75"/>
  <c r="G41" i="75" s="1"/>
  <c r="E6" i="85" l="1"/>
  <c r="E18" i="85" s="1"/>
  <c r="F18" i="85" s="1"/>
  <c r="AB62" i="79"/>
  <c r="Q11" i="79"/>
  <c r="A19" i="3"/>
  <c r="F6" i="85"/>
  <c r="C7" i="84"/>
  <c r="N203" i="80"/>
  <c r="D7" i="84"/>
  <c r="C8" i="85"/>
  <c r="C9" i="84"/>
  <c r="C20" i="84"/>
  <c r="S203" i="80"/>
  <c r="Q203" i="80"/>
  <c r="M202" i="80"/>
  <c r="AD43" i="79"/>
  <c r="M204" i="80"/>
  <c r="AD44" i="79"/>
  <c r="M205" i="80"/>
  <c r="V205" i="80" s="1"/>
  <c r="AB64" i="79"/>
  <c r="T203" i="80"/>
  <c r="T189" i="80"/>
  <c r="P195" i="80"/>
  <c r="O203" i="80"/>
  <c r="O189" i="80"/>
  <c r="R203" i="80"/>
  <c r="R189" i="80"/>
  <c r="T195" i="80"/>
  <c r="P203" i="80"/>
  <c r="P189" i="80"/>
  <c r="R195" i="80"/>
  <c r="B28" i="75"/>
  <c r="R11" i="79" l="1"/>
  <c r="A20" i="3"/>
  <c r="T204" i="80"/>
  <c r="E8" i="85"/>
  <c r="D9" i="84"/>
  <c r="E20" i="84" s="1"/>
  <c r="F20" i="84" s="1"/>
  <c r="E9" i="85"/>
  <c r="D10" i="84"/>
  <c r="D18" i="84"/>
  <c r="E7" i="85"/>
  <c r="D8" i="84"/>
  <c r="E18" i="84"/>
  <c r="E7" i="84"/>
  <c r="R204" i="80"/>
  <c r="P204" i="80"/>
  <c r="T202" i="80"/>
  <c r="S202" i="80"/>
  <c r="P202" i="80"/>
  <c r="O202" i="80"/>
  <c r="Q202" i="80"/>
  <c r="N202" i="80"/>
  <c r="R202" i="80"/>
  <c r="R205" i="80"/>
  <c r="O205" i="80"/>
  <c r="Q205" i="80"/>
  <c r="P205" i="80"/>
  <c r="S205" i="80"/>
  <c r="T205" i="80"/>
  <c r="N205" i="80"/>
  <c r="O204" i="80"/>
  <c r="N204" i="80"/>
  <c r="Q204" i="80"/>
  <c r="S204" i="80"/>
  <c r="F28" i="75"/>
  <c r="G28" i="75" s="1"/>
  <c r="V202" i="80" l="1"/>
  <c r="AB61" i="79" s="1"/>
  <c r="V204" i="80"/>
  <c r="V208" i="80" s="1"/>
  <c r="D11" i="84"/>
  <c r="S11" i="79"/>
  <c r="A21" i="3"/>
  <c r="E9" i="84"/>
  <c r="F7" i="85"/>
  <c r="E19" i="85"/>
  <c r="F8" i="85"/>
  <c r="E20" i="85"/>
  <c r="F20" i="85" s="1"/>
  <c r="E21" i="85"/>
  <c r="E21" i="84"/>
  <c r="F21" i="84" s="1"/>
  <c r="E10" i="84"/>
  <c r="E10" i="85"/>
  <c r="F18" i="84"/>
  <c r="E19" i="84"/>
  <c r="F19" i="84" s="1"/>
  <c r="E8" i="84"/>
  <c r="E12" i="84" s="1"/>
  <c r="P208" i="80"/>
  <c r="R208" i="80"/>
  <c r="O208" i="80"/>
  <c r="T208" i="80"/>
  <c r="Q208" i="80"/>
  <c r="S208" i="80"/>
  <c r="N208" i="80"/>
  <c r="AB63" i="79" l="1"/>
  <c r="AB66" i="79" s="1"/>
  <c r="T11" i="79"/>
  <c r="A22" i="3"/>
  <c r="E22" i="84"/>
  <c r="F19" i="85"/>
  <c r="F23" i="85" s="1"/>
  <c r="E22" i="85"/>
  <c r="F11" i="85"/>
  <c r="F23" i="84"/>
  <c r="F36" i="5"/>
  <c r="F46" i="5"/>
  <c r="F78" i="5"/>
  <c r="F296" i="5"/>
  <c r="F297" i="5"/>
  <c r="U11" i="79" l="1"/>
  <c r="A23" i="3"/>
  <c r="B42" i="75"/>
  <c r="V11" i="79" l="1"/>
  <c r="A24" i="3"/>
  <c r="F42" i="75"/>
  <c r="G42" i="75" s="1"/>
  <c r="W11" i="79" l="1"/>
  <c r="A26" i="3" s="1"/>
  <c r="A25" i="3"/>
  <c r="A42" i="75"/>
  <c r="A41" i="75"/>
  <c r="N14" i="55" l="1"/>
  <c r="N12" i="55" l="1"/>
  <c r="B36" i="75" l="1"/>
  <c r="F88" i="5" l="1"/>
  <c r="F89" i="5"/>
  <c r="F90" i="5"/>
  <c r="F91" i="5"/>
  <c r="F92" i="5"/>
  <c r="F93" i="5"/>
  <c r="F94" i="5"/>
  <c r="F15" i="5" s="1"/>
  <c r="F95" i="5"/>
  <c r="F96" i="5"/>
  <c r="F97" i="5"/>
  <c r="F98" i="5"/>
  <c r="F99" i="5"/>
  <c r="F16" i="5" s="1"/>
  <c r="F100" i="5"/>
  <c r="F101" i="5"/>
  <c r="F102" i="5"/>
  <c r="F103" i="5"/>
  <c r="F17" i="5" s="1"/>
  <c r="F104" i="5"/>
  <c r="F105" i="5"/>
  <c r="F106" i="5"/>
  <c r="F107" i="5"/>
  <c r="F22" i="5" s="1"/>
  <c r="F108" i="5"/>
  <c r="F109" i="5"/>
  <c r="F110" i="5"/>
  <c r="F111" i="5"/>
  <c r="F112" i="5"/>
  <c r="F113" i="5"/>
  <c r="F114" i="5"/>
  <c r="F115" i="5"/>
  <c r="F116" i="5"/>
  <c r="F117" i="5"/>
  <c r="F118" i="5"/>
  <c r="F28" i="5" s="1"/>
  <c r="F119" i="5"/>
  <c r="F120" i="5"/>
  <c r="F121" i="5"/>
  <c r="F122" i="5"/>
  <c r="F30" i="5" s="1"/>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34" i="5" s="1"/>
  <c r="F150" i="5"/>
  <c r="F151" i="5"/>
  <c r="F35" i="5" s="1"/>
  <c r="F152" i="5"/>
  <c r="F153" i="5"/>
  <c r="F154" i="5"/>
  <c r="F155" i="5"/>
  <c r="F156" i="5"/>
  <c r="F157" i="5"/>
  <c r="F158" i="5"/>
  <c r="F159" i="5"/>
  <c r="F160" i="5"/>
  <c r="F161" i="5"/>
  <c r="F162" i="5"/>
  <c r="F163" i="5"/>
  <c r="F39" i="5" s="1"/>
  <c r="F164" i="5"/>
  <c r="F165" i="5"/>
  <c r="F166" i="5"/>
  <c r="F167" i="5"/>
  <c r="F168" i="5"/>
  <c r="F169" i="5"/>
  <c r="F40" i="5" s="1"/>
  <c r="F170" i="5"/>
  <c r="F171" i="5"/>
  <c r="F172" i="5"/>
  <c r="F173" i="5"/>
  <c r="F174" i="5"/>
  <c r="F175" i="5"/>
  <c r="F41" i="5" s="1"/>
  <c r="F176" i="5"/>
  <c r="F177" i="5"/>
  <c r="F178" i="5"/>
  <c r="F179" i="5"/>
  <c r="F180" i="5"/>
  <c r="F181" i="5"/>
  <c r="F182" i="5"/>
  <c r="F183" i="5"/>
  <c r="F184" i="5"/>
  <c r="F185" i="5"/>
  <c r="F186" i="5"/>
  <c r="F187" i="5"/>
  <c r="F188" i="5"/>
  <c r="F189" i="5"/>
  <c r="F44" i="5" s="1"/>
  <c r="F190" i="5"/>
  <c r="F191" i="5"/>
  <c r="F192" i="5"/>
  <c r="F193" i="5"/>
  <c r="F194" i="5"/>
  <c r="F195" i="5"/>
  <c r="F196" i="5"/>
  <c r="F197" i="5"/>
  <c r="F198" i="5"/>
  <c r="F199" i="5"/>
  <c r="F200" i="5"/>
  <c r="F201" i="5"/>
  <c r="F202" i="5"/>
  <c r="F203" i="5"/>
  <c r="F204" i="5"/>
  <c r="F205" i="5"/>
  <c r="F206" i="5"/>
  <c r="F207" i="5"/>
  <c r="F208" i="5"/>
  <c r="F209" i="5"/>
  <c r="F54" i="5" s="1"/>
  <c r="F210" i="5"/>
  <c r="F56" i="5" s="1"/>
  <c r="F211" i="5"/>
  <c r="F57" i="5" s="1"/>
  <c r="F212" i="5"/>
  <c r="F213" i="5"/>
  <c r="F214" i="5"/>
  <c r="F215" i="5"/>
  <c r="F216" i="5"/>
  <c r="F217" i="5"/>
  <c r="F218" i="5"/>
  <c r="F219" i="5"/>
  <c r="F220" i="5"/>
  <c r="F221" i="5"/>
  <c r="F222" i="5"/>
  <c r="F223" i="5"/>
  <c r="F224" i="5"/>
  <c r="F225" i="5"/>
  <c r="F226" i="5"/>
  <c r="F227" i="5"/>
  <c r="F29" i="5" l="1"/>
  <c r="F23" i="5"/>
  <c r="F18" i="5"/>
  <c r="F45" i="5"/>
  <c r="F24" i="5"/>
  <c r="F48" i="5"/>
  <c r="F36" i="75"/>
  <c r="G36" i="75" s="1"/>
  <c r="F31" i="5"/>
  <c r="F37" i="5"/>
  <c r="F25" i="5" l="1"/>
  <c r="F49" i="5" s="1"/>
  <c r="F51" i="5" s="1"/>
  <c r="F59" i="5" s="1"/>
  <c r="B38" i="75" l="1"/>
  <c r="B30" i="75"/>
  <c r="B37" i="75"/>
  <c r="B25" i="75"/>
  <c r="F30" i="75" l="1"/>
  <c r="G30" i="75" s="1"/>
  <c r="F25" i="75" l="1"/>
  <c r="G25" i="75" s="1"/>
  <c r="F37" i="75" l="1"/>
  <c r="G37" i="75" s="1"/>
  <c r="B35" i="75" l="1"/>
  <c r="F35" i="75" l="1"/>
  <c r="G35" i="75" s="1"/>
  <c r="F282" i="5"/>
  <c r="B16" i="75" l="1"/>
  <c r="F16" i="75" l="1"/>
  <c r="G16" i="75" s="1"/>
  <c r="AB59" i="55" l="1"/>
  <c r="Q82" i="56"/>
  <c r="B40" i="75" l="1"/>
  <c r="B39" i="75"/>
  <c r="A28" i="75" l="1"/>
  <c r="F38" i="75"/>
  <c r="G38" i="75" s="1"/>
  <c r="A25" i="75"/>
  <c r="F40" i="75"/>
  <c r="G40" i="75" s="1"/>
  <c r="F39" i="75"/>
  <c r="G39" i="75" s="1"/>
  <c r="G49" i="75" l="1"/>
  <c r="G15" i="5" l="1"/>
  <c r="G16" i="5"/>
  <c r="G17" i="5"/>
  <c r="G22" i="5"/>
  <c r="G23" i="5"/>
  <c r="G24" i="5"/>
  <c r="G28" i="5"/>
  <c r="G29" i="5"/>
  <c r="G30" i="5"/>
  <c r="G34" i="5"/>
  <c r="G35" i="5"/>
  <c r="G36" i="5"/>
  <c r="G39" i="5"/>
  <c r="G40" i="5"/>
  <c r="G41" i="5"/>
  <c r="G44" i="5"/>
  <c r="G45" i="5"/>
  <c r="G46" i="5"/>
  <c r="G54" i="5"/>
  <c r="G56" i="5"/>
  <c r="G57" i="5"/>
  <c r="G63" i="5"/>
  <c r="G64" i="5"/>
  <c r="G65" i="5"/>
  <c r="G69" i="5"/>
  <c r="G70" i="5"/>
  <c r="G71" i="5"/>
  <c r="G74" i="5"/>
  <c r="G76" i="5"/>
  <c r="G77" i="5"/>
  <c r="G78" i="5"/>
  <c r="G79" i="5"/>
  <c r="G72" i="5" l="1"/>
  <c r="G18" i="5"/>
  <c r="G66" i="5"/>
  <c r="G37" i="5"/>
  <c r="G31" i="5"/>
  <c r="G25" i="5"/>
  <c r="G48" i="5"/>
  <c r="F228" i="5"/>
  <c r="F229" i="5"/>
  <c r="F63" i="5" s="1"/>
  <c r="F230" i="5"/>
  <c r="F231" i="5"/>
  <c r="F232" i="5"/>
  <c r="F233" i="5"/>
  <c r="F234" i="5"/>
  <c r="F235" i="5"/>
  <c r="F236" i="5"/>
  <c r="F237" i="5"/>
  <c r="F238" i="5"/>
  <c r="F239" i="5"/>
  <c r="F240" i="5"/>
  <c r="F241" i="5"/>
  <c r="F242" i="5"/>
  <c r="F243" i="5"/>
  <c r="F244" i="5"/>
  <c r="F245" i="5"/>
  <c r="F64" i="5" s="1"/>
  <c r="F246" i="5"/>
  <c r="F247" i="5"/>
  <c r="F248" i="5"/>
  <c r="F249" i="5"/>
  <c r="F250" i="5"/>
  <c r="F251" i="5"/>
  <c r="F252" i="5"/>
  <c r="F253" i="5"/>
  <c r="F254" i="5"/>
  <c r="F255" i="5"/>
  <c r="F256" i="5"/>
  <c r="F257" i="5"/>
  <c r="F258" i="5"/>
  <c r="F65" i="5" s="1"/>
  <c r="F259" i="5"/>
  <c r="F260" i="5"/>
  <c r="F261" i="5"/>
  <c r="F262" i="5"/>
  <c r="F263" i="5"/>
  <c r="F264" i="5"/>
  <c r="F265" i="5"/>
  <c r="F70" i="5" s="1"/>
  <c r="F266" i="5"/>
  <c r="F267" i="5"/>
  <c r="F268" i="5"/>
  <c r="F269" i="5"/>
  <c r="F270" i="5"/>
  <c r="F271" i="5"/>
  <c r="F272" i="5"/>
  <c r="F273" i="5"/>
  <c r="F274" i="5"/>
  <c r="F275" i="5"/>
  <c r="F276" i="5"/>
  <c r="F277" i="5"/>
  <c r="F278" i="5"/>
  <c r="F279" i="5"/>
  <c r="F280" i="5"/>
  <c r="F281" i="5"/>
  <c r="F283" i="5"/>
  <c r="F284" i="5"/>
  <c r="F285" i="5"/>
  <c r="F74" i="5" s="1"/>
  <c r="F286" i="5"/>
  <c r="F287" i="5"/>
  <c r="F289" i="5"/>
  <c r="F290" i="5"/>
  <c r="F291" i="5"/>
  <c r="F292" i="5"/>
  <c r="F293" i="5"/>
  <c r="F294" i="5"/>
  <c r="F295" i="5"/>
  <c r="F298" i="5"/>
  <c r="F79" i="5" s="1"/>
  <c r="F299" i="5"/>
  <c r="F300" i="5"/>
  <c r="F301" i="5"/>
  <c r="F302" i="5"/>
  <c r="G73" i="5" l="1"/>
  <c r="G75" i="5" s="1"/>
  <c r="G82" i="5" s="1"/>
  <c r="F66" i="5"/>
  <c r="F76" i="5"/>
  <c r="E76" i="5" s="1"/>
  <c r="F71" i="5"/>
  <c r="E78" i="5"/>
  <c r="F77" i="5"/>
  <c r="E77" i="5" s="1"/>
  <c r="F69" i="5"/>
  <c r="G49" i="5"/>
  <c r="G51" i="5" s="1"/>
  <c r="G59" i="5" s="1"/>
  <c r="E79" i="5"/>
  <c r="E74" i="5"/>
  <c r="F72" i="5" l="1"/>
  <c r="F73" i="5" s="1"/>
  <c r="F75" i="5" s="1"/>
  <c r="F82" i="5" s="1"/>
  <c r="F84" i="5" s="1"/>
  <c r="E46" i="5"/>
  <c r="A4" i="75" l="1"/>
  <c r="A79" i="75" s="1"/>
  <c r="C137" i="75"/>
  <c r="C136" i="75"/>
  <c r="F123" i="75"/>
  <c r="B123" i="75"/>
  <c r="F120" i="75"/>
  <c r="B120" i="75"/>
  <c r="A120" i="75"/>
  <c r="F119" i="75"/>
  <c r="B119" i="75"/>
  <c r="A119" i="75"/>
  <c r="F118" i="75"/>
  <c r="B118" i="75"/>
  <c r="A118" i="75"/>
  <c r="F117" i="75"/>
  <c r="B117" i="75"/>
  <c r="A117" i="75"/>
  <c r="F116" i="75"/>
  <c r="B116" i="75"/>
  <c r="A116" i="75"/>
  <c r="F115" i="75"/>
  <c r="B115" i="75"/>
  <c r="A115" i="75"/>
  <c r="F114" i="75"/>
  <c r="B114" i="75"/>
  <c r="A114" i="75"/>
  <c r="F113" i="75"/>
  <c r="B113" i="75"/>
  <c r="A113" i="75"/>
  <c r="F112" i="75"/>
  <c r="B112" i="75"/>
  <c r="A112" i="75"/>
  <c r="F111" i="75"/>
  <c r="B111" i="75"/>
  <c r="A111" i="75"/>
  <c r="F110" i="75"/>
  <c r="B110" i="75"/>
  <c r="A110" i="75"/>
  <c r="F109" i="75"/>
  <c r="B109" i="75"/>
  <c r="A109" i="75"/>
  <c r="F108" i="75"/>
  <c r="B108" i="75"/>
  <c r="A108" i="75"/>
  <c r="F107" i="75"/>
  <c r="B107" i="75"/>
  <c r="A107" i="75"/>
  <c r="F106" i="75"/>
  <c r="B106" i="75"/>
  <c r="A106" i="75"/>
  <c r="F105" i="75"/>
  <c r="B105" i="75"/>
  <c r="A105" i="75"/>
  <c r="F103" i="75"/>
  <c r="B103" i="75"/>
  <c r="A103" i="75"/>
  <c r="F102" i="75"/>
  <c r="B102" i="75"/>
  <c r="A102" i="75"/>
  <c r="F101" i="75"/>
  <c r="B101" i="75"/>
  <c r="A101" i="75"/>
  <c r="F100" i="75"/>
  <c r="B100" i="75"/>
  <c r="A100" i="75"/>
  <c r="F99" i="75"/>
  <c r="B99" i="75"/>
  <c r="A99" i="75"/>
  <c r="F98" i="75"/>
  <c r="B98" i="75"/>
  <c r="A98" i="75"/>
  <c r="F97" i="75"/>
  <c r="B97" i="75"/>
  <c r="A97" i="75"/>
  <c r="F96" i="75"/>
  <c r="B96" i="75"/>
  <c r="A96" i="75"/>
  <c r="F95" i="75"/>
  <c r="B95" i="75"/>
  <c r="A95" i="75"/>
  <c r="F94" i="75"/>
  <c r="B94" i="75"/>
  <c r="A94" i="75"/>
  <c r="F93" i="75"/>
  <c r="B93" i="75"/>
  <c r="A93" i="75"/>
  <c r="F92" i="75"/>
  <c r="B92" i="75"/>
  <c r="A92" i="75"/>
  <c r="F91" i="75"/>
  <c r="B91" i="75"/>
  <c r="A91" i="75"/>
  <c r="F90" i="75"/>
  <c r="B90" i="75"/>
  <c r="A90" i="75"/>
  <c r="F89" i="75"/>
  <c r="B89" i="75"/>
  <c r="A89" i="75"/>
  <c r="F88" i="75"/>
  <c r="B88" i="75"/>
  <c r="A88" i="75"/>
  <c r="F87" i="75"/>
  <c r="B87" i="75"/>
  <c r="A87" i="75"/>
  <c r="F86" i="75"/>
  <c r="B86" i="75"/>
  <c r="A86" i="75"/>
  <c r="F85" i="75"/>
  <c r="B85" i="75"/>
  <c r="A85" i="75"/>
  <c r="F84" i="75"/>
  <c r="B84" i="75"/>
  <c r="A84" i="75"/>
  <c r="F83" i="75"/>
  <c r="F121" i="75" s="1"/>
  <c r="B83" i="75"/>
  <c r="A83" i="75"/>
  <c r="A77" i="75"/>
  <c r="A76" i="75"/>
  <c r="C74" i="75"/>
  <c r="C152" i="75" s="1"/>
  <c r="C73" i="75"/>
  <c r="C151" i="75" s="1"/>
  <c r="C70" i="75"/>
  <c r="C148" i="75" s="1"/>
  <c r="C69" i="75"/>
  <c r="C147" i="75" s="1"/>
  <c r="C66" i="75"/>
  <c r="C144" i="75" s="1"/>
  <c r="C65" i="75"/>
  <c r="C143" i="75" s="1"/>
  <c r="C64" i="75"/>
  <c r="C142" i="75" s="1"/>
  <c r="C60" i="75"/>
  <c r="E67" i="75" s="1"/>
  <c r="I10" i="75"/>
  <c r="F125" i="75" l="1"/>
  <c r="F129" i="75" s="1"/>
  <c r="F132" i="75" s="1"/>
  <c r="C75" i="75"/>
  <c r="D74" i="75" s="1"/>
  <c r="C138" i="75"/>
  <c r="E145" i="75" s="1"/>
  <c r="C145" i="75"/>
  <c r="D144" i="75" s="1"/>
  <c r="C149" i="75"/>
  <c r="D148" i="75" s="1"/>
  <c r="C153" i="75"/>
  <c r="D151" i="75" s="1"/>
  <c r="D153" i="75" s="1"/>
  <c r="C71" i="75"/>
  <c r="D69" i="75" s="1"/>
  <c r="C67" i="75"/>
  <c r="D65" i="75" s="1"/>
  <c r="E65" i="75" s="1"/>
  <c r="E75" i="75" s="1"/>
  <c r="D70" i="75" l="1"/>
  <c r="D71" i="75" s="1"/>
  <c r="D143" i="75"/>
  <c r="D73" i="75"/>
  <c r="D75" i="75" s="1"/>
  <c r="D142" i="75"/>
  <c r="E142" i="75" s="1"/>
  <c r="E149" i="75" s="1"/>
  <c r="E148" i="75" s="1"/>
  <c r="E144" i="75"/>
  <c r="D152" i="75"/>
  <c r="E74" i="75"/>
  <c r="D66" i="75"/>
  <c r="E66" i="75" s="1"/>
  <c r="D64" i="75"/>
  <c r="D147" i="75"/>
  <c r="D145" i="75" l="1"/>
  <c r="E143" i="75"/>
  <c r="E153" i="75" s="1"/>
  <c r="E151" i="75" s="1"/>
  <c r="E73" i="75"/>
  <c r="D67" i="75"/>
  <c r="E64" i="75"/>
  <c r="E71" i="75" s="1"/>
  <c r="E147" i="75"/>
  <c r="D149" i="75"/>
  <c r="E152" i="75" l="1"/>
  <c r="E69" i="75"/>
  <c r="E70" i="75"/>
  <c r="A36" i="75" l="1"/>
  <c r="A37" i="75"/>
  <c r="A38" i="75"/>
  <c r="E28" i="5"/>
  <c r="E34" i="5"/>
  <c r="A35" i="75" l="1"/>
  <c r="A30" i="75" l="1"/>
  <c r="B34" i="75"/>
  <c r="A39" i="75" l="1"/>
  <c r="E21" i="56"/>
  <c r="E23" i="56" s="1"/>
  <c r="A40" i="75" l="1"/>
  <c r="F34" i="75"/>
  <c r="G34" i="75" s="1"/>
  <c r="E25" i="56"/>
  <c r="B26" i="75"/>
  <c r="A33" i="75"/>
  <c r="B33" i="75"/>
  <c r="A32" i="75"/>
  <c r="B32" i="75"/>
  <c r="A31" i="75"/>
  <c r="B31" i="75"/>
  <c r="A13" i="75"/>
  <c r="B13" i="75"/>
  <c r="A14" i="75"/>
  <c r="B14" i="75"/>
  <c r="B24" i="75"/>
  <c r="B15" i="75"/>
  <c r="B17" i="75"/>
  <c r="B18" i="75"/>
  <c r="B19" i="75"/>
  <c r="B20" i="75"/>
  <c r="B23" i="75"/>
  <c r="B27" i="75"/>
  <c r="B21" i="75"/>
  <c r="B22" i="75"/>
  <c r="B29" i="75"/>
  <c r="E36" i="5"/>
  <c r="H36" i="5" s="1"/>
  <c r="B11" i="75"/>
  <c r="A12" i="75"/>
  <c r="B12" i="75"/>
  <c r="A11" i="75"/>
  <c r="E15" i="5"/>
  <c r="H15" i="5" s="1"/>
  <c r="E54" i="5"/>
  <c r="H54" i="5" s="1"/>
  <c r="E16" i="5"/>
  <c r="H16" i="5" s="1"/>
  <c r="H21" i="5"/>
  <c r="E22" i="5"/>
  <c r="H22" i="5" s="1"/>
  <c r="E23" i="5"/>
  <c r="H23" i="5" s="1"/>
  <c r="E24" i="5"/>
  <c r="H24" i="5" s="1"/>
  <c r="H28" i="5"/>
  <c r="E29" i="5"/>
  <c r="E30" i="5"/>
  <c r="H30" i="5" s="1"/>
  <c r="H34" i="5"/>
  <c r="E35" i="5"/>
  <c r="H35" i="5" s="1"/>
  <c r="E39" i="5"/>
  <c r="H39" i="5" s="1"/>
  <c r="E40" i="5"/>
  <c r="H40" i="5" s="1"/>
  <c r="E41" i="5"/>
  <c r="H41" i="5" s="1"/>
  <c r="E44" i="5"/>
  <c r="H44" i="5" s="1"/>
  <c r="E45" i="5"/>
  <c r="H45" i="5" s="1"/>
  <c r="E47" i="5"/>
  <c r="H47" i="5" s="1"/>
  <c r="E56" i="5"/>
  <c r="H56" i="5" s="1"/>
  <c r="E57" i="5"/>
  <c r="H57" i="5" s="1"/>
  <c r="E63" i="5"/>
  <c r="H63" i="5" s="1"/>
  <c r="E64" i="5"/>
  <c r="H64" i="5" s="1"/>
  <c r="E65" i="5"/>
  <c r="H65" i="5" s="1"/>
  <c r="H68" i="5"/>
  <c r="E69" i="5"/>
  <c r="H69" i="5" s="1"/>
  <c r="E70" i="5"/>
  <c r="H70" i="5" s="1"/>
  <c r="E71" i="5"/>
  <c r="H71" i="5" s="1"/>
  <c r="H74" i="5"/>
  <c r="H76" i="5"/>
  <c r="H77" i="5"/>
  <c r="E17" i="5"/>
  <c r="H29" i="5" l="1"/>
  <c r="E31" i="5"/>
  <c r="H31" i="5" s="1"/>
  <c r="E66" i="5"/>
  <c r="E48" i="5"/>
  <c r="H48" i="5" s="1"/>
  <c r="E18" i="5"/>
  <c r="H18" i="5" s="1"/>
  <c r="H17" i="5"/>
  <c r="E72" i="5"/>
  <c r="H72" i="5" s="1"/>
  <c r="E25" i="5"/>
  <c r="E37" i="5"/>
  <c r="H37" i="5" s="1"/>
  <c r="H66" i="5" l="1"/>
  <c r="E73" i="5"/>
  <c r="E75" i="5" s="1"/>
  <c r="E82" i="5" s="1"/>
  <c r="E49" i="5"/>
  <c r="E51" i="5" s="1"/>
  <c r="E59" i="5" s="1"/>
  <c r="H25" i="5"/>
  <c r="F29" i="75" l="1"/>
  <c r="G29" i="75" s="1"/>
  <c r="F13" i="75"/>
  <c r="G13" i="75" s="1"/>
  <c r="F26" i="75"/>
  <c r="G26" i="75" s="1"/>
  <c r="H82" i="5"/>
  <c r="F14" i="75"/>
  <c r="G14" i="75" s="1"/>
  <c r="H51" i="5"/>
  <c r="H49" i="5"/>
  <c r="E11" i="75"/>
  <c r="E43" i="75" s="1"/>
  <c r="F20" i="75" l="1"/>
  <c r="G20" i="75" s="1"/>
  <c r="F24" i="75"/>
  <c r="G24" i="75" s="1"/>
  <c r="F17" i="75"/>
  <c r="G17" i="75" s="1"/>
  <c r="F27" i="75"/>
  <c r="G27" i="75" s="1"/>
  <c r="F22" i="75"/>
  <c r="G22" i="75" s="1"/>
  <c r="F19" i="75"/>
  <c r="G19" i="75" s="1"/>
  <c r="F21" i="75"/>
  <c r="G21" i="75" s="1"/>
  <c r="F33" i="75"/>
  <c r="G33" i="75" s="1"/>
  <c r="G11" i="75"/>
  <c r="F23" i="75" l="1"/>
  <c r="G23" i="75" s="1"/>
  <c r="F31" i="75"/>
  <c r="G31" i="75" s="1"/>
  <c r="F15" i="75"/>
  <c r="F18" i="75"/>
  <c r="G18" i="75" s="1"/>
  <c r="F32" i="75"/>
  <c r="G32" i="75" s="1"/>
  <c r="F12" i="75"/>
  <c r="H59" i="5"/>
  <c r="E84" i="5"/>
  <c r="F43" i="75" l="1"/>
  <c r="G15" i="75"/>
  <c r="G12" i="75"/>
  <c r="E28" i="3"/>
  <c r="G43" i="75" l="1"/>
  <c r="F22" i="55" l="1"/>
  <c r="H22" i="55" l="1"/>
  <c r="G22" i="55"/>
  <c r="A15" i="75" l="1"/>
  <c r="A16" i="75" l="1"/>
  <c r="A17" i="75" l="1"/>
  <c r="A18" i="75" l="1"/>
  <c r="A19" i="75" l="1"/>
  <c r="A20" i="75" l="1"/>
  <c r="A21" i="75" l="1"/>
  <c r="A22" i="75" l="1"/>
  <c r="A23" i="75" l="1"/>
  <c r="A24" i="75" l="1"/>
  <c r="A26" i="75" l="1"/>
  <c r="A34" i="75" l="1"/>
  <c r="A29" i="75" l="1"/>
  <c r="A27" i="75" l="1"/>
  <c r="L15" i="55"/>
  <c r="N15" i="55" l="1"/>
  <c r="E86" i="79" s="1"/>
  <c r="P13" i="55"/>
  <c r="N89" i="79" l="1"/>
  <c r="N90" i="79" s="1"/>
  <c r="N84" i="79" s="1"/>
  <c r="E89" i="79"/>
  <c r="G55" i="79"/>
  <c r="G59" i="79" s="1"/>
  <c r="O55" i="79"/>
  <c r="O59" i="79" s="1"/>
  <c r="K55" i="79"/>
  <c r="K59" i="79" s="1"/>
  <c r="S55" i="79"/>
  <c r="S59" i="79" s="1"/>
  <c r="F55" i="79"/>
  <c r="U55" i="79"/>
  <c r="U59" i="79" s="1"/>
  <c r="P55" i="79"/>
  <c r="P59" i="79" s="1"/>
  <c r="V55" i="79"/>
  <c r="V59" i="79" s="1"/>
  <c r="R55" i="79"/>
  <c r="R59" i="79" s="1"/>
  <c r="H55" i="79"/>
  <c r="H59" i="79" s="1"/>
  <c r="L55" i="79"/>
  <c r="L59" i="79" s="1"/>
  <c r="T55" i="79"/>
  <c r="T59" i="79" s="1"/>
  <c r="J55" i="79"/>
  <c r="J59" i="79" s="1"/>
  <c r="Q55" i="79"/>
  <c r="Q59" i="79" s="1"/>
  <c r="M55" i="79"/>
  <c r="M59" i="79" s="1"/>
  <c r="I55" i="79"/>
  <c r="I59" i="79" s="1"/>
  <c r="E45" i="75"/>
  <c r="Q89" i="79" l="1"/>
  <c r="Q90" i="79" s="1"/>
  <c r="Q84" i="79" s="1"/>
  <c r="D20" i="3"/>
  <c r="U89" i="79"/>
  <c r="U90" i="79" s="1"/>
  <c r="U84" i="79" s="1"/>
  <c r="D24" i="3"/>
  <c r="J89" i="79"/>
  <c r="J90" i="79" s="1"/>
  <c r="J84" i="79" s="1"/>
  <c r="D13" i="3"/>
  <c r="I89" i="79"/>
  <c r="I90" i="79" s="1"/>
  <c r="I84" i="79" s="1"/>
  <c r="D12" i="3"/>
  <c r="S89" i="79"/>
  <c r="S90" i="79" s="1"/>
  <c r="S84" i="79" s="1"/>
  <c r="D22" i="3"/>
  <c r="H89" i="79"/>
  <c r="H90" i="79" s="1"/>
  <c r="H84" i="79" s="1"/>
  <c r="D11" i="3"/>
  <c r="O89" i="79"/>
  <c r="O90" i="79" s="1"/>
  <c r="O84" i="79" s="1"/>
  <c r="D18" i="3"/>
  <c r="R89" i="79"/>
  <c r="R90" i="79" s="1"/>
  <c r="R84" i="79" s="1"/>
  <c r="D21" i="3"/>
  <c r="G89" i="79"/>
  <c r="G90" i="79" s="1"/>
  <c r="G84" i="79" s="1"/>
  <c r="D10" i="3"/>
  <c r="T89" i="79"/>
  <c r="T90" i="79" s="1"/>
  <c r="T84" i="79" s="1"/>
  <c r="D23" i="3"/>
  <c r="V89" i="79"/>
  <c r="V90" i="79" s="1"/>
  <c r="V84" i="79" s="1"/>
  <c r="D25" i="3"/>
  <c r="M89" i="79"/>
  <c r="M90" i="79" s="1"/>
  <c r="M84" i="79" s="1"/>
  <c r="D16" i="3"/>
  <c r="L89" i="79"/>
  <c r="L90" i="79" s="1"/>
  <c r="L84" i="79" s="1"/>
  <c r="D15" i="3"/>
  <c r="P89" i="79"/>
  <c r="P90" i="79" s="1"/>
  <c r="P84" i="79" s="1"/>
  <c r="D19" i="3"/>
  <c r="K89" i="79"/>
  <c r="K90" i="79" s="1"/>
  <c r="K84" i="79" s="1"/>
  <c r="D14" i="3"/>
  <c r="E90" i="79"/>
  <c r="E84" i="79" s="1"/>
  <c r="X55" i="79"/>
  <c r="Y55" i="79" s="1"/>
  <c r="F59" i="79"/>
  <c r="I41" i="75"/>
  <c r="I42" i="75"/>
  <c r="I17" i="75"/>
  <c r="I19" i="75"/>
  <c r="I23" i="75"/>
  <c r="I27" i="75"/>
  <c r="I20" i="75"/>
  <c r="I24" i="75"/>
  <c r="I28" i="75"/>
  <c r="I35" i="75"/>
  <c r="I37" i="75"/>
  <c r="I22" i="75"/>
  <c r="I38" i="75"/>
  <c r="I21" i="75"/>
  <c r="I29" i="75"/>
  <c r="I26" i="75"/>
  <c r="I25" i="75"/>
  <c r="I31" i="75"/>
  <c r="I33" i="75"/>
  <c r="I18" i="75"/>
  <c r="I36" i="75"/>
  <c r="I34" i="75"/>
  <c r="I32" i="75"/>
  <c r="I39" i="75"/>
  <c r="I16" i="75"/>
  <c r="I40" i="75"/>
  <c r="I30" i="75"/>
  <c r="I12" i="75"/>
  <c r="I15" i="75"/>
  <c r="E47" i="75"/>
  <c r="E51" i="75" s="1"/>
  <c r="I13" i="75"/>
  <c r="F45" i="75"/>
  <c r="F47" i="75" s="1"/>
  <c r="F51" i="75" s="1"/>
  <c r="F54" i="75" s="1"/>
  <c r="I11" i="75"/>
  <c r="I14" i="75"/>
  <c r="F89" i="79" l="1"/>
  <c r="F90" i="79" s="1"/>
  <c r="F84" i="79" s="1"/>
  <c r="D9" i="3"/>
  <c r="I47" i="75"/>
  <c r="I54" i="75" s="1"/>
  <c r="G47" i="75"/>
  <c r="E54" i="75"/>
  <c r="W54" i="79" s="1"/>
  <c r="J55" i="75" s="1"/>
  <c r="G51" i="75"/>
  <c r="W59" i="79" l="1"/>
  <c r="X54" i="79"/>
  <c r="G54" i="75"/>
  <c r="W89" i="79" l="1"/>
  <c r="W90" i="79" s="1"/>
  <c r="W84" i="79" s="1"/>
  <c r="D26" i="3"/>
  <c r="Y54" i="79"/>
  <c r="Y59" i="79" s="1"/>
  <c r="Y89" i="79" s="1"/>
  <c r="Y90" i="79" s="1"/>
  <c r="Y84" i="79" s="1"/>
  <c r="F20" i="55" s="1"/>
  <c r="X59" i="79"/>
  <c r="X89" i="79" s="1"/>
  <c r="X90" i="79" s="1"/>
  <c r="X84" i="79" s="1"/>
  <c r="F28" i="55" l="1"/>
  <c r="D28" i="3"/>
  <c r="G20" i="55" l="1"/>
  <c r="H20" i="55" s="1"/>
  <c r="G24" i="55" l="1"/>
  <c r="G28" i="55"/>
  <c r="H34" i="55"/>
  <c r="H28" i="55"/>
  <c r="H24" i="55"/>
  <c r="H31" i="55" l="1"/>
  <c r="H32" i="55" s="1"/>
  <c r="H35" i="55" l="1"/>
  <c r="F24" i="55"/>
  <c r="J12" i="56"/>
  <c r="J15" i="56" l="1"/>
  <c r="J17" i="56"/>
  <c r="J19" i="56"/>
  <c r="J21" i="56" l="1"/>
  <c r="J23" i="56" s="1"/>
  <c r="J25" i="56" s="1"/>
  <c r="J27" i="56" l="1"/>
  <c r="J29" i="56" s="1"/>
  <c r="J30" i="56" s="1"/>
</calcChain>
</file>

<file path=xl/comments1.xml><?xml version="1.0" encoding="utf-8"?>
<comments xmlns="http://schemas.openxmlformats.org/spreadsheetml/2006/main">
  <authors>
    <author>gzhkw6</author>
  </authors>
  <commentList>
    <comment ref="I13" authorId="0" shapeId="0">
      <text>
        <r>
          <rPr>
            <b/>
            <sz val="9"/>
            <color indexed="81"/>
            <rFont val="Tahoma"/>
            <family val="2"/>
          </rPr>
          <t>gzhkw6:</t>
        </r>
        <r>
          <rPr>
            <sz val="9"/>
            <color indexed="81"/>
            <rFont val="Tahoma"/>
            <family val="2"/>
          </rPr>
          <t xml:space="preserve">
transportation revenue was overstated  and other revenue was understated in CB reports.  Corrected here.</t>
        </r>
      </text>
    </comment>
    <comment ref="L13" authorId="0" shapeId="0">
      <text>
        <r>
          <rPr>
            <b/>
            <sz val="9"/>
            <color indexed="81"/>
            <rFont val="Tahoma"/>
            <family val="2"/>
          </rPr>
          <t>gzhkw6:</t>
        </r>
        <r>
          <rPr>
            <sz val="9"/>
            <color indexed="81"/>
            <rFont val="Tahoma"/>
            <family val="2"/>
          </rPr>
          <t xml:space="preserve">
put special contract transportation revenue back in transportation revenue, increases other operating revenue same amount</t>
        </r>
      </text>
    </comment>
    <comment ref="R150" authorId="0" shapeId="0">
      <text>
        <r>
          <rPr>
            <b/>
            <sz val="9"/>
            <color indexed="81"/>
            <rFont val="Tahoma"/>
            <family val="2"/>
          </rPr>
          <t>gzhkw6:</t>
        </r>
        <r>
          <rPr>
            <sz val="9"/>
            <color indexed="81"/>
            <rFont val="Tahoma"/>
            <family val="2"/>
          </rPr>
          <t xml:space="preserve">
Reflects dramatic increase in sale of recycled materials which is captured in 06.2013 test year.</t>
        </r>
      </text>
    </comment>
  </commentList>
</comments>
</file>

<file path=xl/comments2.xml><?xml version="1.0" encoding="utf-8"?>
<comments xmlns="http://schemas.openxmlformats.org/spreadsheetml/2006/main">
  <authors>
    <author>gzhkw6</author>
  </authors>
  <commentList>
    <comment ref="T61" authorId="0" shapeId="0">
      <text>
        <r>
          <rPr>
            <b/>
            <sz val="9"/>
            <color indexed="81"/>
            <rFont val="Tahoma"/>
            <family val="2"/>
          </rPr>
          <t>gzhkw6:</t>
        </r>
        <r>
          <rPr>
            <sz val="9"/>
            <color indexed="81"/>
            <rFont val="Tahoma"/>
            <family val="2"/>
          </rPr>
          <t xml:space="preserve">
eliminated in rev norm adj, not changed for cb</t>
        </r>
      </text>
    </comment>
  </commentList>
</comments>
</file>

<file path=xl/comments3.xml><?xml version="1.0" encoding="utf-8"?>
<comments xmlns="http://schemas.openxmlformats.org/spreadsheetml/2006/main">
  <authors>
    <author>gzhkw6</author>
  </authors>
  <commentList>
    <comment ref="R22" authorId="0" shapeId="0">
      <text>
        <r>
          <rPr>
            <b/>
            <sz val="9"/>
            <color indexed="81"/>
            <rFont val="Tahoma"/>
            <family val="2"/>
          </rPr>
          <t>gzhkw6:</t>
        </r>
        <r>
          <rPr>
            <sz val="9"/>
            <color indexed="81"/>
            <rFont val="Tahoma"/>
            <family val="2"/>
          </rPr>
          <t xml:space="preserve">
Eliminate Adder Schedules Adjustment removed the decoupling rebate amortization from CB results</t>
        </r>
      </text>
    </comment>
  </commentList>
</comments>
</file>

<file path=xl/comments4.xml><?xml version="1.0" encoding="utf-8"?>
<comments xmlns="http://schemas.openxmlformats.org/spreadsheetml/2006/main">
  <authors>
    <author>rzk7kq</author>
  </authors>
  <commentList>
    <comment ref="B57"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23"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comments5.xml><?xml version="1.0" encoding="utf-8"?>
<comments xmlns="http://schemas.openxmlformats.org/spreadsheetml/2006/main">
  <authors>
    <author>Avista Corp Employee</author>
  </authors>
  <commentList>
    <comment ref="B101" authorId="0" shapeId="0">
      <text>
        <r>
          <rPr>
            <b/>
            <sz val="8"/>
            <color indexed="81"/>
            <rFont val="Tahoma"/>
            <family val="2"/>
          </rPr>
          <t>5/6/02 - This is revenue from JP Releases</t>
        </r>
      </text>
    </comment>
    <comment ref="J101" authorId="0" shapeId="0">
      <text>
        <r>
          <rPr>
            <b/>
            <sz val="8"/>
            <color indexed="81"/>
            <rFont val="Tahoma"/>
            <family val="2"/>
          </rPr>
          <t>5/6/02 - This is revenue from JP Releases</t>
        </r>
      </text>
    </comment>
  </commentList>
</comments>
</file>

<file path=xl/sharedStrings.xml><?xml version="1.0" encoding="utf-8"?>
<sst xmlns="http://schemas.openxmlformats.org/spreadsheetml/2006/main" count="1316" uniqueCount="704">
  <si>
    <t>Per</t>
  </si>
  <si>
    <t xml:space="preserve">Deferred </t>
  </si>
  <si>
    <t xml:space="preserve">Eliminate </t>
  </si>
  <si>
    <t>Regulatory</t>
  </si>
  <si>
    <t>Injuries</t>
  </si>
  <si>
    <t>Restate</t>
  </si>
  <si>
    <t>Office Space</t>
  </si>
  <si>
    <t>Line</t>
  </si>
  <si>
    <t xml:space="preserve">Results </t>
  </si>
  <si>
    <t>FIT</t>
  </si>
  <si>
    <t xml:space="preserve">B &amp; O </t>
  </si>
  <si>
    <t>Property</t>
  </si>
  <si>
    <t>Expense</t>
  </si>
  <si>
    <t>Debt</t>
  </si>
  <si>
    <t>Charges to</t>
  </si>
  <si>
    <t>No.</t>
  </si>
  <si>
    <t>DESCRIPTION</t>
  </si>
  <si>
    <t>Report</t>
  </si>
  <si>
    <t>Rate Base</t>
  </si>
  <si>
    <t>Adjustment</t>
  </si>
  <si>
    <t>Taxes</t>
  </si>
  <si>
    <t>Tax</t>
  </si>
  <si>
    <t>Damages</t>
  </si>
  <si>
    <t>Interest</t>
  </si>
  <si>
    <t>Subs</t>
  </si>
  <si>
    <t>Total</t>
  </si>
  <si>
    <t>REVENUES</t>
  </si>
  <si>
    <t>Total General Business</t>
  </si>
  <si>
    <t>Total Transportation</t>
  </si>
  <si>
    <t>Other Revenues</t>
  </si>
  <si>
    <t>Total Gas Revenues</t>
  </si>
  <si>
    <t>EXPENSES</t>
  </si>
  <si>
    <t>City Gate Purchases</t>
  </si>
  <si>
    <t>Purchased Gas Expense</t>
  </si>
  <si>
    <t>Net Nat Gas Storage Trans</t>
  </si>
  <si>
    <t>Total Production</t>
  </si>
  <si>
    <t>Underground Storage</t>
  </si>
  <si>
    <t>Operating Expenses</t>
  </si>
  <si>
    <t>Depreciation</t>
  </si>
  <si>
    <t>Total Underground Storage</t>
  </si>
  <si>
    <t>Distribution</t>
  </si>
  <si>
    <t>Total Distribution</t>
  </si>
  <si>
    <t>Customer Accounting</t>
  </si>
  <si>
    <t>Customer Service &amp; Information</t>
  </si>
  <si>
    <t>Sales Expenses</t>
  </si>
  <si>
    <t>Administrative &amp; General</t>
  </si>
  <si>
    <t>Total Admin. &amp; General</t>
  </si>
  <si>
    <t>Total Gas Expense</t>
  </si>
  <si>
    <t>OPERATING INCOME BEFORE FIT</t>
  </si>
  <si>
    <t>FEDERAL INCOME TAX</t>
  </si>
  <si>
    <t>Current Accrual</t>
  </si>
  <si>
    <t>Deferred FIT</t>
  </si>
  <si>
    <t>Amort ITC</t>
  </si>
  <si>
    <t>NET OPERATING INCOME</t>
  </si>
  <si>
    <t>Distribution Plant</t>
  </si>
  <si>
    <t>General Plant</t>
  </si>
  <si>
    <t>Total Plant in Service</t>
  </si>
  <si>
    <t>ACCUMULATED DEPRECIATION</t>
  </si>
  <si>
    <t>GAS INVENTORY</t>
  </si>
  <si>
    <t>GAIN ON SALE OF BUILDING</t>
  </si>
  <si>
    <t>TOTAL RATE BASE</t>
  </si>
  <si>
    <t>Washington Gas</t>
  </si>
  <si>
    <t>Column</t>
  </si>
  <si>
    <t>Description</t>
  </si>
  <si>
    <t xml:space="preserve">NOI   </t>
  </si>
  <si>
    <t>ROR</t>
  </si>
  <si>
    <t xml:space="preserve">     Restated Total</t>
  </si>
  <si>
    <t>PER RESULTS OF</t>
  </si>
  <si>
    <t>OPERATIONS REPORTS</t>
  </si>
  <si>
    <t xml:space="preserve">(000'S OF DOLLARS)   </t>
  </si>
  <si>
    <t>GAS</t>
  </si>
  <si>
    <t>System</t>
  </si>
  <si>
    <t>Washington</t>
  </si>
  <si>
    <t>Idaho</t>
  </si>
  <si>
    <t>Check</t>
  </si>
  <si>
    <t xml:space="preserve">Total General Business </t>
  </si>
  <si>
    <t xml:space="preserve">Total Transportation </t>
  </si>
  <si>
    <t xml:space="preserve">   Total Gas Revenues</t>
  </si>
  <si>
    <t xml:space="preserve">   City Gate Purchases</t>
  </si>
  <si>
    <t xml:space="preserve">   Purchased Gas Expense</t>
  </si>
  <si>
    <t xml:space="preserve">   Net Nat. Gas Storage Trans</t>
  </si>
  <si>
    <t xml:space="preserve">      Total Production</t>
  </si>
  <si>
    <t xml:space="preserve">   Operating Expenses</t>
  </si>
  <si>
    <t xml:space="preserve">   Depreciation</t>
  </si>
  <si>
    <t xml:space="preserve">   Taxes</t>
  </si>
  <si>
    <t xml:space="preserve">      Total Underground Storage</t>
  </si>
  <si>
    <t xml:space="preserve">      Total Distribution</t>
  </si>
  <si>
    <t>Sales</t>
  </si>
  <si>
    <t>Administrative and General</t>
  </si>
  <si>
    <t xml:space="preserve">      Total Admin. &amp; General</t>
  </si>
  <si>
    <t>Operating Income before FIT</t>
  </si>
  <si>
    <t>Federal Income Taxes</t>
  </si>
  <si>
    <t xml:space="preserve">   Current Accrual</t>
  </si>
  <si>
    <t xml:space="preserve">   Deferred FIT</t>
  </si>
  <si>
    <t xml:space="preserve">   Amort ITC</t>
  </si>
  <si>
    <t>RATE BASE</t>
  </si>
  <si>
    <t>PLANT IN SERVICE</t>
  </si>
  <si>
    <t xml:space="preserve">   Underground Storage</t>
  </si>
  <si>
    <t xml:space="preserve">   Distribution Plant</t>
  </si>
  <si>
    <t xml:space="preserve">   General Plant incl Intangible</t>
  </si>
  <si>
    <t xml:space="preserve">      Total Plant in Service</t>
  </si>
  <si>
    <t>DEFERRED TAXES</t>
  </si>
  <si>
    <t xml:space="preserve"> </t>
  </si>
  <si>
    <t>AVISTA UTILITIES</t>
  </si>
  <si>
    <t>Uncollectible</t>
  </si>
  <si>
    <t>Gas Cost Adjust</t>
  </si>
  <si>
    <t>(000's)</t>
  </si>
  <si>
    <t>Adjustment Description</t>
  </si>
  <si>
    <t>Adjustments</t>
  </si>
  <si>
    <t>Restated Debt Interest</t>
  </si>
  <si>
    <t>Increase (Decrease) in Interest Expense</t>
  </si>
  <si>
    <t>FIT Rate</t>
  </si>
  <si>
    <t>Increase (Decrease) in FIT</t>
  </si>
  <si>
    <t>Liz</t>
  </si>
  <si>
    <t>Weighted Average Cost of Debt</t>
  </si>
  <si>
    <t xml:space="preserve">     Pro Forma Total</t>
  </si>
  <si>
    <t>Restate Debt Interest</t>
  </si>
  <si>
    <t>Jeanne</t>
  </si>
  <si>
    <t>Net</t>
  </si>
  <si>
    <t>Excise</t>
  </si>
  <si>
    <t xml:space="preserve">Line </t>
  </si>
  <si>
    <t>Capital</t>
  </si>
  <si>
    <t>Weighted</t>
  </si>
  <si>
    <t>Component</t>
  </si>
  <si>
    <t>Structure</t>
  </si>
  <si>
    <t>Cost</t>
  </si>
  <si>
    <t>Conversion Factor</t>
  </si>
  <si>
    <t>Revenue Requirement</t>
  </si>
  <si>
    <t>(000's OF DOLLARS)</t>
  </si>
  <si>
    <t>Revenue Conversion Factor</t>
  </si>
  <si>
    <t>Factor</t>
  </si>
  <si>
    <t>Revenues</t>
  </si>
  <si>
    <t>Expense:</t>
  </si>
  <si>
    <t xml:space="preserve">  Uncollectibles  </t>
  </si>
  <si>
    <t xml:space="preserve">  Commission Fees </t>
  </si>
  <si>
    <t xml:space="preserve">  Washington Excise Tax  </t>
  </si>
  <si>
    <t xml:space="preserve">    Total Expense</t>
  </si>
  <si>
    <t>Net Operating Income Before FIT</t>
  </si>
  <si>
    <t xml:space="preserve">  Federal Income Tax @ 35%</t>
  </si>
  <si>
    <t>REVENUE CONVERSION FACTOR</t>
  </si>
  <si>
    <t>WA Wtd Debt</t>
  </si>
  <si>
    <t>All Inputs</t>
  </si>
  <si>
    <t>NOI Requirement</t>
  </si>
  <si>
    <t xml:space="preserve">Karen </t>
  </si>
  <si>
    <t>Restating</t>
  </si>
  <si>
    <t>REVENUE REQUIREMENT</t>
  </si>
  <si>
    <t>Common Equity</t>
  </si>
  <si>
    <t>NET PLANT</t>
  </si>
  <si>
    <t>Joe</t>
  </si>
  <si>
    <t xml:space="preserve">WORKING CAPITAL </t>
  </si>
  <si>
    <t>WORKING CAPITAL</t>
  </si>
  <si>
    <t>Done</t>
  </si>
  <si>
    <t>Not Done</t>
  </si>
  <si>
    <t>Debt Interest</t>
  </si>
  <si>
    <t>Workpaper Reference</t>
  </si>
  <si>
    <t>G-ROO</t>
  </si>
  <si>
    <t>G-DFIT</t>
  </si>
  <si>
    <t>G-DDC</t>
  </si>
  <si>
    <t>G-EBO</t>
  </si>
  <si>
    <t>G-UE</t>
  </si>
  <si>
    <t>G-RE</t>
  </si>
  <si>
    <t>G-ID</t>
  </si>
  <si>
    <t>G-FIT</t>
  </si>
  <si>
    <t>G-NGL</t>
  </si>
  <si>
    <t>G-OSC</t>
  </si>
  <si>
    <t>G-MR</t>
  </si>
  <si>
    <t>G-RI</t>
  </si>
  <si>
    <t>G-DI</t>
  </si>
  <si>
    <t>Depreciation/Amortization</t>
  </si>
  <si>
    <t xml:space="preserve">WASHINGTON NATURAL GAS RESULTS </t>
  </si>
  <si>
    <t>ACCUMULATED DEPRECIATION/AMORT</t>
  </si>
  <si>
    <t>Net Plant After DFIT</t>
  </si>
  <si>
    <t>Production Expenses</t>
  </si>
  <si>
    <t>Reconciliation</t>
  </si>
  <si>
    <t>FIT Expense</t>
  </si>
  <si>
    <t>Line No. 27</t>
  </si>
  <si>
    <t>ROO</t>
  </si>
  <si>
    <t>TOTAL</t>
  </si>
  <si>
    <t>Below</t>
  </si>
  <si>
    <t>Not Necessary - this calcuation should not be removed from above to determine adj. - LMA</t>
  </si>
  <si>
    <t>Capitalized Interest</t>
  </si>
  <si>
    <t>Equity AFUDC</t>
  </si>
  <si>
    <t>updated for 2006</t>
  </si>
  <si>
    <t>Borrowed AFUDC</t>
  </si>
  <si>
    <t xml:space="preserve">   Capitalized Interest</t>
  </si>
  <si>
    <t>Allocated</t>
  </si>
  <si>
    <t>Amount</t>
  </si>
  <si>
    <t>Percentage</t>
  </si>
  <si>
    <t>Electric CWIP</t>
  </si>
  <si>
    <t>Gas CWIP</t>
  </si>
  <si>
    <t>WPNG CWIP</t>
  </si>
  <si>
    <t xml:space="preserve">   Total</t>
  </si>
  <si>
    <t>WA Electric CWIP</t>
  </si>
  <si>
    <t>ID Electric CWIP</t>
  </si>
  <si>
    <t>WA Gas CWIP</t>
  </si>
  <si>
    <t>ID Gas CWIP</t>
  </si>
  <si>
    <t>Idaho - Electric</t>
  </si>
  <si>
    <t>Restated Rate Base</t>
  </si>
  <si>
    <t>ID excludes STD</t>
  </si>
  <si>
    <t xml:space="preserve"> Interest Per Results (E-FIT-12A)</t>
  </si>
  <si>
    <t>updated for 2007 LMA</t>
  </si>
  <si>
    <t>WP Ref</t>
  </si>
  <si>
    <t>Washington - GAS</t>
  </si>
  <si>
    <t>Interest Per Results (G-FIT-12A)</t>
  </si>
  <si>
    <t>Annette</t>
  </si>
  <si>
    <t>Credits</t>
  </si>
  <si>
    <t xml:space="preserve">   Debt Interest</t>
  </si>
  <si>
    <t>SALES OF GAS:</t>
  </si>
  <si>
    <t>Residential</t>
  </si>
  <si>
    <t>4812XX</t>
  </si>
  <si>
    <t>Commercial - Firm &amp; Interruptible</t>
  </si>
  <si>
    <t>4813XX</t>
  </si>
  <si>
    <t>Industrial-Firm</t>
  </si>
  <si>
    <t>Interruptible</t>
  </si>
  <si>
    <t>499XXX</t>
  </si>
  <si>
    <t>Unbilled Revenue</t>
  </si>
  <si>
    <t>Interdepartmental Revenue</t>
  </si>
  <si>
    <t>TOTAL SALES TO ULTIMATE CUSTOMERS</t>
  </si>
  <si>
    <t>OTHER OPERATING REVENUES:</t>
  </si>
  <si>
    <t>Sales for Resale</t>
  </si>
  <si>
    <t>Miscellaneous Service Revenues</t>
  </si>
  <si>
    <t>Transportation For Others</t>
  </si>
  <si>
    <t>Rent from Gas Property</t>
  </si>
  <si>
    <t>Other Gas Revenues</t>
  </si>
  <si>
    <t>TOTAL OTHER OPERATING REVENUES</t>
  </si>
  <si>
    <t>TOTAL GAS REVENUES</t>
  </si>
  <si>
    <t>PRODUCTION EXPENSES:</t>
  </si>
  <si>
    <t>804/805</t>
  </si>
  <si>
    <t>808XXX</t>
  </si>
  <si>
    <t>Net Natural Gas Storage Transactions</t>
  </si>
  <si>
    <t>Gas Used for Products Extraction</t>
  </si>
  <si>
    <t>Other Gas Expenses</t>
  </si>
  <si>
    <t>Gas Technology Institute (GTI) Expenses</t>
  </si>
  <si>
    <t>TOTAL PRODUCTION EXPENSES</t>
  </si>
  <si>
    <t>UNDERGROUND STORAGE EXPENSES:</t>
  </si>
  <si>
    <t>Supervision &amp; Engineering</t>
  </si>
  <si>
    <t>Other Expenses</t>
  </si>
  <si>
    <t>Other Equipment</t>
  </si>
  <si>
    <t>TOTAL UNDERGROUND STORAGE OPER EXP</t>
  </si>
  <si>
    <t>Depreciation Expense-Underground Storage</t>
  </si>
  <si>
    <t>Amortization Expense-Underground Storage</t>
  </si>
  <si>
    <t>Taxes Other Than FIT</t>
  </si>
  <si>
    <t>TOTAL UG STORAGE DEPR/AMRT/NON-FIT TAXES</t>
  </si>
  <si>
    <t>TOTAL UNDERGROUND STORAGE EXPENSES</t>
  </si>
  <si>
    <t>DISTRIBUTION EXPENSES:</t>
  </si>
  <si>
    <t xml:space="preserve">  OPERATION</t>
  </si>
  <si>
    <t>Distribution Load Dispatching</t>
  </si>
  <si>
    <t>Mains &amp; Services Expenses</t>
  </si>
  <si>
    <t>Measuring &amp; Reg Sta Exp-General</t>
  </si>
  <si>
    <t>Measuring &amp; Reg Sta Exp-Industrial</t>
  </si>
  <si>
    <t>Measuring &amp; Reg Sta Exp-City Gate</t>
  </si>
  <si>
    <t>Meter &amp; House Regulator Expenses</t>
  </si>
  <si>
    <t>Customer Installation Expenses</t>
  </si>
  <si>
    <t>Rents</t>
  </si>
  <si>
    <t xml:space="preserve">  MAINTENANCE</t>
  </si>
  <si>
    <t>Mains</t>
  </si>
  <si>
    <t>Services</t>
  </si>
  <si>
    <t>Meters &amp; House Regulators</t>
  </si>
  <si>
    <t>TOTAL DISTRIBUTION OPERATING EXP</t>
  </si>
  <si>
    <t>Depreciation Expense-Distribution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</si>
  <si>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</si>
  <si>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</si>
  <si>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</si>
  <si>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</si>
  <si>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</si>
  <si>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</si>
  <si>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</si>
  <si>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</si>
  <si>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</si>
  <si>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</si>
  <si>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</si>
  <si>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</si>
  <si>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</si>
  <si>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</si>
  <si>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</si>
  <si>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</si>
  <si>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</si>
  <si>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</si>
  <si>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</si>
  <si>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</si>
  <si>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</si>
  <si>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</si>
  <si>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</si>
  <si>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Expenses Transferred - Credit</t>
  </si>
  <si>
    <t>Outside Services Employed</t>
  </si>
  <si>
    <t>Property Insurance Premium</t>
  </si>
  <si>
    <t>925XXX</t>
  </si>
  <si>
    <t>Injuries and Damages</t>
  </si>
  <si>
    <t>926XXX</t>
  </si>
  <si>
    <t>Employee Pensions and Benefits</t>
  </si>
  <si>
    <t>Regulatory Commission Expenses</t>
  </si>
  <si>
    <t>Miscellaneous General Expenses</t>
  </si>
  <si>
    <t>Maintenance of General Plant</t>
  </si>
  <si>
    <t>TOTAL ADMIN &amp; GEN OPERATING EXP</t>
  </si>
  <si>
    <t>Depreciation Expense-General Plant</t>
  </si>
  <si>
    <t>Amortization Expense - General Plant - 303000</t>
  </si>
  <si>
    <t>Amortization Expense - Misc IT Intangible Plant - 3031XX</t>
  </si>
  <si>
    <t>Amortization Expense-General Plant - 390200, 396200</t>
  </si>
  <si>
    <t>WA GRC Jackson Prairie O&amp;M Deferral</t>
  </si>
  <si>
    <t>Reg Debit Amt Decoupling Surcharge</t>
  </si>
  <si>
    <t>DSIT Amortization - ID</t>
  </si>
  <si>
    <t>407425</t>
  </si>
  <si>
    <t>WA GRC Jackson Prairie Deferral</t>
  </si>
  <si>
    <t>TOTAL A&amp;G DEPR/AMRT/NON-FIT TAXES</t>
  </si>
  <si>
    <t>TOTAL ADMIN &amp; GENERAL EXPENSES</t>
  </si>
  <si>
    <t>TOTAL EXPENSES BEFORE FIT</t>
  </si>
  <si>
    <t>NET OPERATING INCOME BEFORE FIT</t>
  </si>
  <si>
    <t>DEFERRED FEDERAL INCOME TAX</t>
  </si>
  <si>
    <t>AMORTIZED INVESTMENT TAX CREDIT</t>
  </si>
  <si>
    <t>GAS NET OPERATING INCOME</t>
  </si>
  <si>
    <t>INTANGIBLE PLANT:</t>
  </si>
  <si>
    <t>Misc Intangible Plant (303000)</t>
  </si>
  <si>
    <t>3031XX</t>
  </si>
  <si>
    <t>Misc Intangible IT Plant (3031XX)</t>
  </si>
  <si>
    <t xml:space="preserve">  TOTAL INTANGIBLE PLANT</t>
  </si>
  <si>
    <t>UNDERGROUND STORAGE PLANT:</t>
  </si>
  <si>
    <t>350XXX</t>
  </si>
  <si>
    <t>Land &amp; Land Rights</t>
  </si>
  <si>
    <t>351XXX</t>
  </si>
  <si>
    <t>Structures &amp; Improvements</t>
  </si>
  <si>
    <t>352XXX</t>
  </si>
  <si>
    <t>Wells</t>
  </si>
  <si>
    <t>Lines</t>
  </si>
  <si>
    <t>Compressor Station Equipment</t>
  </si>
  <si>
    <t>Measuring &amp; Regulating Equipment</t>
  </si>
  <si>
    <t>Purification Equipment</t>
  </si>
  <si>
    <t>TOTAL UNDERGROUND STORAGE PLANT</t>
  </si>
  <si>
    <t>DISTRIBUTION PLANT:</t>
  </si>
  <si>
    <t>Measuring &amp; Reg Station Equip-General</t>
  </si>
  <si>
    <t>Measuring &amp; Reg Station Equip-City Gate</t>
  </si>
  <si>
    <t>Meters</t>
  </si>
  <si>
    <t>Meter Installations</t>
  </si>
  <si>
    <t>House Regulators</t>
  </si>
  <si>
    <t>House Regulator Installations</t>
  </si>
  <si>
    <t>Industrial Measuring &amp; Reg Sta Equip</t>
  </si>
  <si>
    <t>TOTAL DISTRIBUTION PLANT</t>
  </si>
  <si>
    <t>GENERAL PLANT</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</si>
  <si>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</si>
  <si>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</si>
  <si>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</si>
  <si>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</si>
  <si>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</si>
  <si>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</si>
  <si>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</si>
  <si>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</si>
  <si>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</si>
  <si>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</si>
  <si>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</si>
  <si>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</si>
  <si>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</si>
  <si>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</si>
  <si>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</si>
  <si>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 xml:space="preserve">  TOTAL PLANT IN SERVICE</t>
  </si>
  <si>
    <t xml:space="preserve">  TOTAL ACCUMULATED DEPRECIATION</t>
  </si>
  <si>
    <t>ACCUMULATED AMORTIZATION</t>
  </si>
  <si>
    <t>General Plant - 303000</t>
  </si>
  <si>
    <t>Misc IT Intangible Plant - 3031XX</t>
  </si>
  <si>
    <t>General Plant - 390200, 396200</t>
  </si>
  <si>
    <t xml:space="preserve">  TOTAL ACCUMULATED AMORTIZATION</t>
  </si>
  <si>
    <t xml:space="preserve">  TOTAL ACCUMULATED DEPR/AMORT</t>
  </si>
  <si>
    <t>NET GAS UTILITY PLANT before DFIT</t>
  </si>
  <si>
    <t>ACCUMULATED DFIT</t>
  </si>
  <si>
    <t>ADFIT - Gas Plant In Service</t>
  </si>
  <si>
    <t>ADFIT - Common Plant (282900 from C-DTX)</t>
  </si>
  <si>
    <t>ADFIT - Gas portion of Bond Redemptions</t>
  </si>
  <si>
    <t xml:space="preserve">  TOTAL ACCUMULATED DFIT</t>
  </si>
  <si>
    <t>NET GAS UTILITY PLANT</t>
  </si>
  <si>
    <t>OTHER ADJUSTMENTS:</t>
  </si>
  <si>
    <t>Gain on Sale of General Office Bldg</t>
  </si>
  <si>
    <t>DFIT - Gain on Sale of General Office Bldg</t>
  </si>
  <si>
    <t>Gas Stored - Recoverable Base Gas</t>
  </si>
  <si>
    <t>Gas Inventory--Jackson Prairie</t>
  </si>
  <si>
    <t>Customer Advances</t>
  </si>
  <si>
    <t>Customer Deposits</t>
  </si>
  <si>
    <t>Working Capital</t>
  </si>
  <si>
    <t>DSM Programs</t>
  </si>
  <si>
    <t>TOTAL OTHER ADJUSTMENTS</t>
  </si>
  <si>
    <t>NET RATE BASE</t>
  </si>
  <si>
    <t xml:space="preserve">   Regulatory Amortizations</t>
  </si>
  <si>
    <t>Regulatory Amortizations</t>
  </si>
  <si>
    <t xml:space="preserve">   Depreciation/Amortization</t>
  </si>
  <si>
    <t>ACCUMULATED DEPRECIATION/AMORTIZATION</t>
  </si>
  <si>
    <t xml:space="preserve">      Total Accum. Depreciation/Amort.</t>
  </si>
  <si>
    <t>Total Accumulated Depreciation/Amortization</t>
  </si>
  <si>
    <t>OTHER</t>
  </si>
  <si>
    <t>Reviewed</t>
  </si>
  <si>
    <t>(Pro Forma Restate Debt)</t>
  </si>
  <si>
    <t>All other</t>
  </si>
  <si>
    <t>Summary</t>
  </si>
  <si>
    <t>Pro Forma Rate of Return</t>
  </si>
  <si>
    <t>G-RET</t>
  </si>
  <si>
    <t>R-Ttl</t>
  </si>
  <si>
    <t>PF-STtl</t>
  </si>
  <si>
    <t>O&amp;M</t>
  </si>
  <si>
    <t xml:space="preserve">FIT / </t>
  </si>
  <si>
    <t xml:space="preserve">DFIT </t>
  </si>
  <si>
    <t>Total Debt</t>
  </si>
  <si>
    <t>Revenue requirement</t>
  </si>
  <si>
    <t>Pro Forma Adjustments</t>
  </si>
  <si>
    <t>G-RPT</t>
  </si>
  <si>
    <t>Working</t>
  </si>
  <si>
    <t>G-WC</t>
  </si>
  <si>
    <t>Karen</t>
  </si>
  <si>
    <t xml:space="preserve">Jen </t>
  </si>
  <si>
    <t>ADFIT - Common Plant (283750 from C-DTX)</t>
  </si>
  <si>
    <t>Restated</t>
  </si>
  <si>
    <t>(1)</t>
  </si>
  <si>
    <t>* Line 8 "Total General Business Revenues" includes special contract transportation revenues.</t>
  </si>
  <si>
    <t>WASHINGTON NATURAL GAS</t>
  </si>
  <si>
    <t xml:space="preserve">Weather </t>
  </si>
  <si>
    <t>Normalization /</t>
  </si>
  <si>
    <t>Eliminate</t>
  </si>
  <si>
    <t>Adder</t>
  </si>
  <si>
    <t>Schedules</t>
  </si>
  <si>
    <t>G-EAS</t>
  </si>
  <si>
    <t>RATE OF RETURN</t>
  </si>
  <si>
    <t>Tara</t>
  </si>
  <si>
    <t>Provision for Rate Refund</t>
  </si>
  <si>
    <t>Idaho Earnings Test Amortization</t>
  </si>
  <si>
    <t>Project Compass Deferral - ID</t>
  </si>
  <si>
    <t>407468</t>
  </si>
  <si>
    <t>RESTATEMENT ADJUSTMENTS</t>
  </si>
  <si>
    <t>Restating Adjustments</t>
  </si>
  <si>
    <t xml:space="preserve">Project </t>
  </si>
  <si>
    <t>Compass</t>
  </si>
  <si>
    <t>Deferral</t>
  </si>
  <si>
    <t>G-CD</t>
  </si>
  <si>
    <t>G-WNGC</t>
  </si>
  <si>
    <t>2018</t>
  </si>
  <si>
    <t>Total Base Distribution Revenues*</t>
  </si>
  <si>
    <t>Total Present Billed Revenue</t>
  </si>
  <si>
    <t>Percentage Billed Revenue Increase</t>
  </si>
  <si>
    <t>Percentage Base Distribution Revenue Increase</t>
  </si>
  <si>
    <t>2019</t>
  </si>
  <si>
    <t>Joel</t>
  </si>
  <si>
    <t xml:space="preserve">Joel </t>
  </si>
  <si>
    <t>TWELVE MONTHS ENDED DECEMBER 31, 2016</t>
  </si>
  <si>
    <t>WA Excess Nat Gas Line Extension</t>
  </si>
  <si>
    <t>DFIT - WA Excess Nat Gas Line Extension</t>
  </si>
  <si>
    <t>Incentives</t>
  </si>
  <si>
    <t>Deferred</t>
  </si>
  <si>
    <t xml:space="preserve">Debits and </t>
  </si>
  <si>
    <t>Gains</t>
  </si>
  <si>
    <t xml:space="preserve"> &amp; Losses</t>
  </si>
  <si>
    <t>&amp;</t>
  </si>
  <si>
    <t>Misc. Restating</t>
  </si>
  <si>
    <t>Non-Util / Non-</t>
  </si>
  <si>
    <t>Recurring Expenses</t>
  </si>
  <si>
    <t>ACTUAL</t>
  </si>
  <si>
    <t>RESULTS</t>
  </si>
  <si>
    <t>Authorized ROR</t>
  </si>
  <si>
    <t>Tax on equity return</t>
  </si>
  <si>
    <t>Common</t>
  </si>
  <si>
    <t>Portion</t>
  </si>
  <si>
    <t>2013-2016</t>
  </si>
  <si>
    <t>2018-2020</t>
  </si>
  <si>
    <t>of Total</t>
  </si>
  <si>
    <t>Growth Rate</t>
  </si>
  <si>
    <t>Taxes OTI</t>
  </si>
  <si>
    <t>Net Plant After ADFIT</t>
  </si>
  <si>
    <t>*includes revenue related expenses</t>
  </si>
  <si>
    <t>Annual</t>
  </si>
  <si>
    <t>K-Factor</t>
  </si>
  <si>
    <t>2019-2020</t>
  </si>
  <si>
    <t>NATURAL GAS COST AND REVENUE TREND CALCULATIONS 2013-2016</t>
  </si>
  <si>
    <t>Commission Basis Results of Operations</t>
  </si>
  <si>
    <t>2016</t>
  </si>
  <si>
    <t>Natural Gas Data for Escalators</t>
  </si>
  <si>
    <t>Line No.</t>
  </si>
  <si>
    <t>Exclude Gas Cost and Adder Schedule Expenses (DSM Tariff Rider, Decoupling Surcharge/Rebate) from O&amp;M</t>
  </si>
  <si>
    <t>CBR Line 9</t>
  </si>
  <si>
    <t>CBR Line 13</t>
  </si>
  <si>
    <t>CBR Line 17</t>
  </si>
  <si>
    <t xml:space="preserve">Customer Service and Information </t>
  </si>
  <si>
    <t>CBR Line 18</t>
  </si>
  <si>
    <t>CBR Line 19</t>
  </si>
  <si>
    <t>CBR Line 20</t>
  </si>
  <si>
    <t>Operating expenses excluding production</t>
  </si>
  <si>
    <t>Add Non PGA production O&amp;M expenses</t>
  </si>
  <si>
    <t>Deduct Gas Cost Rev Related Expenses</t>
  </si>
  <si>
    <t>Deduct DSM Tariff Rider Expenses</t>
  </si>
  <si>
    <t>Deduct Decoupling Surcharge/Rebate Expenses</t>
  </si>
  <si>
    <t>Adjusted Operating Expenses</t>
  </si>
  <si>
    <t>Annual Percentage Change</t>
  </si>
  <si>
    <t>CBR Line 10</t>
  </si>
  <si>
    <t>CBR Line 14</t>
  </si>
  <si>
    <t>Planned (Per Rate Period Study)</t>
  </si>
  <si>
    <t>CBR Line 21</t>
  </si>
  <si>
    <t>2020</t>
  </si>
  <si>
    <t>Total Depreciation/Amortization</t>
  </si>
  <si>
    <t>Exclude Adder Schedule amortizations (Decoupling Surcharge/Rebate) from Regulatory Amortizations</t>
  </si>
  <si>
    <t>CBR Line 22</t>
  </si>
  <si>
    <t>Adjusted Regulatory Amortizations</t>
  </si>
  <si>
    <t>Exclude Gas Cost and Adder Schedule excise taxes (DSM Tariff Rider, Decoupling Surcharge/Rebate) from Taxes Other Than Income Tax</t>
  </si>
  <si>
    <t>CBR Line 11</t>
  </si>
  <si>
    <t>CBR Line 15</t>
  </si>
  <si>
    <t>CBR Line 23</t>
  </si>
  <si>
    <t>Total Taxes Other Than Income</t>
  </si>
  <si>
    <t>Deduct Gas Cost Excise Tax</t>
  </si>
  <si>
    <t>Deduct DSM Tariff Rider Excise Tax</t>
  </si>
  <si>
    <t>Deduct Decoupling Surcharge/Rebate Excise Tax</t>
  </si>
  <si>
    <t>Adjusted Taxes Other Than Income</t>
  </si>
  <si>
    <t>Net Plant After Deferred Income Tax</t>
  </si>
  <si>
    <t>CBR Line 42</t>
  </si>
  <si>
    <t>Total Rate Base</t>
  </si>
  <si>
    <t>CBR Line 47</t>
  </si>
  <si>
    <t>Exclude Gas Cost Deferral related and JP Storage non-recurring revenues from Other Operating Revenue</t>
  </si>
  <si>
    <t>Other Operating Revenue</t>
  </si>
  <si>
    <t>CBR Line 3</t>
  </si>
  <si>
    <t>Deduct Gas Cost Deferral related revenues</t>
  </si>
  <si>
    <t>Deduct JP Storage allocated revenue (ended 2007)</t>
  </si>
  <si>
    <t>Eliminate Decoupling Deferred Revenue and Provision for Rate Refund</t>
  </si>
  <si>
    <t>Adjusted Other Operating Revenue</t>
  </si>
  <si>
    <t>ANNUAL AND COMPOUND GROWTH RATES</t>
  </si>
  <si>
    <t>Annual Growth Rates</t>
  </si>
  <si>
    <t>2007-2008</t>
  </si>
  <si>
    <t>2008-2009</t>
  </si>
  <si>
    <t>2009-2010</t>
  </si>
  <si>
    <t>2010-2011</t>
  </si>
  <si>
    <t>2011-2012</t>
  </si>
  <si>
    <t>2012-2013</t>
  </si>
  <si>
    <t>2013-2014</t>
  </si>
  <si>
    <t>2014-2015</t>
  </si>
  <si>
    <t>2015-2016</t>
  </si>
  <si>
    <t>Adjusted Depreciation/Amortization</t>
  </si>
  <si>
    <t>Adjusted Taxes Other than Income</t>
  </si>
  <si>
    <t>Rate base</t>
  </si>
  <si>
    <t>Adjusted Other Revenue</t>
  </si>
  <si>
    <t>Compound Growth Rates to 2016</t>
  </si>
  <si>
    <t>2007-2016</t>
  </si>
  <si>
    <t>2008-2016</t>
  </si>
  <si>
    <t>2009-2016</t>
  </si>
  <si>
    <t>2010-2016</t>
  </si>
  <si>
    <t>2011-2016</t>
  </si>
  <si>
    <t>2012-2016</t>
  </si>
  <si>
    <t>10% efficiency deduction</t>
  </si>
  <si>
    <t>Net Plant After Deferred Income Taxes</t>
  </si>
  <si>
    <t>2.333-year Growth Rate  (12ME 2016 AMA to 12ME 04.30.2019 AMA)</t>
  </si>
  <si>
    <t>2.5 year</t>
  </si>
  <si>
    <t>2 year</t>
  </si>
  <si>
    <t>Adjusted taxes other than income</t>
  </si>
  <si>
    <t>Total K Factor %</t>
  </si>
  <si>
    <t>COMMISSION BASIS REPORTS INPUT</t>
  </si>
  <si>
    <t>ADDED</t>
  </si>
  <si>
    <t>2004*</t>
  </si>
  <si>
    <t>2006*</t>
  </si>
  <si>
    <t xml:space="preserve">       2007       </t>
  </si>
  <si>
    <t xml:space="preserve">       2008       </t>
  </si>
  <si>
    <t xml:space="preserve">       2009       </t>
  </si>
  <si>
    <t xml:space="preserve">       2010       </t>
  </si>
  <si>
    <t xml:space="preserve">       2011       </t>
  </si>
  <si>
    <t xml:space="preserve">       2012       </t>
  </si>
  <si>
    <t xml:space="preserve">       2013  **     </t>
  </si>
  <si>
    <t xml:space="preserve">       2014  **     </t>
  </si>
  <si>
    <t xml:space="preserve">       2015  **     </t>
  </si>
  <si>
    <t>2016**</t>
  </si>
  <si>
    <t>Remove</t>
  </si>
  <si>
    <t>Decoup.</t>
  </si>
  <si>
    <t>(Note 1)</t>
  </si>
  <si>
    <t>DSM</t>
  </si>
  <si>
    <t>Gas Cost</t>
  </si>
  <si>
    <t>Amort.</t>
  </si>
  <si>
    <t>Note 1:  Washington gas 12ME December 2013 conversion factor amounts.</t>
  </si>
  <si>
    <t xml:space="preserve">* </t>
  </si>
  <si>
    <t>In the 2004 and 2006 CBR's the DSM was removed in the revenue normalization adjustment.</t>
  </si>
  <si>
    <t>**</t>
  </si>
  <si>
    <t xml:space="preserve">2013 Commission Basis Report included Eliminate Adder Schedule adjustment that removed the DSM Tariff Rider and the Decoupling Rebate revenues and expenses, also consolidated all PGA related gas costs into "City Gate Purchases" </t>
  </si>
  <si>
    <t>Sales For Resale Revenue</t>
  </si>
  <si>
    <t>Non PGA Gas Expense</t>
  </si>
  <si>
    <t>check</t>
  </si>
  <si>
    <t xml:space="preserve">AVISTA UTILITIES  </t>
  </si>
  <si>
    <t xml:space="preserve">WASHINGTON NATURAL GAS RESULTS  </t>
  </si>
  <si>
    <t>TWELVE MONTHS ENDED DECEMBER 31, 2000 - 2015</t>
  </si>
  <si>
    <t xml:space="preserve">(000'S OF DOLLARS)  </t>
  </si>
  <si>
    <t>Administration and General as filed</t>
  </si>
  <si>
    <t>Depreciation Expense - General Plant</t>
  </si>
  <si>
    <t>Amortization Expense - Intangible Plant</t>
  </si>
  <si>
    <t>Amortization Expense - Leasehold Improvements</t>
  </si>
  <si>
    <t>Total Plant Related Depreciation/Amortization</t>
  </si>
  <si>
    <t>Hamilton Street Bridge Amortization</t>
  </si>
  <si>
    <t>WA GRC JP O&amp;M Deferral</t>
  </si>
  <si>
    <t>WA Decoupling Deferral</t>
  </si>
  <si>
    <t>WA Decoupling Amortization</t>
  </si>
  <si>
    <t>Revenue</t>
  </si>
  <si>
    <t>Project Compass Deferral</t>
  </si>
  <si>
    <t>(Reg adj only, not on books 2015-2017)</t>
  </si>
  <si>
    <t>Total Regulatory Amortizations</t>
  </si>
  <si>
    <t>Check Total</t>
  </si>
  <si>
    <t>Regulatory Deferrals &amp; Amorts Excluding Revenue</t>
  </si>
  <si>
    <t>Deferred Debits and Credits</t>
  </si>
  <si>
    <t>ADFIT on Gain on Sale of Office Bldg</t>
  </si>
  <si>
    <t>ADFIT</t>
  </si>
  <si>
    <t>DSM Investment</t>
  </si>
  <si>
    <t>Dist Plant</t>
  </si>
  <si>
    <t>Other</t>
  </si>
  <si>
    <t>Commission Basis</t>
  </si>
  <si>
    <t>Base Rate Change</t>
  </si>
  <si>
    <t>Per K-Factor Restated Commission Basis Study</t>
  </si>
  <si>
    <t>CALCULATION OF K-FACTOR STUDY REVENUE</t>
  </si>
  <si>
    <t>Revenue Requirement -Restated CB          (At Proposed Capital Structure)</t>
  </si>
  <si>
    <t>K-FACTOR RESTATED COMMISSION BASIS STUDY</t>
  </si>
  <si>
    <t>Revenue on CB *</t>
  </si>
  <si>
    <t xml:space="preserve">Revenues Growth: (Per Adj. 18.04 w/ps - 2.333 years from 2016 to 04.30.2019) </t>
  </si>
  <si>
    <t>(000's of Dollars)</t>
  </si>
  <si>
    <t>(a)</t>
  </si>
  <si>
    <t>(b)</t>
  </si>
  <si>
    <t>(c)</t>
  </si>
  <si>
    <t xml:space="preserve">Natural Gas K-Factor Growth  Rate Analysis </t>
  </si>
  <si>
    <t xml:space="preserve">No. </t>
  </si>
  <si>
    <t>Tax on Equity Return</t>
  </si>
  <si>
    <t xml:space="preserve">Total % to apply to RB </t>
  </si>
  <si>
    <t>Non-gas cost revenues (1)</t>
  </si>
  <si>
    <t xml:space="preserve">(1) Non-gas cost Revenues, covering investment-related costs and operating expenses. </t>
  </si>
  <si>
    <t>Rate Yrs 2 &amp; 3</t>
  </si>
  <si>
    <t>Rate Year 1</t>
  </si>
  <si>
    <t>Rate Years 2 &amp; 3</t>
  </si>
  <si>
    <t>Capital Structure</t>
  </si>
  <si>
    <t>The following information provides the Company's "K-Factor Study" results for the period 5/1/2018 through 4/30/2021.  This Study provides the K-Factor calculations for Rate Years 1 - 3, as well as the revenue requirement results if the K-Factor was applied for each year during the Three-Year Rate Plan. The revenue requirement for each of the years effective May 1, 2018, May 1, 2019 and May 1, 2020 shown in this Study are provided to support that requested by the Company during the 5/1/2018 - 4/30/2021 Three-Year Rate Plan.    See Exh. EMA-7 for the EOP Rate Base Study representing the Company's requested natural gas rate relief proposed in this case.</t>
  </si>
  <si>
    <t>K-Factor Calculation - Rate Year 1:</t>
  </si>
  <si>
    <t>Category</t>
  </si>
  <si>
    <t>Growth Rate 2013-2016</t>
  </si>
  <si>
    <t>Revenue Portion of Category</t>
  </si>
  <si>
    <t>K-Factor %              (a) x (b)</t>
  </si>
  <si>
    <r>
      <t>Depreciation/Amortization</t>
    </r>
    <r>
      <rPr>
        <b/>
        <vertAlign val="superscript"/>
        <sz val="12"/>
        <color theme="1"/>
        <rFont val="Times New Roman"/>
        <family val="1"/>
      </rPr>
      <t>(1)</t>
    </r>
  </si>
  <si>
    <t>Taxes Other than Income</t>
  </si>
  <si>
    <t xml:space="preserve">Annual Growth In Sales Revenue </t>
  </si>
  <si>
    <t xml:space="preserve"> Total K-Factor % </t>
  </si>
  <si>
    <t>See Exh. EMA- 8, page 8 for growth rates and page 6 for revenue proportion and annual growth in sales revenue.</t>
  </si>
  <si>
    <r>
      <rPr>
        <b/>
        <vertAlign val="superscript"/>
        <sz val="10"/>
        <rFont val="Times New Roman"/>
        <family val="1"/>
      </rPr>
      <t xml:space="preserve">(1) </t>
    </r>
    <r>
      <rPr>
        <b/>
        <sz val="10"/>
        <rFont val="Times New Roman"/>
        <family val="1"/>
      </rPr>
      <t>The growth rate in depreciation/amortization expense is primarily driven by shorter-lived assets representing a higher proportion of investment in recent years.</t>
    </r>
  </si>
  <si>
    <t>K-Factor Calculation - Rate Year 2 &amp; 3:</t>
  </si>
  <si>
    <t>(d)</t>
  </si>
  <si>
    <t>Growth Rate                   2018-2020</t>
  </si>
  <si>
    <t>Operating Expenses*</t>
  </si>
  <si>
    <t>Annual Growth In Sales Revenue*</t>
  </si>
  <si>
    <t>See Exh. EMA- 4, page 9 for growth rates and page 7 for revenue proportion and annual growth in sales revenue.</t>
  </si>
  <si>
    <t>Reflects a 10% efficiency adjustment in O&amp;M expenses and decreases in the growth in net plant after ADFIT in 2019 and 2020.</t>
  </si>
  <si>
    <t>Total 05/01/2019 Revenue Increase (Rate Period 2, per pg 6)</t>
  </si>
  <si>
    <t>Total 05/01/2020 Revenue Increase (Rate Period 3, per pg 6)</t>
  </si>
  <si>
    <t xml:space="preserve"> COST OF CAPITAL</t>
  </si>
  <si>
    <t>2016 Restated</t>
  </si>
  <si>
    <t>Avista Revised Revenue Growth Factor (K-Factor) for Rate Years 2 and 3 (May 1, 2019 and May 1, 2020)</t>
  </si>
  <si>
    <t>Operating Expenses - UTC Indices</t>
  </si>
  <si>
    <t>Annual Growth In Sales Revenue (2)</t>
  </si>
  <si>
    <t>Operating Expenses (1)</t>
  </si>
  <si>
    <t>Net Plant After ADFIT (2)</t>
  </si>
  <si>
    <t>See Exh. CSH-4, page 1.</t>
  </si>
  <si>
    <t>Growth Rate     2013-2016</t>
  </si>
  <si>
    <t>NATURAL GAS</t>
  </si>
  <si>
    <t>Staff Composite Revenue Escalator Calculation</t>
  </si>
  <si>
    <t>Avista Revised Revenue Growth Escalator (K-Factor) Calculation</t>
  </si>
  <si>
    <t>Agreed-to Growth Rate</t>
  </si>
  <si>
    <t>Growth Rate        2007-2016</t>
  </si>
  <si>
    <t>Weighted Avg Escalation              (a) or (b) x (c)</t>
  </si>
  <si>
    <t>See Exh. EMA- 14, page 4 for growth rates and page 2 for revenue proportion and annual growth in sales revenue.</t>
  </si>
  <si>
    <t>(1) On rebuttal Avista agrees with Staff's operating expenses growth component.</t>
  </si>
  <si>
    <t>(2) Staff witness Mr. Hancock supports Avista's Net Plant after ADFIT and Annual Growth in Sales Revenue components.</t>
  </si>
  <si>
    <t xml:space="preserve">REVENUE GROWTH FACTOR (K-FACTOR) CALCULATION </t>
  </si>
  <si>
    <t>Agree to Staff</t>
  </si>
  <si>
    <t>Reduction to Growth in Net Plant 2019-2020 Staff Agrees</t>
  </si>
  <si>
    <t xml:space="preserve">used Staff's proposed  = </t>
  </si>
  <si>
    <t>See page 1</t>
  </si>
  <si>
    <t>Agreed to Staff, See page 1</t>
  </si>
  <si>
    <t>Staff Agreed</t>
  </si>
  <si>
    <t>(Shaded rows or percentages represent agreement between Company and Staff)</t>
  </si>
  <si>
    <t>(Shaded rows or %'s represent agreement between Company and Staff)</t>
  </si>
  <si>
    <t xml:space="preserve"> Total Escalator % Company</t>
  </si>
  <si>
    <t xml:space="preserve"> Total Escalator % Staff</t>
  </si>
  <si>
    <t>(RB*8.78%)</t>
  </si>
  <si>
    <t xml:space="preserve">Revised Rate Base (1) </t>
  </si>
  <si>
    <r>
      <t xml:space="preserve">(1) Reduction in net plant compared to previous years trend warrants a growth rate reduction for the 2-Year period 2019-2020.  This is based on planned transfers to plant and impacts of A/D &amp; ADFIT for those years. Reductions in net plant in 2019 and 2020 results from: 1) timing of transfers to plant (less in 2019-2020); 2) the continuing impact of repairs </t>
    </r>
    <r>
      <rPr>
        <b/>
        <strike/>
        <sz val="9"/>
        <rFont val="Times New Roman"/>
        <family val="1"/>
      </rPr>
      <t>and bonus depreciation</t>
    </r>
    <r>
      <rPr>
        <b/>
        <sz val="9"/>
        <rFont val="Times New Roman"/>
        <family val="1"/>
      </rPr>
      <t xml:space="preserve"> on ADFIT through 2020; and 3) carrying forward A/D on all plant from December 31, 2016 on an AMA basis to each rate year, increases A/D, reducing the net plant adjustment amount in each year.</t>
    </r>
  </si>
  <si>
    <t>As filed</t>
  </si>
  <si>
    <t>As Filed</t>
  </si>
  <si>
    <t>Revised to exclude expired "Bonus" depreciation</t>
  </si>
  <si>
    <t>IF Staff agreed to revised % as a result of expiring bonus depreciation deduction.</t>
  </si>
  <si>
    <r>
      <t xml:space="preserve">CALCULATION OF </t>
    </r>
    <r>
      <rPr>
        <b/>
        <u/>
        <sz val="9"/>
        <rFont val="Times New Roman"/>
        <family val="1"/>
      </rPr>
      <t>REQUESTED</t>
    </r>
    <r>
      <rPr>
        <b/>
        <sz val="9"/>
        <rFont val="Times New Roman"/>
        <family val="1"/>
      </rPr>
      <t xml:space="preserve"> GENERAL REVENUE REQUIREMENT</t>
    </r>
  </si>
  <si>
    <t>PROPOSED COST OF CAPITAL</t>
  </si>
  <si>
    <t>Proposed Capital Structure*</t>
  </si>
  <si>
    <t>May 1, 2018</t>
  </si>
  <si>
    <t>(000's of              Dollars)</t>
  </si>
  <si>
    <t xml:space="preserve">Pro Forma Rate Base </t>
  </si>
  <si>
    <t>Proposed Rate of Return</t>
  </si>
  <si>
    <t>Net Operating Income Requirement</t>
  </si>
  <si>
    <t>Pro Forma Net Operating Income</t>
  </si>
  <si>
    <t>* Based on rate year estimated capital structure and cost of debt.</t>
  </si>
  <si>
    <t>Net Operating Income Deficiency</t>
  </si>
  <si>
    <t>Revenue Requirement - 2016</t>
  </si>
  <si>
    <t>REVISED TO REFLECT TCJA</t>
  </si>
  <si>
    <t>Ehrbar Exhibit - 2017 Present Billed Revenue from Ehrbar Exhibit</t>
  </si>
  <si>
    <t>K-Factor Rate Adjustment for Rate Years 2 &amp; 3 (5/1/2019 &amp; 5/1/2020)</t>
  </si>
  <si>
    <t>K-Factor %</t>
  </si>
  <si>
    <t xml:space="preserve"> Delivery Related Revenues 5/1/2018</t>
  </si>
  <si>
    <t>($79,883 + $772 = $80,655)</t>
  </si>
  <si>
    <t>Incremental Revenue</t>
  </si>
  <si>
    <t>Incremental         % (Base)</t>
  </si>
  <si>
    <t>Incremental         % (Billed)</t>
  </si>
  <si>
    <t>Rate Year 2: 5/1/2019 - 4/30/2020</t>
  </si>
  <si>
    <t>Delivery Related Revenues 5/1/2019</t>
  </si>
  <si>
    <t>($90,762 + $4,220 = $94,982)</t>
  </si>
  <si>
    <t>Rate Year 3: 5/1/2020 - 4/30/2021</t>
  </si>
  <si>
    <t>*</t>
  </si>
  <si>
    <t>Current Delivery Related Revenues per Exh. EMA-14, pg 2.</t>
  </si>
  <si>
    <t>per Revised Exh. EMA-13, pg 2.</t>
  </si>
  <si>
    <t>5/1/2018 Proposed Revenue Increase from line 7</t>
  </si>
  <si>
    <t>REVISED without Bonus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</si>
</sst>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 ;\(#,##0\)"/>
    <numFmt numFmtId="167" formatCode="0.0%"/>
    <numFmt numFmtId="168" formatCode="0.000000"/>
    <numFmt numFmtId="169" formatCode="0.000%"/>
    <numFmt numFmtId="170" formatCode="&quot;x &quot;0.00"/>
    <numFmt numFmtId="171" formatCode="&quot;x &quot;0.000"/>
    <numFmt numFmtId="172" formatCode="_(* #,##0_);_(* \(#,##0\);_(* &quot;-&quot;??_);_(@_)"/>
    <numFmt numFmtId="173" formatCode="_(&quot;$&quot;* #,##0_);_(&quot;$&quot;* \(#,##0\);_(&quot;$&quot;* &quot;-&quot;??_);_(@_)"/>
    <numFmt numFmtId="174" formatCode="0000.00"/>
    <numFmt numFmtId="175" formatCode="0000"/>
    <numFmt numFmtId="176" formatCode="_(* #,##0.000000_);_(* \(#,##0.000000\);_(* &quot;-&quot;_);_(@_)"/>
    <numFmt numFmtId="177" formatCode="0.0000"/>
    <numFmt numFmtId="178" formatCode="#,##0.000000"/>
  </numFmts>
  <fonts count="76">
    <font>
      <sz val="10"/>
      <name val="Arial"/>
    </font>
    <font>
      <sz val="11"/>
      <color theme="1"/>
      <name val="Calibri"/>
      <family val="2"/>
      <scheme val="minor"/>
    </font>
    <font>
      <sz val="10"/>
      <name val="Arial"/>
      <family val="2"/>
    </font>
    <font>
      <sz val="10"/>
      <name val="Geneva"/>
    </font>
    <font>
      <sz val="9"/>
      <name val="Times New Roman"/>
      <family val="1"/>
    </font>
    <font>
      <sz val="9"/>
      <name val="Times New Roman"/>
      <family val="1"/>
    </font>
    <font>
      <b/>
      <sz val="9"/>
      <name val="Times New Roman"/>
      <family val="1"/>
    </font>
    <font>
      <b/>
      <sz val="9"/>
      <name val="Times New Roman"/>
      <family val="1"/>
    </font>
    <font>
      <i/>
      <sz val="9"/>
      <name val="Times New Roman"/>
      <family val="1"/>
    </font>
    <font>
      <u/>
      <sz val="9"/>
      <name val="Times New Roman"/>
      <family val="1"/>
    </font>
    <font>
      <sz val="10"/>
      <name val="Times New Roman"/>
      <family val="1"/>
    </font>
    <font>
      <b/>
      <sz val="10"/>
      <name val="Times New Roman"/>
      <family val="1"/>
    </font>
    <font>
      <u/>
      <sz val="10"/>
      <name val="Times New Roman"/>
      <family val="1"/>
    </font>
    <font>
      <sz val="9"/>
      <color indexed="8"/>
      <name val="Times New Roman"/>
      <family val="1"/>
    </font>
    <font>
      <sz val="10"/>
      <color indexed="12"/>
      <name val="Times New Roman"/>
      <family val="1"/>
    </font>
    <font>
      <i/>
      <sz val="10"/>
      <name val="Times New Roman"/>
      <family val="1"/>
    </font>
    <font>
      <sz val="9"/>
      <color indexed="10"/>
      <name val="Times New Roman"/>
      <family val="1"/>
    </font>
    <font>
      <sz val="8"/>
      <color indexed="81"/>
      <name val="Tahoma"/>
      <family val="2"/>
    </font>
    <font>
      <b/>
      <sz val="8"/>
      <color indexed="81"/>
      <name val="Tahoma"/>
      <family val="2"/>
    </font>
    <font>
      <b/>
      <sz val="10"/>
      <name val="Times New Roman"/>
      <family val="1"/>
    </font>
    <font>
      <b/>
      <sz val="10"/>
      <color indexed="48"/>
      <name val="Times New Roman"/>
      <family val="1"/>
    </font>
    <font>
      <sz val="10"/>
      <color indexed="48"/>
      <name val="Times New Roman"/>
      <family val="1"/>
    </font>
    <font>
      <b/>
      <sz val="10"/>
      <color indexed="10"/>
      <name val="Times New Roman"/>
      <family val="1"/>
    </font>
    <font>
      <sz val="10"/>
      <name val="Arial"/>
      <family val="2"/>
    </font>
    <font>
      <b/>
      <sz val="14"/>
      <name val="Times New Roman"/>
      <family val="1"/>
    </font>
    <font>
      <sz val="12"/>
      <name val="Times New Roman"/>
      <family val="1"/>
    </font>
    <font>
      <b/>
      <sz val="12"/>
      <name val="Times New Roman"/>
      <family val="1"/>
    </font>
    <font>
      <b/>
      <sz val="12"/>
      <color indexed="10"/>
      <name val="Times New Roman"/>
      <family val="1"/>
    </font>
    <font>
      <sz val="12"/>
      <color indexed="56"/>
      <name val="Times New Roman"/>
      <family val="1"/>
    </font>
    <font>
      <sz val="12"/>
      <name val="Courier New"/>
      <family val="3"/>
    </font>
    <font>
      <b/>
      <sz val="11"/>
      <name val="Times New Roman"/>
      <family val="1"/>
    </font>
    <font>
      <u/>
      <sz val="10"/>
      <color theme="0"/>
      <name val="Arial"/>
      <family val="2"/>
    </font>
    <font>
      <u/>
      <sz val="7.5"/>
      <color theme="0"/>
      <name val="Arial"/>
      <family val="2"/>
    </font>
    <font>
      <sz val="9"/>
      <color theme="1"/>
      <name val="Times New Roman"/>
      <family val="1"/>
    </font>
    <font>
      <b/>
      <sz val="9"/>
      <color theme="1"/>
      <name val="Times New Roman"/>
      <family val="1"/>
    </font>
    <font>
      <b/>
      <sz val="11"/>
      <color theme="1"/>
      <name val="Times New Roman"/>
      <family val="1"/>
    </font>
    <font>
      <sz val="12"/>
      <color theme="1"/>
      <name val="Times New Roman"/>
      <family val="1"/>
    </font>
    <font>
      <sz val="10"/>
      <name val="Geneva"/>
      <family val="2"/>
    </font>
    <font>
      <b/>
      <sz val="10"/>
      <color indexed="12"/>
      <name val="Times New Roman"/>
      <family val="1"/>
    </font>
    <font>
      <u/>
      <sz val="10"/>
      <color indexed="12"/>
      <name val="Times New Roman"/>
      <family val="1"/>
    </font>
    <font>
      <b/>
      <u/>
      <sz val="10"/>
      <name val="Times New Roman"/>
      <family val="1"/>
    </font>
    <font>
      <b/>
      <sz val="8"/>
      <color indexed="10"/>
      <name val="Times New Roman"/>
      <family val="1"/>
    </font>
    <font>
      <sz val="12"/>
      <color indexed="10"/>
      <name val="Times New Roman"/>
      <family val="1"/>
    </font>
    <font>
      <sz val="11"/>
      <name val="Tms Rmn"/>
    </font>
    <font>
      <i/>
      <sz val="8"/>
      <name val="Times New Roman"/>
      <family val="1"/>
    </font>
    <font>
      <sz val="11"/>
      <name val="Times New Roman"/>
      <family val="1"/>
    </font>
    <font>
      <sz val="10"/>
      <name val="Tahoma"/>
      <family val="2"/>
    </font>
    <font>
      <sz val="12"/>
      <name val="Tms Rmn"/>
    </font>
    <font>
      <b/>
      <u/>
      <sz val="9"/>
      <name val="Times New Roman"/>
      <family val="1"/>
    </font>
    <font>
      <b/>
      <sz val="10"/>
      <color rgb="FF002060"/>
      <name val="Times New Roman"/>
      <family val="1"/>
    </font>
    <font>
      <sz val="10"/>
      <color rgb="FF002060"/>
      <name val="Times New Roman"/>
      <family val="1"/>
    </font>
    <font>
      <u/>
      <sz val="10"/>
      <color rgb="FF002060"/>
      <name val="Times New Roman"/>
      <family val="1"/>
    </font>
    <font>
      <b/>
      <sz val="9"/>
      <color rgb="FFFF0000"/>
      <name val="Times New Roman"/>
      <family val="1"/>
    </font>
    <font>
      <sz val="10"/>
      <color rgb="FFFF0000"/>
      <name val="Times New Roman"/>
      <family val="1"/>
    </font>
    <font>
      <u/>
      <sz val="10"/>
      <color rgb="FFFF0000"/>
      <name val="Times New Roman"/>
      <family val="1"/>
    </font>
    <font>
      <sz val="10"/>
      <color rgb="FF000000"/>
      <name val="Times New Roman"/>
      <family val="1"/>
    </font>
    <font>
      <b/>
      <sz val="11"/>
      <color theme="1"/>
      <name val="Calibri"/>
      <family val="2"/>
      <scheme val="minor"/>
    </font>
    <font>
      <sz val="10"/>
      <color theme="1"/>
      <name val="Arial"/>
      <family val="2"/>
    </font>
    <font>
      <b/>
      <sz val="10"/>
      <color theme="1"/>
      <name val="Arial"/>
      <family val="2"/>
    </font>
    <font>
      <b/>
      <sz val="16"/>
      <name val="Times New Roman"/>
      <family val="1"/>
    </font>
    <font>
      <b/>
      <sz val="12"/>
      <color theme="1"/>
      <name val="Times New Roman"/>
      <family val="1"/>
    </font>
    <font>
      <b/>
      <sz val="10"/>
      <color theme="1"/>
      <name val="Times New Roman"/>
      <family val="1"/>
    </font>
    <font>
      <b/>
      <sz val="10"/>
      <name val="Arial"/>
      <family val="2"/>
    </font>
    <font>
      <u/>
      <sz val="9"/>
      <color theme="1"/>
      <name val="Times New Roman"/>
      <family val="1"/>
    </font>
    <font>
      <sz val="10"/>
      <color theme="1"/>
      <name val="Times New Roman"/>
      <family val="1"/>
    </font>
    <font>
      <b/>
      <sz val="9"/>
      <color indexed="81"/>
      <name val="Tahoma"/>
      <family val="2"/>
    </font>
    <font>
      <sz val="9"/>
      <color indexed="81"/>
      <name val="Tahoma"/>
      <family val="2"/>
    </font>
    <font>
      <u/>
      <sz val="10"/>
      <name val="Arial"/>
      <family val="2"/>
    </font>
    <font>
      <b/>
      <u/>
      <sz val="9"/>
      <color theme="1"/>
      <name val="Times New Roman"/>
      <family val="1"/>
    </font>
    <font>
      <b/>
      <vertAlign val="superscript"/>
      <sz val="12"/>
      <color theme="1"/>
      <name val="Times New Roman"/>
      <family val="1"/>
    </font>
    <font>
      <b/>
      <vertAlign val="superscript"/>
      <sz val="10"/>
      <name val="Times New Roman"/>
      <family val="1"/>
    </font>
    <font>
      <b/>
      <u/>
      <sz val="12"/>
      <name val="Times New Roman"/>
      <family val="1"/>
    </font>
    <font>
      <b/>
      <sz val="8"/>
      <name val="Times New Roman"/>
      <family val="1"/>
    </font>
    <font>
      <strike/>
      <sz val="10"/>
      <name val="Arial"/>
      <family val="2"/>
    </font>
    <font>
      <b/>
      <i/>
      <sz val="10"/>
      <name val="Times New Roman"/>
      <family val="1"/>
    </font>
    <font>
      <b/>
      <strike/>
      <sz val="9"/>
      <name val="Times New Roman"/>
      <family val="1"/>
    </font>
  </fonts>
  <fills count="9">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s>
  <cellStyleXfs count="29">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 fillId="0" borderId="0"/>
    <xf numFmtId="0" fontId="37" fillId="0" borderId="0"/>
    <xf numFmtId="44" fontId="2" fillId="0" borderId="0" applyFont="0" applyFill="0" applyBorder="0" applyAlignment="0" applyProtection="0"/>
    <xf numFmtId="0" fontId="42" fillId="3" borderId="0"/>
    <xf numFmtId="0" fontId="25" fillId="0" borderId="0"/>
    <xf numFmtId="0" fontId="2" fillId="0" borderId="0"/>
    <xf numFmtId="0" fontId="2" fillId="0" borderId="0"/>
    <xf numFmtId="9" fontId="2" fillId="0" borderId="0" applyFont="0" applyFill="0" applyBorder="0" applyAlignment="0" applyProtection="0"/>
    <xf numFmtId="0" fontId="37" fillId="0" borderId="0"/>
    <xf numFmtId="43" fontId="46" fillId="0" borderId="0" applyFont="0" applyFill="0" applyBorder="0" applyAlignment="0" applyProtection="0"/>
    <xf numFmtId="0" fontId="37"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57" fillId="0" borderId="0"/>
  </cellStyleXfs>
  <cellXfs count="981">
    <xf numFmtId="0" fontId="0" fillId="0" borderId="0" xfId="0"/>
    <xf numFmtId="0" fontId="4" fillId="0" borderId="0" xfId="6" applyFont="1"/>
    <xf numFmtId="5" fontId="4" fillId="0" borderId="0" xfId="6" applyNumberFormat="1" applyFont="1"/>
    <xf numFmtId="37" fontId="4" fillId="0" borderId="0" xfId="6" applyNumberFormat="1" applyFont="1"/>
    <xf numFmtId="0" fontId="4" fillId="0" borderId="0" xfId="6" applyNumberFormat="1" applyFont="1" applyBorder="1" applyAlignment="1">
      <alignment horizontal="center"/>
    </xf>
    <xf numFmtId="37" fontId="4" fillId="0" borderId="0" xfId="6" applyNumberFormat="1" applyFont="1" applyBorder="1"/>
    <xf numFmtId="10" fontId="4" fillId="0" borderId="0" xfId="7" applyNumberFormat="1" applyFont="1"/>
    <xf numFmtId="0" fontId="5" fillId="0" borderId="0" xfId="0" applyFont="1" applyAlignment="1">
      <alignment horizontal="centerContinuous"/>
    </xf>
    <xf numFmtId="0" fontId="5" fillId="0" borderId="0" xfId="0" applyFont="1"/>
    <xf numFmtId="165" fontId="5" fillId="0" borderId="0" xfId="0" applyNumberFormat="1" applyFont="1" applyAlignment="1">
      <alignment horizontal="right"/>
    </xf>
    <xf numFmtId="166" fontId="5" fillId="0" borderId="0" xfId="0" applyNumberFormat="1" applyFont="1" applyAlignment="1">
      <alignment horizontal="right"/>
    </xf>
    <xf numFmtId="3" fontId="5" fillId="0" borderId="0" xfId="0" applyNumberFormat="1" applyFont="1" applyAlignment="1">
      <alignment horizontal="centerContinuous"/>
    </xf>
    <xf numFmtId="165" fontId="5" fillId="0" borderId="10" xfId="0" applyNumberFormat="1" applyFont="1" applyBorder="1" applyAlignment="1">
      <alignment horizontal="right"/>
    </xf>
    <xf numFmtId="166" fontId="7" fillId="0" borderId="10" xfId="0" applyNumberFormat="1" applyFont="1" applyBorder="1" applyAlignment="1">
      <alignment horizontal="center"/>
    </xf>
    <xf numFmtId="0" fontId="5" fillId="0" borderId="0" xfId="0" applyFont="1" applyAlignment="1">
      <alignment horizontal="center"/>
    </xf>
    <xf numFmtId="166" fontId="5" fillId="0" borderId="0" xfId="0" applyNumberFormat="1" applyFont="1" applyAlignment="1">
      <alignment horizontal="center"/>
    </xf>
    <xf numFmtId="0" fontId="5" fillId="0" borderId="0" xfId="0" applyFont="1" applyBorder="1" applyAlignment="1">
      <alignment horizontal="center"/>
    </xf>
    <xf numFmtId="0" fontId="5" fillId="0" borderId="10" xfId="0" applyFont="1" applyBorder="1" applyAlignment="1">
      <alignment horizontal="centerContinuous"/>
    </xf>
    <xf numFmtId="165" fontId="5" fillId="0" borderId="10" xfId="0" applyNumberFormat="1" applyFont="1" applyBorder="1" applyAlignment="1">
      <alignment horizontal="center"/>
    </xf>
    <xf numFmtId="166" fontId="5" fillId="0" borderId="10" xfId="0" applyNumberFormat="1" applyFont="1" applyBorder="1" applyAlignment="1">
      <alignment horizontal="center"/>
    </xf>
    <xf numFmtId="0" fontId="9" fillId="0" borderId="0" xfId="0" applyFont="1" applyAlignment="1">
      <alignment horizontal="center"/>
    </xf>
    <xf numFmtId="165" fontId="5" fillId="0" borderId="0" xfId="0" applyNumberFormat="1" applyFont="1" applyAlignment="1">
      <alignment horizontal="center"/>
    </xf>
    <xf numFmtId="5" fontId="5" fillId="0" borderId="0" xfId="0" applyNumberFormat="1" applyFont="1"/>
    <xf numFmtId="164" fontId="5" fillId="0" borderId="0" xfId="0" applyNumberFormat="1" applyFont="1"/>
    <xf numFmtId="37" fontId="5" fillId="0" borderId="0" xfId="0" applyNumberFormat="1" applyFont="1"/>
    <xf numFmtId="37" fontId="5" fillId="0" borderId="10" xfId="0" applyNumberFormat="1" applyFont="1" applyBorder="1"/>
    <xf numFmtId="3" fontId="5" fillId="0" borderId="0" xfId="0" applyNumberFormat="1" applyFont="1" applyAlignment="1">
      <alignment horizontal="left"/>
    </xf>
    <xf numFmtId="167" fontId="5" fillId="0" borderId="0" xfId="0" applyNumberFormat="1" applyFont="1"/>
    <xf numFmtId="165" fontId="5" fillId="0" borderId="0" xfId="0" applyNumberFormat="1" applyFont="1"/>
    <xf numFmtId="166" fontId="5" fillId="0" borderId="0" xfId="0" applyNumberFormat="1" applyFont="1"/>
    <xf numFmtId="164" fontId="5" fillId="0" borderId="0" xfId="0" applyNumberFormat="1" applyFont="1" applyAlignment="1">
      <alignment horizontal="left"/>
    </xf>
    <xf numFmtId="5" fontId="5" fillId="0" borderId="12" xfId="0" applyNumberFormat="1" applyFont="1" applyBorder="1"/>
    <xf numFmtId="10" fontId="5" fillId="0" borderId="0" xfId="7" applyNumberFormat="1" applyFont="1"/>
    <xf numFmtId="37" fontId="4" fillId="0" borderId="0" xfId="0" applyNumberFormat="1" applyFont="1"/>
    <xf numFmtId="5" fontId="13" fillId="0" borderId="12" xfId="0" applyNumberFormat="1" applyFont="1" applyBorder="1"/>
    <xf numFmtId="0" fontId="10" fillId="0" borderId="0" xfId="0" applyFont="1"/>
    <xf numFmtId="0" fontId="10" fillId="0" borderId="0" xfId="0" applyFont="1" applyAlignment="1">
      <alignment horizontal="center"/>
    </xf>
    <xf numFmtId="0" fontId="4" fillId="0" borderId="0" xfId="0" applyFont="1"/>
    <xf numFmtId="0" fontId="6" fillId="0" borderId="0" xfId="0" applyFont="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4" fillId="0" borderId="0" xfId="0" applyFont="1" applyAlignment="1">
      <alignment horizontal="center"/>
    </xf>
    <xf numFmtId="0" fontId="10" fillId="0" borderId="0" xfId="0" applyFont="1" applyBorder="1"/>
    <xf numFmtId="5" fontId="10" fillId="0" borderId="0" xfId="0" applyNumberFormat="1" applyFont="1" applyBorder="1"/>
    <xf numFmtId="3" fontId="10" fillId="0" borderId="0" xfId="0" applyNumberFormat="1" applyFont="1" applyBorder="1"/>
    <xf numFmtId="37" fontId="10" fillId="0" borderId="0" xfId="0" applyNumberFormat="1" applyFont="1" applyBorder="1"/>
    <xf numFmtId="6" fontId="10" fillId="0" borderId="0" xfId="2" applyNumberFormat="1" applyFont="1" applyBorder="1"/>
    <xf numFmtId="3" fontId="10" fillId="0" borderId="0" xfId="0" applyNumberFormat="1" applyFont="1"/>
    <xf numFmtId="5" fontId="10" fillId="0" borderId="0" xfId="0" applyNumberFormat="1" applyFont="1"/>
    <xf numFmtId="0" fontId="10" fillId="0" borderId="0" xfId="0" applyFont="1" applyFill="1" applyAlignment="1">
      <alignment horizontal="center"/>
    </xf>
    <xf numFmtId="5" fontId="10" fillId="0" borderId="16" xfId="0" applyNumberFormat="1" applyFont="1" applyBorder="1"/>
    <xf numFmtId="0" fontId="10" fillId="0" borderId="15" xfId="0" applyFont="1" applyBorder="1" applyAlignment="1">
      <alignment horizontal="center"/>
    </xf>
    <xf numFmtId="3" fontId="4" fillId="0" borderId="0" xfId="6" applyNumberFormat="1" applyFont="1"/>
    <xf numFmtId="0" fontId="6" fillId="0" borderId="0" xfId="0" applyFont="1" applyAlignment="1">
      <alignment horizontal="centerContinuous"/>
    </xf>
    <xf numFmtId="37" fontId="4" fillId="0" borderId="0" xfId="5" applyNumberFormat="1" applyFont="1"/>
    <xf numFmtId="0" fontId="4" fillId="0" borderId="0" xfId="0" applyFont="1" applyBorder="1"/>
    <xf numFmtId="168" fontId="11" fillId="0" borderId="0" xfId="0" applyNumberFormat="1" applyFont="1" applyAlignment="1">
      <alignment horizontal="center"/>
    </xf>
    <xf numFmtId="168" fontId="19" fillId="0" borderId="0" xfId="0" applyNumberFormat="1" applyFont="1"/>
    <xf numFmtId="14" fontId="19" fillId="0" borderId="0" xfId="0" applyNumberFormat="1" applyFont="1"/>
    <xf numFmtId="0" fontId="19" fillId="0" borderId="0" xfId="0" applyFont="1"/>
    <xf numFmtId="168" fontId="19" fillId="0" borderId="0" xfId="0" applyNumberFormat="1" applyFont="1" applyAlignment="1">
      <alignment horizontal="right"/>
    </xf>
    <xf numFmtId="168" fontId="10" fillId="0" borderId="0" xfId="0" applyNumberFormat="1" applyFont="1"/>
    <xf numFmtId="168" fontId="20" fillId="0" borderId="0" xfId="0" applyNumberFormat="1" applyFont="1" applyAlignment="1">
      <alignment horizontal="center"/>
    </xf>
    <xf numFmtId="168" fontId="11" fillId="0" borderId="0" xfId="0" applyNumberFormat="1" applyFont="1"/>
    <xf numFmtId="5" fontId="10" fillId="0" borderId="0" xfId="1" applyNumberFormat="1" applyFont="1"/>
    <xf numFmtId="172" fontId="10" fillId="0" borderId="0" xfId="1" applyNumberFormat="1" applyFont="1"/>
    <xf numFmtId="168" fontId="21" fillId="0" borderId="0" xfId="0" applyNumberFormat="1" applyFont="1"/>
    <xf numFmtId="172" fontId="10" fillId="0" borderId="15" xfId="1" applyNumberFormat="1" applyFont="1" applyBorder="1"/>
    <xf numFmtId="172" fontId="10" fillId="0" borderId="0" xfId="1" applyNumberFormat="1" applyFont="1" applyBorder="1"/>
    <xf numFmtId="10" fontId="21" fillId="0" borderId="0" xfId="0" applyNumberFormat="1" applyFont="1"/>
    <xf numFmtId="172" fontId="10" fillId="0" borderId="10" xfId="1" applyNumberFormat="1" applyFont="1" applyBorder="1"/>
    <xf numFmtId="164" fontId="10" fillId="0" borderId="12" xfId="1" applyNumberFormat="1" applyFont="1" applyBorder="1"/>
    <xf numFmtId="0" fontId="15" fillId="0" borderId="0" xfId="0" applyFont="1"/>
    <xf numFmtId="168" fontId="14" fillId="0" borderId="0" xfId="0" applyNumberFormat="1" applyFont="1"/>
    <xf numFmtId="0" fontId="22" fillId="0" borderId="0" xfId="0" applyFont="1"/>
    <xf numFmtId="0" fontId="0" fillId="0" borderId="0" xfId="0" applyFill="1"/>
    <xf numFmtId="0" fontId="10" fillId="0" borderId="0" xfId="0" applyFont="1" applyFill="1" applyBorder="1"/>
    <xf numFmtId="37" fontId="10" fillId="0" borderId="0" xfId="0" applyNumberFormat="1" applyFont="1" applyFill="1" applyBorder="1"/>
    <xf numFmtId="0" fontId="10" fillId="0" borderId="0" xfId="0" applyFont="1" applyFill="1"/>
    <xf numFmtId="0" fontId="16" fillId="0" borderId="0" xfId="0" applyFont="1" applyAlignment="1">
      <alignment horizontal="right"/>
    </xf>
    <xf numFmtId="0" fontId="23" fillId="0" borderId="0" xfId="0" applyFont="1" applyFill="1"/>
    <xf numFmtId="3" fontId="4" fillId="0" borderId="0" xfId="5" applyNumberFormat="1" applyFont="1"/>
    <xf numFmtId="168" fontId="11" fillId="0" borderId="0" xfId="0" applyNumberFormat="1" applyFont="1" applyAlignment="1"/>
    <xf numFmtId="0" fontId="11" fillId="0" borderId="0" xfId="0" applyFont="1" applyAlignment="1">
      <alignment horizontal="centerContinuous"/>
    </xf>
    <xf numFmtId="0" fontId="25" fillId="0" borderId="0" xfId="0" applyFont="1"/>
    <xf numFmtId="0" fontId="25" fillId="0" borderId="0" xfId="0" applyFont="1" applyFill="1"/>
    <xf numFmtId="37" fontId="25" fillId="0" borderId="0" xfId="5" applyNumberFormat="1" applyFont="1"/>
    <xf numFmtId="0" fontId="26" fillId="0" borderId="0" xfId="0" applyFont="1" applyFill="1" applyBorder="1" applyAlignment="1">
      <alignment horizontal="center"/>
    </xf>
    <xf numFmtId="37" fontId="25" fillId="0" borderId="0" xfId="5" applyNumberFormat="1" applyFont="1" applyFill="1" applyBorder="1"/>
    <xf numFmtId="5" fontId="28" fillId="0" borderId="0" xfId="0" applyNumberFormat="1" applyFont="1" applyFill="1" applyBorder="1"/>
    <xf numFmtId="5" fontId="25" fillId="0" borderId="0" xfId="0" applyNumberFormat="1" applyFont="1" applyFill="1" applyBorder="1"/>
    <xf numFmtId="0" fontId="26" fillId="0" borderId="0" xfId="0" applyFont="1" applyFill="1" applyBorder="1"/>
    <xf numFmtId="37" fontId="26" fillId="0" borderId="0" xfId="5" applyNumberFormat="1" applyFont="1" applyFill="1" applyBorder="1" applyAlignment="1">
      <alignment horizontal="center"/>
    </xf>
    <xf numFmtId="0" fontId="11" fillId="0" borderId="0" xfId="0" applyFont="1"/>
    <xf numFmtId="5" fontId="10" fillId="0" borderId="0" xfId="0" applyNumberFormat="1" applyFont="1" applyBorder="1" applyAlignment="1">
      <alignment horizontal="right"/>
    </xf>
    <xf numFmtId="0" fontId="5" fillId="0" borderId="0" xfId="0" applyFont="1" applyAlignment="1">
      <alignment horizontal="right"/>
    </xf>
    <xf numFmtId="0" fontId="5" fillId="0" borderId="16" xfId="0" applyFont="1" applyBorder="1"/>
    <xf numFmtId="5" fontId="5" fillId="0" borderId="0" xfId="0" applyNumberFormat="1" applyFont="1" applyFill="1"/>
    <xf numFmtId="37" fontId="5" fillId="0" borderId="0" xfId="0" applyNumberFormat="1" applyFont="1" applyFill="1"/>
    <xf numFmtId="37" fontId="5" fillId="0" borderId="10" xfId="0" applyNumberFormat="1" applyFont="1" applyFill="1" applyBorder="1"/>
    <xf numFmtId="164" fontId="5" fillId="0" borderId="0" xfId="0" applyNumberFormat="1" applyFont="1" applyFill="1"/>
    <xf numFmtId="172" fontId="5" fillId="0" borderId="0" xfId="1" applyNumberFormat="1" applyFont="1" applyAlignment="1">
      <alignment horizontal="center"/>
    </xf>
    <xf numFmtId="172" fontId="5" fillId="0" borderId="0" xfId="1" applyNumberFormat="1" applyFont="1"/>
    <xf numFmtId="3" fontId="4" fillId="0" borderId="0" xfId="0" applyNumberFormat="1" applyFont="1"/>
    <xf numFmtId="0" fontId="11" fillId="0" borderId="10" xfId="0" applyFont="1" applyBorder="1" applyAlignment="1">
      <alignment horizontal="center"/>
    </xf>
    <xf numFmtId="0" fontId="4" fillId="0" borderId="0" xfId="6" applyNumberFormat="1" applyFont="1" applyAlignment="1">
      <alignment horizontal="center"/>
    </xf>
    <xf numFmtId="0" fontId="11" fillId="0" borderId="0" xfId="0" applyFont="1" applyFill="1" applyAlignment="1">
      <alignment horizontal="left"/>
    </xf>
    <xf numFmtId="37" fontId="10" fillId="0" borderId="0" xfId="0" applyNumberFormat="1" applyFont="1"/>
    <xf numFmtId="168" fontId="6" fillId="0" borderId="0" xfId="0" applyNumberFormat="1" applyFont="1" applyFill="1" applyAlignment="1">
      <alignment horizontal="center"/>
    </xf>
    <xf numFmtId="0" fontId="4" fillId="0" borderId="0" xfId="0" applyFont="1" applyFill="1" applyAlignment="1">
      <alignment horizontal="center"/>
    </xf>
    <xf numFmtId="3" fontId="33" fillId="0" borderId="0" xfId="6" applyNumberFormat="1" applyFont="1" applyFill="1"/>
    <xf numFmtId="0" fontId="33" fillId="0" borderId="0" xfId="6" applyNumberFormat="1" applyFont="1" applyAlignment="1">
      <alignment horizontal="left"/>
    </xf>
    <xf numFmtId="0" fontId="33" fillId="0" borderId="0" xfId="6" applyFont="1"/>
    <xf numFmtId="3" fontId="33" fillId="0" borderId="0" xfId="6" applyNumberFormat="1" applyFont="1"/>
    <xf numFmtId="3" fontId="34" fillId="0" borderId="0" xfId="6" applyNumberFormat="1" applyFont="1"/>
    <xf numFmtId="0" fontId="34" fillId="0" borderId="0" xfId="6" applyNumberFormat="1" applyFont="1" applyAlignment="1">
      <alignment horizontal="center"/>
    </xf>
    <xf numFmtId="0" fontId="34" fillId="0" borderId="0" xfId="6" applyFont="1" applyAlignment="1">
      <alignment horizontal="center"/>
    </xf>
    <xf numFmtId="3" fontId="34" fillId="0" borderId="0" xfId="6" applyNumberFormat="1" applyFont="1" applyAlignment="1">
      <alignment horizontal="center"/>
    </xf>
    <xf numFmtId="0" fontId="34" fillId="0" borderId="1" xfId="6" applyNumberFormat="1" applyFont="1" applyBorder="1" applyAlignment="1">
      <alignment horizontal="center"/>
    </xf>
    <xf numFmtId="0" fontId="34" fillId="0" borderId="2" xfId="6" applyFont="1" applyBorder="1" applyAlignment="1">
      <alignment horizontal="center"/>
    </xf>
    <xf numFmtId="0" fontId="34" fillId="0" borderId="3" xfId="6" applyFont="1" applyBorder="1" applyAlignment="1">
      <alignment horizontal="center"/>
    </xf>
    <xf numFmtId="0" fontId="33" fillId="0" borderId="4" xfId="6" applyFont="1" applyBorder="1"/>
    <xf numFmtId="0" fontId="34" fillId="0" borderId="5" xfId="6" applyNumberFormat="1" applyFont="1" applyBorder="1" applyAlignment="1">
      <alignment horizontal="center"/>
    </xf>
    <xf numFmtId="0" fontId="34" fillId="0" borderId="6" xfId="6" applyFont="1" applyBorder="1" applyAlignment="1">
      <alignment horizontal="center"/>
    </xf>
    <xf numFmtId="0" fontId="34" fillId="0" borderId="0" xfId="6" applyFont="1" applyBorder="1" applyAlignment="1">
      <alignment horizontal="center"/>
    </xf>
    <xf numFmtId="0" fontId="33" fillId="0" borderId="7" xfId="6" applyFont="1" applyBorder="1"/>
    <xf numFmtId="3" fontId="34" fillId="0" borderId="5" xfId="6" applyNumberFormat="1" applyFont="1" applyBorder="1" applyAlignment="1">
      <alignment horizontal="center"/>
    </xf>
    <xf numFmtId="0" fontId="34" fillId="0" borderId="8" xfId="6" applyNumberFormat="1" applyFont="1" applyBorder="1" applyAlignment="1">
      <alignment horizontal="center"/>
    </xf>
    <xf numFmtId="0" fontId="34" fillId="0" borderId="9" xfId="6" applyFont="1" applyBorder="1" applyAlignment="1">
      <alignment horizontal="center"/>
    </xf>
    <xf numFmtId="0" fontId="34" fillId="0" borderId="10" xfId="6" applyFont="1" applyBorder="1" applyAlignment="1">
      <alignment horizontal="center"/>
    </xf>
    <xf numFmtId="0" fontId="34" fillId="0" borderId="11" xfId="6" applyFont="1" applyBorder="1" applyAlignment="1">
      <alignment horizontal="center"/>
    </xf>
    <xf numFmtId="3" fontId="34" fillId="0" borderId="8" xfId="6" applyNumberFormat="1" applyFont="1" applyBorder="1" applyAlignment="1">
      <alignment horizontal="center"/>
    </xf>
    <xf numFmtId="0" fontId="33" fillId="0" borderId="0" xfId="6" applyNumberFormat="1" applyFont="1" applyAlignment="1">
      <alignment horizontal="center"/>
    </xf>
    <xf numFmtId="5" fontId="33" fillId="0" borderId="0" xfId="6" applyNumberFormat="1" applyFont="1"/>
    <xf numFmtId="37" fontId="33" fillId="0" borderId="0" xfId="6" applyNumberFormat="1" applyFont="1"/>
    <xf numFmtId="0" fontId="33" fillId="0" borderId="0" xfId="6" applyNumberFormat="1" applyFont="1" applyBorder="1" applyAlignment="1">
      <alignment horizontal="center"/>
    </xf>
    <xf numFmtId="37" fontId="33" fillId="0" borderId="0" xfId="6" applyNumberFormat="1" applyFont="1" applyBorder="1"/>
    <xf numFmtId="0" fontId="33" fillId="0" borderId="0" xfId="6" applyFont="1" applyBorder="1"/>
    <xf numFmtId="0" fontId="33" fillId="0" borderId="0" xfId="6" applyFont="1" applyFill="1"/>
    <xf numFmtId="0" fontId="33" fillId="0" borderId="0" xfId="6" applyNumberFormat="1" applyFont="1" applyFill="1" applyAlignment="1">
      <alignment horizontal="center"/>
    </xf>
    <xf numFmtId="0" fontId="33" fillId="0" borderId="0" xfId="5" applyFont="1" applyFill="1" applyAlignment="1">
      <alignment horizontal="right"/>
    </xf>
    <xf numFmtId="10" fontId="29" fillId="0" borderId="0" xfId="7" applyNumberFormat="1" applyFont="1" applyFill="1" applyBorder="1"/>
    <xf numFmtId="10" fontId="25" fillId="0" borderId="0" xfId="7" applyNumberFormat="1" applyFont="1" applyFill="1" applyBorder="1"/>
    <xf numFmtId="0" fontId="25" fillId="0" borderId="0" xfId="0" applyFont="1" applyFill="1" applyBorder="1"/>
    <xf numFmtId="37" fontId="25" fillId="0" borderId="0" xfId="3" applyNumberFormat="1" applyFont="1" applyFill="1" applyBorder="1"/>
    <xf numFmtId="37" fontId="25" fillId="0" borderId="0" xfId="3" applyNumberFormat="1" applyFont="1" applyFill="1" applyBorder="1" applyAlignment="1">
      <alignment horizontal="center"/>
    </xf>
    <xf numFmtId="0" fontId="33" fillId="0" borderId="0" xfId="6" applyFont="1" applyAlignment="1">
      <alignment horizontal="left"/>
    </xf>
    <xf numFmtId="4" fontId="10" fillId="0" borderId="0" xfId="0" applyNumberFormat="1" applyFont="1" applyFill="1" applyAlignment="1">
      <alignment horizontal="center"/>
    </xf>
    <xf numFmtId="0" fontId="5" fillId="0" borderId="0" xfId="0" applyFont="1" applyAlignment="1">
      <alignment horizontal="center"/>
    </xf>
    <xf numFmtId="41" fontId="4" fillId="0" borderId="0" xfId="5" applyNumberFormat="1" applyFont="1" applyFill="1"/>
    <xf numFmtId="3" fontId="10" fillId="0" borderId="0" xfId="13" applyNumberFormat="1" applyFont="1"/>
    <xf numFmtId="4" fontId="10" fillId="0" borderId="0" xfId="13" applyNumberFormat="1" applyFont="1" applyBorder="1" applyAlignment="1">
      <alignment horizontal="centerContinuous"/>
    </xf>
    <xf numFmtId="3" fontId="10" fillId="0" borderId="0" xfId="13" applyNumberFormat="1" applyFont="1" applyBorder="1" applyAlignment="1">
      <alignment horizontal="left"/>
    </xf>
    <xf numFmtId="3" fontId="10" fillId="0" borderId="0" xfId="13" applyNumberFormat="1" applyFont="1" applyBorder="1" applyAlignment="1">
      <alignment horizontal="centerContinuous"/>
    </xf>
    <xf numFmtId="0" fontId="10" fillId="0" borderId="0" xfId="13" applyFont="1" applyBorder="1" applyAlignment="1">
      <alignment horizontal="centerContinuous"/>
    </xf>
    <xf numFmtId="3" fontId="10" fillId="0" borderId="0" xfId="13" applyNumberFormat="1" applyFont="1" applyAlignment="1">
      <alignment horizontal="center"/>
    </xf>
    <xf numFmtId="4" fontId="10" fillId="0" borderId="0" xfId="13" applyNumberFormat="1" applyFont="1" applyAlignment="1">
      <alignment horizontal="center"/>
    </xf>
    <xf numFmtId="3" fontId="10" fillId="0" borderId="0" xfId="13" applyNumberFormat="1" applyFont="1" applyAlignment="1">
      <alignment horizontal="left"/>
    </xf>
    <xf numFmtId="0" fontId="10" fillId="0" borderId="0" xfId="13" applyFont="1"/>
    <xf numFmtId="0" fontId="10" fillId="0" borderId="0" xfId="13" applyFont="1" applyAlignment="1">
      <alignment horizontal="center"/>
    </xf>
    <xf numFmtId="3" fontId="10" fillId="0" borderId="10" xfId="13" applyNumberFormat="1" applyFont="1" applyBorder="1" applyAlignment="1">
      <alignment horizontal="left"/>
    </xf>
    <xf numFmtId="0" fontId="10" fillId="0" borderId="10" xfId="13" applyFont="1" applyBorder="1" applyAlignment="1">
      <alignment horizontal="center"/>
    </xf>
    <xf numFmtId="3" fontId="10" fillId="0" borderId="10" xfId="13" applyNumberFormat="1" applyFont="1" applyBorder="1" applyAlignment="1">
      <alignment horizontal="center"/>
    </xf>
    <xf numFmtId="41" fontId="10" fillId="0" borderId="0" xfId="13" applyNumberFormat="1" applyFont="1" applyAlignment="1">
      <alignment horizontal="right"/>
    </xf>
    <xf numFmtId="4" fontId="10" fillId="0" borderId="0" xfId="13" applyNumberFormat="1" applyFont="1" applyAlignment="1">
      <alignment horizontal="left"/>
    </xf>
    <xf numFmtId="164" fontId="10" fillId="0" borderId="0" xfId="13" applyNumberFormat="1" applyFont="1"/>
    <xf numFmtId="0" fontId="10" fillId="0" borderId="0" xfId="13" applyFont="1" applyBorder="1"/>
    <xf numFmtId="4" fontId="22" fillId="0" borderId="0" xfId="13" applyNumberFormat="1" applyFont="1" applyAlignment="1">
      <alignment horizontal="center"/>
    </xf>
    <xf numFmtId="3" fontId="22" fillId="0" borderId="0" xfId="13" applyNumberFormat="1" applyFont="1" applyAlignment="1">
      <alignment horizontal="left"/>
    </xf>
    <xf numFmtId="164" fontId="14" fillId="0" borderId="0" xfId="13" applyNumberFormat="1" applyFont="1"/>
    <xf numFmtId="3" fontId="14" fillId="0" borderId="0" xfId="13" applyNumberFormat="1" applyFont="1"/>
    <xf numFmtId="164" fontId="10" fillId="0" borderId="3" xfId="13" applyNumberFormat="1" applyFont="1" applyBorder="1"/>
    <xf numFmtId="164" fontId="10" fillId="0" borderId="0" xfId="13" applyNumberFormat="1" applyFont="1" applyAlignment="1">
      <alignment horizontal="center"/>
    </xf>
    <xf numFmtId="164" fontId="10" fillId="0" borderId="0" xfId="13" applyNumberFormat="1" applyFont="1" applyFill="1"/>
    <xf numFmtId="10" fontId="10" fillId="0" borderId="0" xfId="13" applyNumberFormat="1" applyFont="1" applyFill="1"/>
    <xf numFmtId="0" fontId="22" fillId="0" borderId="0" xfId="13" applyFont="1"/>
    <xf numFmtId="3" fontId="10" fillId="0" borderId="0" xfId="13" applyNumberFormat="1" applyFont="1" applyFill="1" applyBorder="1"/>
    <xf numFmtId="164" fontId="10" fillId="0" borderId="3" xfId="13" applyNumberFormat="1" applyFont="1" applyFill="1" applyBorder="1"/>
    <xf numFmtId="10" fontId="10" fillId="0" borderId="3" xfId="13" applyNumberFormat="1" applyFont="1" applyFill="1" applyBorder="1"/>
    <xf numFmtId="3" fontId="10" fillId="0" borderId="0" xfId="13" applyNumberFormat="1" applyFont="1" applyFill="1"/>
    <xf numFmtId="169" fontId="10" fillId="0" borderId="0" xfId="7" applyNumberFormat="1" applyFont="1" applyFill="1"/>
    <xf numFmtId="169" fontId="10" fillId="0" borderId="0" xfId="13" applyNumberFormat="1" applyFont="1" applyFill="1"/>
    <xf numFmtId="169" fontId="10" fillId="0" borderId="3" xfId="13" applyNumberFormat="1" applyFont="1" applyFill="1" applyBorder="1"/>
    <xf numFmtId="4" fontId="11" fillId="0" borderId="0" xfId="13" applyNumberFormat="1" applyFont="1" applyAlignment="1">
      <alignment horizontal="centerContinuous"/>
    </xf>
    <xf numFmtId="3" fontId="10" fillId="0" borderId="0" xfId="13" applyNumberFormat="1" applyFont="1" applyAlignment="1">
      <alignment horizontal="centerContinuous"/>
    </xf>
    <xf numFmtId="0" fontId="10" fillId="0" borderId="0" xfId="13" applyFont="1" applyAlignment="1">
      <alignment horizontal="centerContinuous"/>
    </xf>
    <xf numFmtId="4" fontId="40" fillId="0" borderId="0" xfId="13" applyNumberFormat="1" applyFont="1" applyBorder="1" applyAlignment="1">
      <alignment horizontal="centerContinuous"/>
    </xf>
    <xf numFmtId="4" fontId="10" fillId="0" borderId="0" xfId="13" applyNumberFormat="1" applyFont="1" applyAlignment="1">
      <alignment horizontal="centerContinuous"/>
    </xf>
    <xf numFmtId="37" fontId="10" fillId="0" borderId="0" xfId="13" applyNumberFormat="1" applyFont="1" applyAlignment="1">
      <alignment horizontal="right"/>
    </xf>
    <xf numFmtId="3" fontId="41" fillId="0" borderId="0" xfId="13" applyNumberFormat="1" applyFont="1"/>
    <xf numFmtId="0" fontId="15" fillId="0" borderId="0" xfId="13" applyFont="1"/>
    <xf numFmtId="10" fontId="15" fillId="0" borderId="0" xfId="13" applyNumberFormat="1" applyFont="1"/>
    <xf numFmtId="10" fontId="22" fillId="0" borderId="10" xfId="13" applyNumberFormat="1" applyFont="1" applyFill="1" applyBorder="1"/>
    <xf numFmtId="3" fontId="41" fillId="0" borderId="0" xfId="13" applyNumberFormat="1" applyFont="1" applyFill="1"/>
    <xf numFmtId="3" fontId="14" fillId="0" borderId="10" xfId="13" applyNumberFormat="1" applyFont="1" applyBorder="1"/>
    <xf numFmtId="3" fontId="11" fillId="0" borderId="0" xfId="13" applyNumberFormat="1" applyFont="1"/>
    <xf numFmtId="170" fontId="10" fillId="0" borderId="0" xfId="13" applyNumberFormat="1" applyFont="1"/>
    <xf numFmtId="171" fontId="10" fillId="0" borderId="10" xfId="13" applyNumberFormat="1" applyFont="1" applyBorder="1"/>
    <xf numFmtId="164" fontId="10" fillId="0" borderId="17" xfId="13" applyNumberFormat="1" applyFont="1" applyBorder="1"/>
    <xf numFmtId="4" fontId="10" fillId="0" borderId="0" xfId="13" applyNumberFormat="1" applyFont="1"/>
    <xf numFmtId="10" fontId="10" fillId="0" borderId="0" xfId="13" applyNumberFormat="1" applyFont="1"/>
    <xf numFmtId="10" fontId="10" fillId="0" borderId="0" xfId="13" applyNumberFormat="1" applyFont="1" applyBorder="1"/>
    <xf numFmtId="3" fontId="10" fillId="0" borderId="0" xfId="13" applyNumberFormat="1" applyFont="1" applyBorder="1"/>
    <xf numFmtId="10" fontId="10" fillId="0" borderId="3" xfId="13" applyNumberFormat="1" applyFont="1" applyBorder="1"/>
    <xf numFmtId="169" fontId="10" fillId="0" borderId="0" xfId="7" applyNumberFormat="1" applyFont="1"/>
    <xf numFmtId="169" fontId="10" fillId="0" borderId="0" xfId="13" applyNumberFormat="1" applyFont="1"/>
    <xf numFmtId="169" fontId="10" fillId="0" borderId="3" xfId="13" applyNumberFormat="1" applyFont="1" applyBorder="1"/>
    <xf numFmtId="0" fontId="10" fillId="0" borderId="0" xfId="0" applyFont="1" applyAlignment="1">
      <alignment horizontal="left"/>
    </xf>
    <xf numFmtId="4" fontId="10" fillId="0" borderId="0" xfId="0" applyNumberFormat="1" applyFont="1" applyFill="1" applyAlignment="1">
      <alignment horizontal="left"/>
    </xf>
    <xf numFmtId="4" fontId="10" fillId="0" borderId="0" xfId="0" applyNumberFormat="1" applyFont="1" applyAlignment="1">
      <alignment horizontal="left"/>
    </xf>
    <xf numFmtId="41" fontId="10" fillId="0" borderId="0" xfId="13" applyNumberFormat="1" applyFont="1"/>
    <xf numFmtId="41" fontId="10" fillId="0" borderId="0" xfId="1" applyNumberFormat="1" applyFont="1"/>
    <xf numFmtId="41" fontId="10" fillId="0" borderId="10" xfId="1" applyNumberFormat="1" applyFont="1" applyBorder="1"/>
    <xf numFmtId="41" fontId="14" fillId="0" borderId="10" xfId="1" applyNumberFormat="1" applyFont="1" applyFill="1" applyBorder="1"/>
    <xf numFmtId="41" fontId="10" fillId="0" borderId="12" xfId="1" applyNumberFormat="1" applyFont="1" applyBorder="1"/>
    <xf numFmtId="9" fontId="10" fillId="0" borderId="10" xfId="7" applyFont="1" applyBorder="1"/>
    <xf numFmtId="9" fontId="10" fillId="0" borderId="0" xfId="7" applyFont="1"/>
    <xf numFmtId="0" fontId="5" fillId="0" borderId="0" xfId="0" applyFont="1" applyAlignment="1">
      <alignment horizontal="center"/>
    </xf>
    <xf numFmtId="10" fontId="10" fillId="0" borderId="10" xfId="7" applyNumberFormat="1" applyFont="1" applyBorder="1"/>
    <xf numFmtId="10" fontId="33" fillId="0" borderId="0" xfId="7" applyNumberFormat="1" applyFont="1"/>
    <xf numFmtId="37" fontId="5" fillId="0" borderId="15" xfId="0" applyNumberFormat="1" applyFont="1" applyBorder="1"/>
    <xf numFmtId="41" fontId="5" fillId="0" borderId="10" xfId="0" applyNumberFormat="1" applyFont="1" applyBorder="1"/>
    <xf numFmtId="41" fontId="4" fillId="0" borderId="0" xfId="6" applyNumberFormat="1" applyFont="1"/>
    <xf numFmtId="41" fontId="4" fillId="0" borderId="10" xfId="6" applyNumberFormat="1" applyFont="1" applyBorder="1"/>
    <xf numFmtId="41" fontId="4" fillId="0" borderId="15" xfId="6" applyNumberFormat="1" applyFont="1" applyBorder="1"/>
    <xf numFmtId="41" fontId="4" fillId="0" borderId="0" xfId="6" applyNumberFormat="1" applyFont="1" applyBorder="1"/>
    <xf numFmtId="168" fontId="11" fillId="0" borderId="0" xfId="0" applyNumberFormat="1" applyFont="1" applyAlignment="1">
      <alignment horizontal="center"/>
    </xf>
    <xf numFmtId="174" fontId="0" fillId="0" borderId="0" xfId="0" applyNumberFormat="1" applyAlignment="1">
      <alignment horizontal="left"/>
    </xf>
    <xf numFmtId="0" fontId="0" fillId="0" borderId="0" xfId="0" applyAlignment="1">
      <alignment horizontal="left"/>
    </xf>
    <xf numFmtId="3" fontId="0" fillId="0" borderId="0" xfId="0" applyNumberFormat="1" applyAlignment="1">
      <alignment horizontal="left"/>
    </xf>
    <xf numFmtId="175" fontId="0" fillId="0" borderId="0" xfId="0" applyNumberFormat="1" applyAlignment="1">
      <alignment horizontal="left"/>
    </xf>
    <xf numFmtId="175" fontId="0" fillId="0" borderId="0" xfId="0" applyNumberFormat="1" applyFill="1" applyAlignment="1">
      <alignment horizontal="left"/>
    </xf>
    <xf numFmtId="3" fontId="0" fillId="0" borderId="0" xfId="0" applyNumberFormat="1" applyFill="1" applyAlignment="1">
      <alignment horizontal="left"/>
    </xf>
    <xf numFmtId="174" fontId="0" fillId="0" borderId="0" xfId="0" quotePrefix="1" applyNumberFormat="1" applyAlignment="1">
      <alignment horizontal="left"/>
    </xf>
    <xf numFmtId="49" fontId="0" fillId="0" borderId="0" xfId="0" applyNumberFormat="1" applyAlignment="1">
      <alignment horizontal="left"/>
    </xf>
    <xf numFmtId="174" fontId="43" fillId="0" borderId="0" xfId="0" applyNumberFormat="1" applyFont="1"/>
    <xf numFmtId="3" fontId="43" fillId="0" borderId="0" xfId="0" applyNumberFormat="1" applyFont="1"/>
    <xf numFmtId="49" fontId="43" fillId="0" borderId="0" xfId="0" applyNumberFormat="1" applyFont="1" applyFill="1" applyAlignment="1">
      <alignment horizontal="center"/>
    </xf>
    <xf numFmtId="3" fontId="43" fillId="0" borderId="0" xfId="0" applyNumberFormat="1" applyFont="1" applyFill="1"/>
    <xf numFmtId="174" fontId="43" fillId="0" borderId="0" xfId="0" applyNumberFormat="1" applyFont="1" applyAlignment="1">
      <alignment horizontal="center"/>
    </xf>
    <xf numFmtId="175" fontId="43" fillId="0" borderId="0" xfId="0" applyNumberFormat="1" applyFont="1"/>
    <xf numFmtId="175" fontId="43" fillId="0" borderId="0" xfId="0" applyNumberFormat="1" applyFont="1" applyAlignment="1">
      <alignment horizontal="center"/>
    </xf>
    <xf numFmtId="0" fontId="43" fillId="0" borderId="0" xfId="0" applyFont="1"/>
    <xf numFmtId="174" fontId="43" fillId="4" borderId="0" xfId="0" applyNumberFormat="1" applyFont="1" applyFill="1"/>
    <xf numFmtId="3" fontId="43" fillId="4" borderId="0" xfId="0" applyNumberFormat="1" applyFont="1" applyFill="1"/>
    <xf numFmtId="175" fontId="43" fillId="4" borderId="0" xfId="0" applyNumberFormat="1" applyFont="1" applyFill="1" applyAlignment="1">
      <alignment horizontal="center"/>
    </xf>
    <xf numFmtId="174" fontId="0" fillId="0" borderId="0" xfId="0" applyNumberFormat="1" applyAlignment="1">
      <alignment horizontal="center"/>
    </xf>
    <xf numFmtId="3" fontId="0" fillId="0" borderId="0" xfId="0" applyNumberFormat="1"/>
    <xf numFmtId="175" fontId="0" fillId="0" borderId="0" xfId="0" applyNumberFormat="1" applyAlignment="1">
      <alignment horizontal="center"/>
    </xf>
    <xf numFmtId="175" fontId="0" fillId="4" borderId="0" xfId="0" applyNumberFormat="1" applyFill="1" applyAlignment="1">
      <alignment horizontal="center"/>
    </xf>
    <xf numFmtId="3" fontId="0" fillId="4" borderId="0" xfId="0" applyNumberFormat="1" applyFill="1"/>
    <xf numFmtId="174" fontId="0" fillId="0" borderId="0" xfId="0" applyNumberFormat="1"/>
    <xf numFmtId="0" fontId="0" fillId="0" borderId="0" xfId="0" applyFont="1"/>
    <xf numFmtId="174" fontId="0" fillId="0" borderId="0" xfId="0" applyNumberFormat="1" applyFont="1"/>
    <xf numFmtId="0" fontId="5" fillId="0" borderId="0" xfId="0" applyFont="1" applyFill="1" applyAlignment="1">
      <alignment horizontal="center"/>
    </xf>
    <xf numFmtId="0" fontId="4" fillId="0" borderId="0" xfId="6" applyNumberFormat="1" applyFont="1" applyFill="1" applyAlignment="1">
      <alignment horizontal="center"/>
    </xf>
    <xf numFmtId="5" fontId="34" fillId="0" borderId="0" xfId="6" applyNumberFormat="1" applyFont="1"/>
    <xf numFmtId="42" fontId="34" fillId="0" borderId="12" xfId="6" applyNumberFormat="1" applyFont="1" applyBorder="1"/>
    <xf numFmtId="41" fontId="14" fillId="0" borderId="0" xfId="1" applyNumberFormat="1" applyFont="1" applyFill="1" applyBorder="1"/>
    <xf numFmtId="41" fontId="10" fillId="0" borderId="0" xfId="1" applyNumberFormat="1" applyFont="1" applyBorder="1"/>
    <xf numFmtId="0" fontId="10" fillId="0" borderId="0" xfId="13" applyFont="1" applyBorder="1" applyAlignment="1">
      <alignment horizontal="center"/>
    </xf>
    <xf numFmtId="41" fontId="10" fillId="2" borderId="18" xfId="1" applyNumberFormat="1" applyFont="1" applyFill="1" applyBorder="1"/>
    <xf numFmtId="42" fontId="4" fillId="0" borderId="0" xfId="0" applyNumberFormat="1" applyFont="1" applyBorder="1"/>
    <xf numFmtId="41" fontId="4" fillId="0" borderId="0" xfId="6" applyNumberFormat="1" applyFont="1" applyFill="1"/>
    <xf numFmtId="0" fontId="11" fillId="0" borderId="0" xfId="0" applyFont="1" applyAlignment="1"/>
    <xf numFmtId="0" fontId="11" fillId="0" borderId="0" xfId="0" applyFont="1" applyFill="1"/>
    <xf numFmtId="0" fontId="19" fillId="0" borderId="0" xfId="0" applyFont="1" applyFill="1"/>
    <xf numFmtId="5" fontId="10" fillId="0" borderId="0" xfId="1" applyNumberFormat="1" applyFont="1" applyBorder="1"/>
    <xf numFmtId="164" fontId="10" fillId="0" borderId="0" xfId="1" applyNumberFormat="1" applyFont="1" applyBorder="1"/>
    <xf numFmtId="0" fontId="10" fillId="0" borderId="22" xfId="0" applyFont="1" applyFill="1" applyBorder="1"/>
    <xf numFmtId="0" fontId="10" fillId="0" borderId="23" xfId="0" applyFont="1" applyFill="1" applyBorder="1"/>
    <xf numFmtId="168" fontId="10" fillId="0" borderId="0" xfId="0" applyNumberFormat="1" applyFont="1"/>
    <xf numFmtId="168" fontId="10" fillId="0" borderId="15" xfId="0" applyNumberFormat="1" applyFont="1" applyBorder="1"/>
    <xf numFmtId="166" fontId="45" fillId="0" borderId="0" xfId="0" applyNumberFormat="1" applyFont="1" applyFill="1"/>
    <xf numFmtId="0" fontId="12" fillId="0" borderId="0" xfId="0" applyFont="1" applyBorder="1"/>
    <xf numFmtId="41" fontId="6" fillId="0" borderId="1" xfId="20" applyNumberFormat="1" applyFont="1" applyFill="1" applyBorder="1" applyAlignment="1">
      <alignment horizontal="center"/>
    </xf>
    <xf numFmtId="10" fontId="6" fillId="0" borderId="16" xfId="7" applyNumberFormat="1" applyFont="1" applyBorder="1"/>
    <xf numFmtId="0" fontId="10" fillId="0" borderId="0" xfId="0" applyFont="1" applyAlignment="1">
      <alignment horizontal="center"/>
    </xf>
    <xf numFmtId="0" fontId="10" fillId="0" borderId="0" xfId="0" applyFont="1" applyBorder="1" applyAlignment="1">
      <alignment horizontal="center"/>
    </xf>
    <xf numFmtId="0" fontId="10" fillId="0" borderId="10" xfId="0" applyFont="1" applyBorder="1" applyAlignment="1">
      <alignment horizontal="center"/>
    </xf>
    <xf numFmtId="3" fontId="6" fillId="0" borderId="0" xfId="6" applyNumberFormat="1" applyFont="1"/>
    <xf numFmtId="3" fontId="4" fillId="0" borderId="0" xfId="6" applyNumberFormat="1" applyFont="1" applyFill="1"/>
    <xf numFmtId="0" fontId="4" fillId="0" borderId="0" xfId="6" applyNumberFormat="1" applyFont="1" applyAlignment="1">
      <alignment horizontal="left"/>
    </xf>
    <xf numFmtId="3" fontId="6" fillId="0" borderId="0" xfId="6" applyNumberFormat="1" applyFont="1" applyFill="1" applyAlignment="1">
      <alignment horizontal="center"/>
    </xf>
    <xf numFmtId="41" fontId="4" fillId="0" borderId="0" xfId="5" applyNumberFormat="1" applyFont="1" applyFill="1" applyAlignment="1">
      <alignment horizontal="center"/>
    </xf>
    <xf numFmtId="3" fontId="6" fillId="0" borderId="0" xfId="6" applyNumberFormat="1" applyFont="1" applyAlignment="1">
      <alignment horizontal="center"/>
    </xf>
    <xf numFmtId="0" fontId="4" fillId="0" borderId="0" xfId="6" applyFont="1" applyAlignment="1">
      <alignment horizontal="center"/>
    </xf>
    <xf numFmtId="3" fontId="6" fillId="0" borderId="0" xfId="6" applyNumberFormat="1" applyFont="1" applyFill="1" applyBorder="1" applyAlignment="1">
      <alignment horizontal="center"/>
    </xf>
    <xf numFmtId="0" fontId="6" fillId="0" borderId="0" xfId="6" applyNumberFormat="1" applyFont="1" applyAlignment="1">
      <alignment horizontal="center"/>
    </xf>
    <xf numFmtId="0" fontId="6" fillId="0" borderId="0" xfId="6" applyFont="1" applyAlignment="1">
      <alignment horizontal="center"/>
    </xf>
    <xf numFmtId="0" fontId="6" fillId="0" borderId="1" xfId="6" applyNumberFormat="1" applyFont="1" applyBorder="1" applyAlignment="1">
      <alignment horizontal="center"/>
    </xf>
    <xf numFmtId="0" fontId="6" fillId="0" borderId="2" xfId="6" applyFont="1" applyBorder="1" applyAlignment="1">
      <alignment horizontal="center"/>
    </xf>
    <xf numFmtId="0" fontId="6" fillId="0" borderId="3" xfId="6" applyFont="1" applyBorder="1" applyAlignment="1">
      <alignment horizontal="center"/>
    </xf>
    <xf numFmtId="0" fontId="4" fillId="0" borderId="4" xfId="6" applyFont="1" applyBorder="1"/>
    <xf numFmtId="3" fontId="6" fillId="0" borderId="1" xfId="6" applyNumberFormat="1" applyFont="1" applyFill="1" applyBorder="1" applyAlignment="1">
      <alignment horizontal="center"/>
    </xf>
    <xf numFmtId="0" fontId="6" fillId="0" borderId="5" xfId="6" applyNumberFormat="1" applyFont="1" applyBorder="1" applyAlignment="1">
      <alignment horizontal="center"/>
    </xf>
    <xf numFmtId="0" fontId="6" fillId="0" borderId="6" xfId="6" applyFont="1" applyBorder="1" applyAlignment="1">
      <alignment horizontal="center"/>
    </xf>
    <xf numFmtId="0" fontId="6" fillId="0" borderId="0" xfId="6" applyFont="1" applyBorder="1" applyAlignment="1">
      <alignment horizontal="center"/>
    </xf>
    <xf numFmtId="0" fontId="4" fillId="0" borderId="7" xfId="6" applyFont="1" applyBorder="1"/>
    <xf numFmtId="3" fontId="6" fillId="0" borderId="5" xfId="6" applyNumberFormat="1" applyFont="1" applyFill="1" applyBorder="1" applyAlignment="1">
      <alignment horizontal="center"/>
    </xf>
    <xf numFmtId="0" fontId="6" fillId="0" borderId="8" xfId="6" applyNumberFormat="1" applyFont="1" applyBorder="1" applyAlignment="1">
      <alignment horizontal="center"/>
    </xf>
    <xf numFmtId="0" fontId="6" fillId="0" borderId="9" xfId="6" applyFont="1" applyBorder="1" applyAlignment="1">
      <alignment horizontal="center"/>
    </xf>
    <xf numFmtId="0" fontId="6" fillId="0" borderId="10" xfId="6" applyFont="1" applyBorder="1" applyAlignment="1">
      <alignment horizontal="center"/>
    </xf>
    <xf numFmtId="0" fontId="6" fillId="0" borderId="11" xfId="6" applyFont="1" applyBorder="1" applyAlignment="1">
      <alignment horizontal="center"/>
    </xf>
    <xf numFmtId="3" fontId="6" fillId="0" borderId="8" xfId="6" applyNumberFormat="1" applyFont="1" applyFill="1" applyBorder="1" applyAlignment="1">
      <alignment horizontal="center"/>
    </xf>
    <xf numFmtId="3" fontId="6" fillId="0" borderId="8" xfId="6" quotePrefix="1" applyNumberFormat="1" applyFont="1" applyBorder="1" applyAlignment="1">
      <alignment horizontal="center"/>
    </xf>
    <xf numFmtId="0" fontId="4" fillId="0" borderId="0" xfId="6" applyFont="1" applyAlignment="1">
      <alignment horizontal="left"/>
    </xf>
    <xf numFmtId="4" fontId="6" fillId="0" borderId="0" xfId="6" applyNumberFormat="1" applyFont="1" applyFill="1" applyBorder="1" applyAlignment="1">
      <alignment horizontal="center"/>
    </xf>
    <xf numFmtId="3" fontId="4" fillId="0" borderId="0" xfId="6" applyNumberFormat="1" applyFont="1" applyFill="1" applyBorder="1"/>
    <xf numFmtId="42" fontId="6" fillId="0" borderId="0" xfId="6" applyNumberFormat="1" applyFont="1"/>
    <xf numFmtId="41" fontId="6" fillId="0" borderId="0" xfId="6" applyNumberFormat="1" applyFont="1"/>
    <xf numFmtId="41" fontId="4" fillId="0" borderId="0" xfId="4" applyNumberFormat="1" applyFont="1" applyFill="1" applyBorder="1"/>
    <xf numFmtId="41" fontId="4" fillId="0" borderId="10" xfId="4" applyNumberFormat="1" applyFont="1" applyFill="1" applyBorder="1"/>
    <xf numFmtId="41" fontId="6" fillId="0" borderId="10" xfId="6" applyNumberFormat="1" applyFont="1" applyBorder="1"/>
    <xf numFmtId="0" fontId="4" fillId="0" borderId="0" xfId="6" applyFont="1" applyBorder="1"/>
    <xf numFmtId="42" fontId="6" fillId="0" borderId="12" xfId="6" applyNumberFormat="1" applyFont="1" applyBorder="1"/>
    <xf numFmtId="41" fontId="6" fillId="0" borderId="15" xfId="6" applyNumberFormat="1" applyFont="1" applyBorder="1"/>
    <xf numFmtId="41" fontId="6" fillId="0" borderId="0" xfId="6" applyNumberFormat="1" applyFont="1" applyBorder="1"/>
    <xf numFmtId="5" fontId="6" fillId="0" borderId="0" xfId="6" applyNumberFormat="1" applyFont="1"/>
    <xf numFmtId="0" fontId="4" fillId="0" borderId="0" xfId="6" applyNumberFormat="1" applyFont="1" applyFill="1" applyAlignment="1">
      <alignment horizontal="left"/>
    </xf>
    <xf numFmtId="0" fontId="4" fillId="0" borderId="0" xfId="6" applyFont="1" applyFill="1"/>
    <xf numFmtId="0" fontId="4" fillId="0" borderId="0" xfId="5" applyFont="1" applyFill="1"/>
    <xf numFmtId="41" fontId="6" fillId="0" borderId="0" xfId="6" applyNumberFormat="1" applyFont="1" applyFill="1"/>
    <xf numFmtId="41" fontId="6" fillId="0" borderId="0" xfId="5" applyNumberFormat="1" applyFont="1" applyFill="1"/>
    <xf numFmtId="3" fontId="6" fillId="0" borderId="0" xfId="6" applyNumberFormat="1" applyFont="1" applyFill="1"/>
    <xf numFmtId="3" fontId="6" fillId="0" borderId="0" xfId="5" applyNumberFormat="1" applyFont="1" applyFill="1"/>
    <xf numFmtId="4" fontId="10" fillId="0" borderId="0" xfId="0" applyNumberFormat="1" applyFont="1" applyAlignment="1">
      <alignment horizontal="center"/>
    </xf>
    <xf numFmtId="37" fontId="10" fillId="0" borderId="0" xfId="0" applyNumberFormat="1" applyFont="1" applyFill="1"/>
    <xf numFmtId="3" fontId="10" fillId="0" borderId="0" xfId="0" applyNumberFormat="1" applyFont="1" applyFill="1"/>
    <xf numFmtId="10" fontId="6" fillId="0" borderId="0" xfId="7" quotePrefix="1" applyNumberFormat="1" applyFont="1" applyAlignment="1">
      <alignment horizontal="center"/>
    </xf>
    <xf numFmtId="3" fontId="6" fillId="6" borderId="0" xfId="6" applyNumberFormat="1" applyFont="1" applyFill="1"/>
    <xf numFmtId="10" fontId="6" fillId="6" borderId="0" xfId="7" applyNumberFormat="1" applyFont="1" applyFill="1"/>
    <xf numFmtId="3" fontId="6" fillId="0" borderId="0" xfId="5" applyNumberFormat="1" applyFont="1" applyFill="1" applyBorder="1"/>
    <xf numFmtId="3" fontId="6" fillId="0" borderId="0" xfId="6" applyNumberFormat="1" applyFont="1" applyFill="1" applyBorder="1"/>
    <xf numFmtId="0" fontId="4" fillId="0" borderId="0" xfId="0" applyFont="1"/>
    <xf numFmtId="0" fontId="10" fillId="0" borderId="0" xfId="0" applyFont="1"/>
    <xf numFmtId="0" fontId="10" fillId="0" borderId="0" xfId="0" applyFont="1" applyBorder="1"/>
    <xf numFmtId="0" fontId="10" fillId="0" borderId="0" xfId="0" applyFont="1" applyAlignment="1">
      <alignment horizontal="center"/>
    </xf>
    <xf numFmtId="37" fontId="10" fillId="0" borderId="0" xfId="0" applyNumberFormat="1" applyFont="1" applyBorder="1"/>
    <xf numFmtId="3" fontId="10" fillId="0" borderId="0" xfId="0" applyNumberFormat="1" applyFont="1"/>
    <xf numFmtId="37" fontId="10" fillId="0" borderId="0" xfId="0" applyNumberFormat="1" applyFont="1"/>
    <xf numFmtId="0" fontId="10" fillId="0" borderId="0" xfId="0" applyFont="1" applyFill="1" applyBorder="1"/>
    <xf numFmtId="0" fontId="10" fillId="0" borderId="0" xfId="0" applyFont="1" applyFill="1"/>
    <xf numFmtId="3" fontId="10" fillId="0" borderId="0" xfId="0" applyNumberFormat="1" applyFont="1" applyFill="1"/>
    <xf numFmtId="41" fontId="6" fillId="0" borderId="5" xfId="20" applyNumberFormat="1" applyFont="1" applyFill="1" applyBorder="1" applyAlignment="1">
      <alignment horizontal="center"/>
    </xf>
    <xf numFmtId="4" fontId="10" fillId="0" borderId="0" xfId="0" applyNumberFormat="1" applyFont="1" applyAlignment="1">
      <alignment horizontal="center"/>
    </xf>
    <xf numFmtId="4" fontId="10" fillId="0" borderId="0" xfId="0" applyNumberFormat="1" applyFont="1" applyAlignment="1">
      <alignment horizontal="left"/>
    </xf>
    <xf numFmtId="3" fontId="2" fillId="0" borderId="0" xfId="0" applyNumberFormat="1" applyFont="1" applyFill="1" applyAlignment="1">
      <alignment horizontal="left"/>
    </xf>
    <xf numFmtId="168" fontId="10" fillId="0" borderId="0" xfId="17" applyNumberFormat="1" applyFont="1"/>
    <xf numFmtId="168" fontId="21" fillId="0" borderId="0" xfId="17" applyNumberFormat="1" applyFont="1"/>
    <xf numFmtId="3" fontId="4" fillId="0" borderId="0" xfId="5" applyNumberFormat="1" applyFont="1" applyFill="1"/>
    <xf numFmtId="42" fontId="4" fillId="0" borderId="0" xfId="4" applyNumberFormat="1" applyFont="1" applyFill="1"/>
    <xf numFmtId="41" fontId="4" fillId="0" borderId="0" xfId="4" applyNumberFormat="1" applyFont="1" applyFill="1"/>
    <xf numFmtId="41" fontId="6" fillId="0" borderId="1" xfId="22" applyNumberFormat="1" applyFont="1" applyFill="1" applyBorder="1" applyAlignment="1">
      <alignment horizontal="center"/>
    </xf>
    <xf numFmtId="41" fontId="6" fillId="0" borderId="5" xfId="22" applyNumberFormat="1" applyFont="1" applyFill="1" applyBorder="1" applyAlignment="1">
      <alignment horizontal="center"/>
    </xf>
    <xf numFmtId="41" fontId="6" fillId="0" borderId="8" xfId="22" applyNumberFormat="1" applyFont="1" applyFill="1" applyBorder="1" applyAlignment="1">
      <alignment horizontal="center"/>
    </xf>
    <xf numFmtId="4" fontId="6" fillId="0" borderId="0" xfId="6" applyNumberFormat="1" applyFont="1" applyAlignment="1">
      <alignment horizontal="center"/>
    </xf>
    <xf numFmtId="42" fontId="4" fillId="0" borderId="12" xfId="6" applyNumberFormat="1" applyFont="1" applyBorder="1"/>
    <xf numFmtId="41" fontId="6" fillId="0" borderId="0" xfId="4" applyNumberFormat="1" applyFont="1" applyFill="1"/>
    <xf numFmtId="42" fontId="6" fillId="0" borderId="0" xfId="4" applyNumberFormat="1" applyFont="1" applyFill="1"/>
    <xf numFmtId="41" fontId="6" fillId="0" borderId="10" xfId="4" applyNumberFormat="1" applyFont="1" applyFill="1" applyBorder="1"/>
    <xf numFmtId="10" fontId="4" fillId="0" borderId="0" xfId="7" applyNumberFormat="1" applyFont="1" applyFill="1"/>
    <xf numFmtId="0" fontId="25" fillId="0" borderId="20" xfId="0" applyFont="1" applyFill="1" applyBorder="1"/>
    <xf numFmtId="0" fontId="25" fillId="0" borderId="21" xfId="0" applyFont="1" applyFill="1" applyBorder="1"/>
    <xf numFmtId="37" fontId="25" fillId="0" borderId="22" xfId="5" applyNumberFormat="1" applyFont="1" applyFill="1" applyBorder="1"/>
    <xf numFmtId="0" fontId="27" fillId="0" borderId="22" xfId="0" applyFont="1" applyFill="1" applyBorder="1" applyAlignment="1">
      <alignment horizontal="center"/>
    </xf>
    <xf numFmtId="0" fontId="26" fillId="0" borderId="24" xfId="0" applyFont="1" applyFill="1" applyBorder="1" applyAlignment="1">
      <alignment horizontal="center"/>
    </xf>
    <xf numFmtId="0" fontId="26" fillId="0" borderId="10" xfId="0" applyFont="1" applyFill="1" applyBorder="1" applyAlignment="1">
      <alignment horizontal="center"/>
    </xf>
    <xf numFmtId="0" fontId="25" fillId="0" borderId="22" xfId="0" applyFont="1" applyFill="1" applyBorder="1"/>
    <xf numFmtId="167" fontId="29" fillId="0" borderId="0" xfId="7" applyNumberFormat="1" applyFont="1" applyFill="1" applyBorder="1"/>
    <xf numFmtId="10" fontId="25" fillId="0" borderId="16" xfId="7" applyNumberFormat="1" applyFont="1" applyFill="1" applyBorder="1"/>
    <xf numFmtId="0" fontId="25" fillId="0" borderId="25" xfId="0" applyFont="1" applyFill="1" applyBorder="1"/>
    <xf numFmtId="0" fontId="25" fillId="0" borderId="26" xfId="0" applyFont="1" applyFill="1" applyBorder="1"/>
    <xf numFmtId="0" fontId="26" fillId="0" borderId="23" xfId="0" applyFont="1" applyFill="1" applyBorder="1" applyAlignment="1">
      <alignment horizontal="center"/>
    </xf>
    <xf numFmtId="0" fontId="26" fillId="0" borderId="31" xfId="0" applyFont="1" applyFill="1" applyBorder="1" applyAlignment="1">
      <alignment horizontal="center"/>
    </xf>
    <xf numFmtId="37" fontId="25" fillId="0" borderId="23" xfId="5" applyNumberFormat="1" applyFont="1" applyFill="1" applyBorder="1"/>
    <xf numFmtId="10" fontId="29" fillId="0" borderId="23" xfId="7" applyNumberFormat="1" applyFont="1" applyFill="1" applyBorder="1"/>
    <xf numFmtId="10" fontId="25" fillId="0" borderId="32" xfId="7" applyNumberFormat="1" applyFont="1" applyFill="1" applyBorder="1"/>
    <xf numFmtId="0" fontId="25" fillId="0" borderId="27" xfId="0" applyFont="1" applyFill="1" applyBorder="1"/>
    <xf numFmtId="0" fontId="47" fillId="0" borderId="0" xfId="0" applyFont="1" applyAlignment="1">
      <alignment horizontal="left"/>
    </xf>
    <xf numFmtId="3" fontId="47" fillId="0" borderId="0" xfId="0" applyNumberFormat="1" applyFont="1" applyAlignment="1">
      <alignment horizontal="left"/>
    </xf>
    <xf numFmtId="3" fontId="47" fillId="0" borderId="0" xfId="0" applyNumberFormat="1" applyFont="1" applyFill="1" applyAlignment="1">
      <alignment horizontal="left"/>
    </xf>
    <xf numFmtId="49" fontId="47" fillId="0" borderId="0" xfId="0" applyNumberFormat="1" applyFont="1" applyAlignment="1">
      <alignment horizontal="left"/>
    </xf>
    <xf numFmtId="3" fontId="47" fillId="0" borderId="0" xfId="0" applyNumberFormat="1" applyFont="1"/>
    <xf numFmtId="3" fontId="47" fillId="0" borderId="0" xfId="0" applyNumberFormat="1" applyFont="1" applyFill="1"/>
    <xf numFmtId="0" fontId="47" fillId="0" borderId="0" xfId="0" applyFont="1"/>
    <xf numFmtId="3" fontId="47" fillId="4" borderId="0" xfId="0" applyNumberFormat="1" applyFont="1" applyFill="1"/>
    <xf numFmtId="174" fontId="47" fillId="0" borderId="0" xfId="0" applyNumberFormat="1" applyFont="1"/>
    <xf numFmtId="0" fontId="10" fillId="0" borderId="0" xfId="0" applyFont="1"/>
    <xf numFmtId="0" fontId="10" fillId="0" borderId="0" xfId="0" applyFont="1" applyAlignment="1">
      <alignment horizontal="center"/>
    </xf>
    <xf numFmtId="37" fontId="10" fillId="0" borderId="0" xfId="0" applyNumberFormat="1" applyFont="1"/>
    <xf numFmtId="0" fontId="10" fillId="0" borderId="0" xfId="0" applyFont="1" applyFill="1"/>
    <xf numFmtId="0" fontId="11" fillId="0" borderId="0" xfId="0" applyFont="1" applyBorder="1" applyAlignment="1">
      <alignment horizontal="left"/>
    </xf>
    <xf numFmtId="3" fontId="10" fillId="0" borderId="0" xfId="0" applyNumberFormat="1" applyFont="1" applyFill="1"/>
    <xf numFmtId="41" fontId="6" fillId="0" borderId="0" xfId="20" applyNumberFormat="1" applyFont="1" applyFill="1" applyAlignment="1">
      <alignment horizontal="center"/>
    </xf>
    <xf numFmtId="4" fontId="10" fillId="0" borderId="0" xfId="0" applyNumberFormat="1" applyFont="1" applyAlignment="1">
      <alignment horizontal="center"/>
    </xf>
    <xf numFmtId="4" fontId="10" fillId="0" borderId="0" xfId="0" applyNumberFormat="1" applyFont="1" applyAlignment="1">
      <alignment horizontal="left"/>
    </xf>
    <xf numFmtId="0" fontId="11" fillId="2" borderId="0" xfId="0" applyFont="1" applyFill="1" applyAlignment="1">
      <alignment horizontal="center"/>
    </xf>
    <xf numFmtId="0" fontId="11" fillId="2" borderId="0" xfId="0" applyFont="1" applyFill="1" applyAlignment="1"/>
    <xf numFmtId="37" fontId="4" fillId="0" borderId="0" xfId="3" applyNumberFormat="1" applyFont="1" applyFill="1" applyBorder="1"/>
    <xf numFmtId="3" fontId="6" fillId="0" borderId="5" xfId="6" applyNumberFormat="1" applyFont="1" applyBorder="1" applyAlignment="1">
      <alignment horizontal="center"/>
    </xf>
    <xf numFmtId="3" fontId="6" fillId="0" borderId="8" xfId="6" applyNumberFormat="1" applyFont="1" applyBorder="1" applyAlignment="1">
      <alignment horizontal="center"/>
    </xf>
    <xf numFmtId="42" fontId="4" fillId="0" borderId="0" xfId="6" applyNumberFormat="1" applyFont="1"/>
    <xf numFmtId="41" fontId="6" fillId="6" borderId="9" xfId="6" applyNumberFormat="1" applyFont="1" applyFill="1" applyBorder="1"/>
    <xf numFmtId="3" fontId="48" fillId="0" borderId="0" xfId="22" applyNumberFormat="1" applyFont="1"/>
    <xf numFmtId="3" fontId="6" fillId="6" borderId="6" xfId="6" applyNumberFormat="1" applyFont="1" applyFill="1" applyBorder="1" applyAlignment="1">
      <alignment horizontal="center"/>
    </xf>
    <xf numFmtId="3" fontId="6" fillId="6" borderId="6" xfId="6" applyNumberFormat="1" applyFont="1" applyFill="1" applyBorder="1"/>
    <xf numFmtId="42" fontId="6" fillId="6" borderId="6" xfId="6" applyNumberFormat="1" applyFont="1" applyFill="1" applyBorder="1"/>
    <xf numFmtId="41" fontId="6" fillId="6" borderId="6" xfId="6" applyNumberFormat="1" applyFont="1" applyFill="1" applyBorder="1"/>
    <xf numFmtId="42" fontId="6" fillId="6" borderId="33" xfId="6" applyNumberFormat="1" applyFont="1" applyFill="1" applyBorder="1"/>
    <xf numFmtId="41" fontId="6" fillId="6" borderId="13" xfId="6" applyNumberFormat="1" applyFont="1" applyFill="1" applyBorder="1"/>
    <xf numFmtId="3" fontId="4" fillId="0" borderId="0" xfId="6" applyNumberFormat="1" applyFont="1" applyBorder="1"/>
    <xf numFmtId="3" fontId="4" fillId="0" borderId="0" xfId="5" applyNumberFormat="1" applyFont="1" applyFill="1" applyBorder="1"/>
    <xf numFmtId="0" fontId="4" fillId="0" borderId="0" xfId="5" applyFont="1" applyFill="1" applyBorder="1"/>
    <xf numFmtId="0" fontId="4" fillId="0" borderId="0" xfId="6" applyNumberFormat="1" applyFont="1" applyFill="1" applyBorder="1" applyAlignment="1">
      <alignment horizontal="center"/>
    </xf>
    <xf numFmtId="3" fontId="6" fillId="0" borderId="0" xfId="6" applyNumberFormat="1" applyFont="1" applyBorder="1"/>
    <xf numFmtId="41" fontId="6" fillId="0" borderId="0" xfId="4" applyNumberFormat="1" applyFont="1" applyFill="1" applyBorder="1" applyAlignment="1">
      <alignment horizontal="center"/>
    </xf>
    <xf numFmtId="0" fontId="4" fillId="0" borderId="0" xfId="6" applyFont="1" applyFill="1" applyBorder="1"/>
    <xf numFmtId="0" fontId="4" fillId="0" borderId="0" xfId="5" applyFont="1" applyFill="1" applyBorder="1" applyAlignment="1">
      <alignment horizontal="right"/>
    </xf>
    <xf numFmtId="0" fontId="49" fillId="0" borderId="0" xfId="0" applyFont="1" applyAlignment="1">
      <alignment horizontal="center"/>
    </xf>
    <xf numFmtId="0" fontId="50" fillId="0" borderId="0" xfId="0" applyFont="1" applyAlignment="1">
      <alignment horizontal="center"/>
    </xf>
    <xf numFmtId="0" fontId="50" fillId="0" borderId="0" xfId="0" applyFont="1" applyBorder="1" applyAlignment="1">
      <alignment horizontal="center"/>
    </xf>
    <xf numFmtId="0" fontId="51" fillId="0" borderId="0" xfId="0" applyFont="1" applyBorder="1" applyAlignment="1">
      <alignment horizontal="center"/>
    </xf>
    <xf numFmtId="0" fontId="4" fillId="0" borderId="0" xfId="0" applyFont="1" applyAlignment="1">
      <alignment horizontal="center"/>
    </xf>
    <xf numFmtId="176" fontId="4" fillId="0" borderId="0" xfId="5" applyNumberFormat="1" applyFont="1" applyFill="1"/>
    <xf numFmtId="42" fontId="4" fillId="0" borderId="0" xfId="0" applyNumberFormat="1" applyFont="1" applyFill="1" applyBorder="1"/>
    <xf numFmtId="168" fontId="8" fillId="0" borderId="0" xfId="0" applyNumberFormat="1" applyFont="1"/>
    <xf numFmtId="0" fontId="6" fillId="0" borderId="0" xfId="20" quotePrefix="1" applyFont="1" applyFill="1" applyBorder="1" applyAlignment="1">
      <alignment horizontal="right"/>
    </xf>
    <xf numFmtId="37" fontId="4" fillId="0" borderId="0" xfId="20" applyNumberFormat="1" applyFont="1" applyFill="1"/>
    <xf numFmtId="0" fontId="26" fillId="4" borderId="34" xfId="0" applyFont="1" applyFill="1" applyBorder="1" applyAlignment="1">
      <alignment horizontal="left"/>
    </xf>
    <xf numFmtId="0" fontId="10" fillId="0" borderId="0" xfId="0" applyFont="1" applyAlignment="1">
      <alignment horizontal="center"/>
    </xf>
    <xf numFmtId="3" fontId="11" fillId="0" borderId="0" xfId="0" applyNumberFormat="1" applyFont="1" applyFill="1" applyAlignment="1"/>
    <xf numFmtId="41" fontId="6" fillId="0" borderId="0" xfId="20" applyNumberFormat="1" applyFont="1" applyFill="1"/>
    <xf numFmtId="3" fontId="6" fillId="0" borderId="0" xfId="22" applyNumberFormat="1" applyFont="1" applyFill="1" applyAlignment="1">
      <alignment horizontal="center"/>
    </xf>
    <xf numFmtId="41" fontId="6" fillId="0" borderId="0" xfId="22" applyNumberFormat="1" applyFont="1" applyFill="1" applyAlignment="1">
      <alignment horizontal="center"/>
    </xf>
    <xf numFmtId="10" fontId="11" fillId="0" borderId="0" xfId="0" applyNumberFormat="1" applyFont="1" applyBorder="1" applyAlignment="1">
      <alignment horizontal="center"/>
    </xf>
    <xf numFmtId="4" fontId="10" fillId="0" borderId="26" xfId="0" applyNumberFormat="1" applyFont="1" applyBorder="1" applyAlignment="1">
      <alignment horizontal="center"/>
    </xf>
    <xf numFmtId="4" fontId="10" fillId="0" borderId="26" xfId="0" applyNumberFormat="1" applyFont="1" applyBorder="1" applyAlignment="1">
      <alignment horizontal="left"/>
    </xf>
    <xf numFmtId="3" fontId="10" fillId="0" borderId="26" xfId="0" applyNumberFormat="1" applyFont="1" applyFill="1" applyBorder="1"/>
    <xf numFmtId="37" fontId="10" fillId="0" borderId="26" xfId="0" applyNumberFormat="1" applyFont="1" applyBorder="1"/>
    <xf numFmtId="0" fontId="10" fillId="0" borderId="26" xfId="0" applyFont="1" applyBorder="1" applyAlignment="1">
      <alignment horizontal="center"/>
    </xf>
    <xf numFmtId="0" fontId="50" fillId="0" borderId="26" xfId="0" applyFont="1" applyBorder="1" applyAlignment="1">
      <alignment horizontal="center"/>
    </xf>
    <xf numFmtId="5" fontId="6" fillId="0" borderId="18" xfId="0" applyNumberFormat="1" applyFont="1" applyFill="1" applyBorder="1"/>
    <xf numFmtId="3" fontId="6" fillId="0" borderId="5" xfId="5" applyNumberFormat="1" applyFont="1" applyFill="1" applyBorder="1" applyAlignment="1">
      <alignment horizontal="center"/>
    </xf>
    <xf numFmtId="3" fontId="6" fillId="0" borderId="8" xfId="5" applyNumberFormat="1" applyFont="1" applyFill="1" applyBorder="1" applyAlignment="1">
      <alignment horizontal="center"/>
    </xf>
    <xf numFmtId="0" fontId="10" fillId="0" borderId="0" xfId="0" applyFont="1" applyAlignment="1">
      <alignment horizontal="center"/>
    </xf>
    <xf numFmtId="175" fontId="47" fillId="4" borderId="0" xfId="0" applyNumberFormat="1" applyFont="1" applyFill="1" applyAlignment="1">
      <alignment horizontal="center"/>
    </xf>
    <xf numFmtId="0" fontId="52" fillId="0" borderId="0" xfId="6" applyNumberFormat="1" applyFont="1" applyFill="1" applyAlignment="1">
      <alignment horizontal="center"/>
    </xf>
    <xf numFmtId="3" fontId="6" fillId="0" borderId="0" xfId="6" applyNumberFormat="1" applyFont="1" applyFill="1" applyAlignment="1">
      <alignment vertical="top" wrapText="1"/>
    </xf>
    <xf numFmtId="3" fontId="6" fillId="0" borderId="10" xfId="6" applyNumberFormat="1" applyFont="1" applyFill="1" applyBorder="1" applyAlignment="1">
      <alignment vertical="top" wrapText="1"/>
    </xf>
    <xf numFmtId="0" fontId="53" fillId="0" borderId="0" xfId="0" applyFont="1" applyAlignment="1">
      <alignment horizontal="center"/>
    </xf>
    <xf numFmtId="0" fontId="53" fillId="0" borderId="0" xfId="0" applyFont="1" applyBorder="1" applyAlignment="1">
      <alignment horizontal="center"/>
    </xf>
    <xf numFmtId="0" fontId="54" fillId="0" borderId="0" xfId="0" applyFont="1" applyBorder="1" applyAlignment="1">
      <alignment horizontal="center"/>
    </xf>
    <xf numFmtId="0" fontId="53" fillId="0" borderId="0" xfId="0" applyFont="1"/>
    <xf numFmtId="0" fontId="53" fillId="0" borderId="26" xfId="0" applyFont="1" applyBorder="1" applyAlignment="1">
      <alignment horizontal="center"/>
    </xf>
    <xf numFmtId="0" fontId="0" fillId="0" borderId="0" xfId="0" applyAlignment="1">
      <alignment shrinkToFit="1"/>
    </xf>
    <xf numFmtId="0" fontId="10" fillId="0" borderId="0" xfId="0" applyFont="1" applyAlignment="1">
      <alignment horizontal="center"/>
    </xf>
    <xf numFmtId="0" fontId="55"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50" fillId="0" borderId="0" xfId="0" applyFont="1" applyFill="1" applyAlignment="1">
      <alignment horizontal="center"/>
    </xf>
    <xf numFmtId="0" fontId="10" fillId="0" borderId="0" xfId="0" applyFont="1" applyAlignment="1">
      <alignment horizontal="center"/>
    </xf>
    <xf numFmtId="3" fontId="44" fillId="7" borderId="0" xfId="13" applyNumberFormat="1" applyFont="1" applyFill="1"/>
    <xf numFmtId="3" fontId="10" fillId="7" borderId="0" xfId="13" applyNumberFormat="1" applyFont="1" applyFill="1"/>
    <xf numFmtId="0" fontId="10" fillId="0" borderId="0" xfId="0" applyFont="1" applyAlignment="1">
      <alignment horizontal="center"/>
    </xf>
    <xf numFmtId="0" fontId="40" fillId="0" borderId="0" xfId="0" applyFont="1" applyAlignment="1"/>
    <xf numFmtId="0" fontId="25" fillId="0" borderId="22" xfId="0" applyFont="1" applyFill="1" applyBorder="1" applyAlignment="1">
      <alignment vertical="top"/>
    </xf>
    <xf numFmtId="5" fontId="28" fillId="0" borderId="0" xfId="0" applyNumberFormat="1" applyFont="1" applyFill="1" applyBorder="1" applyAlignment="1">
      <alignment vertical="top"/>
    </xf>
    <xf numFmtId="167" fontId="29" fillId="0" borderId="0" xfId="7" applyNumberFormat="1" applyFont="1" applyFill="1" applyBorder="1" applyAlignment="1">
      <alignment vertical="top"/>
    </xf>
    <xf numFmtId="10" fontId="29" fillId="0" borderId="0" xfId="7" applyNumberFormat="1" applyFont="1" applyFill="1" applyBorder="1" applyAlignment="1">
      <alignment vertical="top"/>
    </xf>
    <xf numFmtId="10" fontId="29" fillId="0" borderId="23" xfId="7" applyNumberFormat="1" applyFont="1" applyFill="1" applyBorder="1" applyAlignment="1">
      <alignment vertical="top"/>
    </xf>
    <xf numFmtId="3" fontId="48" fillId="0" borderId="5" xfId="22" applyNumberFormat="1" applyFont="1" applyBorder="1" applyAlignment="1">
      <alignment horizontal="center" vertical="center"/>
    </xf>
    <xf numFmtId="0" fontId="4" fillId="0" borderId="0" xfId="20" applyNumberFormat="1" applyFont="1" applyAlignment="1">
      <alignment horizontal="left"/>
    </xf>
    <xf numFmtId="4" fontId="10" fillId="0" borderId="10" xfId="13" applyNumberFormat="1" applyFont="1" applyBorder="1" applyAlignment="1">
      <alignment horizontal="center"/>
    </xf>
    <xf numFmtId="0" fontId="10" fillId="0" borderId="10" xfId="13" applyFont="1" applyBorder="1"/>
    <xf numFmtId="41" fontId="10" fillId="0" borderId="10" xfId="13" applyNumberFormat="1" applyFont="1" applyBorder="1"/>
    <xf numFmtId="41" fontId="10" fillId="0" borderId="10" xfId="13" applyNumberFormat="1" applyFont="1" applyBorder="1" applyAlignment="1">
      <alignment horizontal="right"/>
    </xf>
    <xf numFmtId="0" fontId="11" fillId="0" borderId="0" xfId="0" applyFont="1" applyAlignment="1">
      <alignment horizontal="center"/>
    </xf>
    <xf numFmtId="0" fontId="4" fillId="0" borderId="0" xfId="20" applyFont="1"/>
    <xf numFmtId="0" fontId="10" fillId="4" borderId="3" xfId="0" applyFont="1" applyFill="1" applyBorder="1" applyAlignment="1">
      <alignment horizontal="center"/>
    </xf>
    <xf numFmtId="0" fontId="10" fillId="4" borderId="4"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167" fontId="10" fillId="4" borderId="0" xfId="7" applyNumberFormat="1" applyFont="1" applyFill="1" applyBorder="1"/>
    <xf numFmtId="10" fontId="10" fillId="0" borderId="0" xfId="7" applyNumberFormat="1" applyFont="1" applyFill="1" applyBorder="1"/>
    <xf numFmtId="10" fontId="10" fillId="4" borderId="7" xfId="7" applyNumberFormat="1" applyFont="1" applyFill="1" applyBorder="1"/>
    <xf numFmtId="37" fontId="4" fillId="0" borderId="0" xfId="20" applyNumberFormat="1" applyFont="1"/>
    <xf numFmtId="10" fontId="10" fillId="4" borderId="0" xfId="7" applyNumberFormat="1" applyFont="1" applyFill="1" applyBorder="1"/>
    <xf numFmtId="10" fontId="10" fillId="4" borderId="15" xfId="7" applyNumberFormat="1" applyFont="1" applyFill="1" applyBorder="1"/>
    <xf numFmtId="169" fontId="14" fillId="4" borderId="10" xfId="7" applyNumberFormat="1" applyFont="1" applyFill="1" applyBorder="1"/>
    <xf numFmtId="10" fontId="11" fillId="4" borderId="14" xfId="7" applyNumberFormat="1" applyFont="1" applyFill="1" applyBorder="1"/>
    <xf numFmtId="10" fontId="6" fillId="0" borderId="15" xfId="20" applyNumberFormat="1" applyFont="1" applyBorder="1" applyAlignment="1">
      <alignment horizontal="right"/>
    </xf>
    <xf numFmtId="0" fontId="4" fillId="0" borderId="10" xfId="20" applyFont="1" applyBorder="1" applyAlignment="1">
      <alignment horizontal="center"/>
    </xf>
    <xf numFmtId="0" fontId="4" fillId="0" borderId="10" xfId="20" applyFont="1" applyBorder="1"/>
    <xf numFmtId="5" fontId="4" fillId="0" borderId="0" xfId="20" applyNumberFormat="1" applyFont="1"/>
    <xf numFmtId="37" fontId="6" fillId="0" borderId="10" xfId="20" applyNumberFormat="1" applyFont="1" applyBorder="1" applyAlignment="1">
      <alignment horizontal="center"/>
    </xf>
    <xf numFmtId="41" fontId="6" fillId="6" borderId="1" xfId="20" applyNumberFormat="1" applyFont="1" applyFill="1" applyBorder="1" applyAlignment="1">
      <alignment horizontal="center"/>
    </xf>
    <xf numFmtId="41" fontId="6" fillId="6" borderId="5" xfId="20" applyNumberFormat="1" applyFont="1" applyFill="1" applyBorder="1" applyAlignment="1">
      <alignment horizontal="center"/>
    </xf>
    <xf numFmtId="3" fontId="24" fillId="0" borderId="0" xfId="17" applyNumberFormat="1" applyFont="1" applyFill="1" applyBorder="1" applyAlignment="1"/>
    <xf numFmtId="0" fontId="60" fillId="0" borderId="0" xfId="6" applyNumberFormat="1" applyFont="1" applyAlignment="1">
      <alignment horizontal="left"/>
    </xf>
    <xf numFmtId="0" fontId="36" fillId="0" borderId="0" xfId="6" applyFont="1"/>
    <xf numFmtId="3" fontId="26" fillId="0" borderId="0" xfId="17" applyNumberFormat="1" applyFont="1" applyFill="1" applyBorder="1" applyAlignment="1"/>
    <xf numFmtId="3" fontId="60" fillId="0" borderId="0" xfId="6" applyNumberFormat="1" applyFont="1"/>
    <xf numFmtId="0" fontId="36" fillId="0" borderId="0" xfId="6" applyNumberFormat="1" applyFont="1" applyAlignment="1">
      <alignment horizontal="left"/>
    </xf>
    <xf numFmtId="0" fontId="34" fillId="0" borderId="0" xfId="6" applyFont="1" applyFill="1" applyAlignment="1">
      <alignment horizontal="center"/>
    </xf>
    <xf numFmtId="1" fontId="34" fillId="0" borderId="1" xfId="6" applyNumberFormat="1" applyFont="1" applyBorder="1" applyAlignment="1">
      <alignment horizontal="center"/>
    </xf>
    <xf numFmtId="177" fontId="34" fillId="0" borderId="2" xfId="6" quotePrefix="1" applyNumberFormat="1" applyFont="1" applyFill="1" applyBorder="1" applyAlignment="1">
      <alignment horizontal="center"/>
    </xf>
    <xf numFmtId="3" fontId="34" fillId="0" borderId="6" xfId="6" applyNumberFormat="1" applyFont="1" applyFill="1" applyBorder="1" applyAlignment="1">
      <alignment horizontal="center"/>
    </xf>
    <xf numFmtId="3" fontId="34" fillId="0" borderId="9" xfId="6" applyNumberFormat="1" applyFont="1" applyFill="1" applyBorder="1" applyAlignment="1">
      <alignment horizontal="center"/>
    </xf>
    <xf numFmtId="3" fontId="34" fillId="0" borderId="0" xfId="6" applyNumberFormat="1" applyFont="1" applyFill="1"/>
    <xf numFmtId="42" fontId="34" fillId="0" borderId="0" xfId="6" applyNumberFormat="1" applyFont="1"/>
    <xf numFmtId="42" fontId="34" fillId="0" borderId="0" xfId="6" applyNumberFormat="1" applyFont="1" applyFill="1"/>
    <xf numFmtId="41" fontId="34" fillId="0" borderId="0" xfId="6" applyNumberFormat="1" applyFont="1"/>
    <xf numFmtId="41" fontId="34" fillId="0" borderId="0" xfId="6" applyNumberFormat="1" applyFont="1" applyFill="1"/>
    <xf numFmtId="41" fontId="34" fillId="0" borderId="10" xfId="6" applyNumberFormat="1" applyFont="1" applyBorder="1"/>
    <xf numFmtId="41" fontId="34" fillId="0" borderId="10" xfId="6" applyNumberFormat="1" applyFont="1" applyFill="1" applyBorder="1"/>
    <xf numFmtId="37" fontId="10" fillId="0" borderId="0" xfId="6" applyNumberFormat="1" applyFont="1"/>
    <xf numFmtId="0" fontId="4" fillId="0" borderId="0" xfId="17" applyFont="1"/>
    <xf numFmtId="42" fontId="34" fillId="0" borderId="12" xfId="6" applyNumberFormat="1" applyFont="1" applyFill="1" applyBorder="1"/>
    <xf numFmtId="42" fontId="34" fillId="0" borderId="0" xfId="6" applyNumberFormat="1" applyFont="1" applyBorder="1"/>
    <xf numFmtId="3" fontId="4" fillId="0" borderId="0" xfId="17" applyNumberFormat="1" applyFont="1" applyFill="1" applyAlignment="1">
      <alignment vertical="top"/>
    </xf>
    <xf numFmtId="0" fontId="35" fillId="0" borderId="0" xfId="6" applyNumberFormat="1" applyFont="1" applyAlignment="1">
      <alignment horizontal="left"/>
    </xf>
    <xf numFmtId="0" fontId="35" fillId="0" borderId="0" xfId="6" applyFont="1"/>
    <xf numFmtId="3" fontId="35" fillId="0" borderId="0" xfId="6" applyNumberFormat="1" applyFont="1"/>
    <xf numFmtId="177" fontId="34" fillId="0" borderId="2" xfId="6" applyNumberFormat="1" applyFont="1" applyFill="1" applyBorder="1" applyAlignment="1">
      <alignment horizontal="center"/>
    </xf>
    <xf numFmtId="41" fontId="34" fillId="0" borderId="15" xfId="6" applyNumberFormat="1" applyFont="1" applyBorder="1"/>
    <xf numFmtId="41" fontId="34" fillId="0" borderId="15" xfId="6" applyNumberFormat="1" applyFont="1" applyFill="1" applyBorder="1"/>
    <xf numFmtId="41" fontId="34" fillId="0" borderId="0" xfId="6" applyNumberFormat="1" applyFont="1" applyBorder="1"/>
    <xf numFmtId="41" fontId="34" fillId="0" borderId="0" xfId="6" applyNumberFormat="1" applyFont="1" applyFill="1" applyBorder="1"/>
    <xf numFmtId="0" fontId="61" fillId="0" borderId="0" xfId="6" applyNumberFormat="1" applyFont="1" applyAlignment="1">
      <alignment horizontal="left"/>
    </xf>
    <xf numFmtId="10" fontId="26" fillId="0" borderId="0" xfId="19" applyNumberFormat="1" applyFont="1" applyFill="1" applyBorder="1" applyAlignment="1"/>
    <xf numFmtId="10" fontId="26" fillId="0" borderId="0" xfId="19" applyNumberFormat="1" applyFont="1" applyFill="1" applyBorder="1" applyAlignment="1">
      <alignment horizontal="center"/>
    </xf>
    <xf numFmtId="1" fontId="6" fillId="0" borderId="0" xfId="23" applyNumberFormat="1" applyFont="1" applyFill="1" applyBorder="1" applyAlignment="1">
      <alignment horizontal="center"/>
    </xf>
    <xf numFmtId="177" fontId="6" fillId="0" borderId="0" xfId="23" applyNumberFormat="1" applyFont="1" applyFill="1" applyBorder="1" applyAlignment="1">
      <alignment horizontal="center"/>
    </xf>
    <xf numFmtId="0" fontId="33" fillId="0" borderId="0" xfId="6" applyNumberFormat="1" applyFont="1" applyFill="1" applyAlignment="1">
      <alignment horizontal="center" wrapText="1"/>
    </xf>
    <xf numFmtId="3" fontId="4" fillId="0" borderId="0" xfId="17" applyNumberFormat="1" applyFont="1" applyFill="1" applyAlignment="1"/>
    <xf numFmtId="0" fontId="33" fillId="0" borderId="0" xfId="6" applyFont="1" applyFill="1" applyAlignment="1">
      <alignment horizontal="right"/>
    </xf>
    <xf numFmtId="3" fontId="33" fillId="0" borderId="3" xfId="6" applyNumberFormat="1" applyFont="1" applyFill="1" applyBorder="1"/>
    <xf numFmtId="0" fontId="33" fillId="0" borderId="0" xfId="6" applyFont="1" applyFill="1" applyBorder="1"/>
    <xf numFmtId="3" fontId="4" fillId="0" borderId="0" xfId="17" applyNumberFormat="1" applyFont="1" applyFill="1" applyBorder="1" applyAlignment="1"/>
    <xf numFmtId="3" fontId="33" fillId="0" borderId="10" xfId="6" applyNumberFormat="1" applyFont="1" applyFill="1" applyBorder="1"/>
    <xf numFmtId="3" fontId="6" fillId="0" borderId="0" xfId="17" quotePrefix="1" applyNumberFormat="1" applyFont="1" applyFill="1" applyBorder="1" applyAlignment="1">
      <alignment horizontal="center"/>
    </xf>
    <xf numFmtId="0" fontId="34" fillId="0" borderId="0" xfId="6" applyFont="1" applyFill="1"/>
    <xf numFmtId="3" fontId="34" fillId="0" borderId="16" xfId="6" applyNumberFormat="1" applyFont="1" applyFill="1" applyBorder="1"/>
    <xf numFmtId="172" fontId="33" fillId="0" borderId="0" xfId="1" applyNumberFormat="1" applyFont="1" applyFill="1" applyBorder="1"/>
    <xf numFmtId="10" fontId="33" fillId="0" borderId="0" xfId="19" applyNumberFormat="1" applyFont="1"/>
    <xf numFmtId="10" fontId="33" fillId="0" borderId="0" xfId="19" applyNumberFormat="1" applyFont="1" applyFill="1"/>
    <xf numFmtId="10" fontId="33" fillId="0" borderId="0" xfId="19" applyNumberFormat="1" applyFont="1" applyFill="1" applyBorder="1"/>
    <xf numFmtId="3" fontId="6" fillId="0" borderId="0" xfId="17" quotePrefix="1" applyNumberFormat="1" applyFont="1" applyFill="1" applyAlignment="1">
      <alignment horizontal="center"/>
    </xf>
    <xf numFmtId="0" fontId="34" fillId="0" borderId="0" xfId="6" applyFont="1" applyAlignment="1">
      <alignment horizontal="left"/>
    </xf>
    <xf numFmtId="3" fontId="34" fillId="0" borderId="16" xfId="6" applyNumberFormat="1" applyFont="1" applyBorder="1"/>
    <xf numFmtId="3" fontId="34" fillId="0" borderId="0" xfId="6" applyNumberFormat="1" applyFont="1" applyFill="1" applyBorder="1"/>
    <xf numFmtId="3" fontId="34" fillId="0" borderId="0" xfId="6" applyNumberFormat="1" applyFont="1" applyBorder="1"/>
    <xf numFmtId="0" fontId="33" fillId="0" borderId="0" xfId="6" applyFont="1" applyBorder="1" applyAlignment="1">
      <alignment horizontal="center"/>
    </xf>
    <xf numFmtId="0" fontId="34" fillId="0" borderId="0" xfId="6" applyFont="1"/>
    <xf numFmtId="3" fontId="33" fillId="0" borderId="3" xfId="6" applyNumberFormat="1" applyFont="1" applyBorder="1"/>
    <xf numFmtId="3" fontId="33" fillId="0" borderId="10" xfId="6" applyNumberFormat="1" applyFont="1" applyBorder="1"/>
    <xf numFmtId="0" fontId="34" fillId="0" borderId="0" xfId="6" applyNumberFormat="1" applyFont="1" applyFill="1" applyAlignment="1">
      <alignment horizontal="center"/>
    </xf>
    <xf numFmtId="0" fontId="2" fillId="0" borderId="0" xfId="17"/>
    <xf numFmtId="0" fontId="62" fillId="0" borderId="0" xfId="17" applyFont="1"/>
    <xf numFmtId="0" fontId="63" fillId="0" borderId="0" xfId="6" applyNumberFormat="1" applyFont="1" applyAlignment="1">
      <alignment horizontal="center"/>
    </xf>
    <xf numFmtId="0" fontId="11" fillId="0" borderId="10" xfId="17" applyFont="1" applyBorder="1"/>
    <xf numFmtId="0" fontId="33" fillId="0" borderId="10" xfId="6" applyFont="1" applyBorder="1"/>
    <xf numFmtId="3" fontId="34" fillId="0" borderId="10" xfId="6" applyNumberFormat="1" applyFont="1" applyBorder="1"/>
    <xf numFmtId="0" fontId="6" fillId="0" borderId="10" xfId="17" applyFont="1" applyBorder="1" applyAlignment="1">
      <alignment horizontal="center"/>
    </xf>
    <xf numFmtId="0" fontId="6" fillId="0" borderId="0" xfId="17" applyFont="1" applyFill="1" applyBorder="1" applyAlignment="1">
      <alignment horizontal="center"/>
    </xf>
    <xf numFmtId="0" fontId="6" fillId="0" borderId="10" xfId="17" applyFont="1" applyFill="1" applyBorder="1" applyAlignment="1">
      <alignment horizontal="center"/>
    </xf>
    <xf numFmtId="0" fontId="2" fillId="0" borderId="0" xfId="17" applyFill="1" applyBorder="1"/>
    <xf numFmtId="10" fontId="2" fillId="0" borderId="0" xfId="17" applyNumberFormat="1"/>
    <xf numFmtId="10" fontId="2" fillId="0" borderId="0" xfId="17" applyNumberFormat="1" applyFill="1" applyBorder="1"/>
    <xf numFmtId="10" fontId="2" fillId="0" borderId="0" xfId="17" applyNumberFormat="1" applyFill="1"/>
    <xf numFmtId="0" fontId="6" fillId="0" borderId="0" xfId="17" applyFont="1"/>
    <xf numFmtId="10" fontId="2" fillId="0" borderId="0" xfId="17" applyNumberFormat="1" applyFont="1" applyFill="1" applyBorder="1"/>
    <xf numFmtId="172" fontId="34" fillId="0" borderId="0" xfId="6" applyNumberFormat="1" applyFont="1"/>
    <xf numFmtId="10" fontId="33" fillId="0" borderId="0" xfId="6" applyNumberFormat="1" applyFont="1"/>
    <xf numFmtId="0" fontId="2" fillId="0" borderId="0" xfId="17" applyFont="1"/>
    <xf numFmtId="10" fontId="33" fillId="0" borderId="0" xfId="6" applyNumberFormat="1" applyFont="1" applyFill="1" applyBorder="1"/>
    <xf numFmtId="10" fontId="33" fillId="0" borderId="0" xfId="6" applyNumberFormat="1" applyFont="1" applyFill="1"/>
    <xf numFmtId="10" fontId="58" fillId="0" borderId="0" xfId="6" applyNumberFormat="1" applyFont="1" applyFill="1" applyBorder="1"/>
    <xf numFmtId="10" fontId="57" fillId="0" borderId="0" xfId="6" applyNumberFormat="1" applyFont="1" applyFill="1" applyBorder="1"/>
    <xf numFmtId="0" fontId="64" fillId="0" borderId="10" xfId="6" applyFont="1" applyBorder="1"/>
    <xf numFmtId="0" fontId="64" fillId="0" borderId="0" xfId="6" applyFont="1"/>
    <xf numFmtId="0" fontId="61" fillId="0" borderId="0" xfId="6" applyFont="1" applyFill="1"/>
    <xf numFmtId="3" fontId="34" fillId="0" borderId="0" xfId="24" applyNumberFormat="1" applyFont="1" applyFill="1" applyBorder="1"/>
    <xf numFmtId="0" fontId="61" fillId="0" borderId="0" xfId="24" applyFont="1" applyFill="1"/>
    <xf numFmtId="0" fontId="61" fillId="0" borderId="0" xfId="6" applyFont="1"/>
    <xf numFmtId="172" fontId="33" fillId="0" borderId="0" xfId="6" applyNumberFormat="1" applyFont="1" applyBorder="1"/>
    <xf numFmtId="10" fontId="33" fillId="0" borderId="0" xfId="25" applyNumberFormat="1" applyFont="1" applyBorder="1"/>
    <xf numFmtId="0" fontId="11" fillId="0" borderId="0" xfId="17" applyFont="1"/>
    <xf numFmtId="3" fontId="34" fillId="0" borderId="20" xfId="6" applyNumberFormat="1" applyFont="1" applyBorder="1"/>
    <xf numFmtId="3" fontId="34" fillId="0" borderId="20" xfId="24" applyNumberFormat="1" applyFont="1" applyFill="1" applyBorder="1"/>
    <xf numFmtId="10" fontId="2" fillId="0" borderId="20" xfId="17" applyNumberFormat="1" applyFill="1" applyBorder="1"/>
    <xf numFmtId="10" fontId="57" fillId="0" borderId="20" xfId="6" applyNumberFormat="1" applyFont="1" applyFill="1" applyBorder="1"/>
    <xf numFmtId="10" fontId="2" fillId="0" borderId="20" xfId="17" applyNumberFormat="1" applyBorder="1"/>
    <xf numFmtId="10" fontId="2" fillId="0" borderId="0" xfId="7" applyNumberFormat="1" applyFont="1" applyFill="1" applyBorder="1"/>
    <xf numFmtId="10" fontId="57" fillId="0" borderId="0" xfId="7" applyNumberFormat="1" applyFont="1" applyFill="1" applyBorder="1"/>
    <xf numFmtId="10" fontId="4" fillId="0" borderId="0" xfId="7" applyNumberFormat="1" applyFont="1" applyFill="1" applyBorder="1"/>
    <xf numFmtId="10" fontId="57" fillId="0" borderId="0" xfId="6" applyNumberFormat="1" applyFont="1" applyBorder="1"/>
    <xf numFmtId="0" fontId="57" fillId="0" borderId="10" xfId="6" applyFont="1" applyBorder="1"/>
    <xf numFmtId="10" fontId="57" fillId="0" borderId="38" xfId="6" applyNumberFormat="1" applyFont="1" applyBorder="1"/>
    <xf numFmtId="10" fontId="57" fillId="0" borderId="38" xfId="6" applyNumberFormat="1" applyFont="1" applyFill="1" applyBorder="1"/>
    <xf numFmtId="0" fontId="2" fillId="0" borderId="0" xfId="17" applyFill="1"/>
    <xf numFmtId="0" fontId="2" fillId="0" borderId="0" xfId="17" applyBorder="1"/>
    <xf numFmtId="0" fontId="2" fillId="0" borderId="6" xfId="17" applyBorder="1"/>
    <xf numFmtId="0" fontId="2" fillId="0" borderId="7" xfId="17" applyBorder="1"/>
    <xf numFmtId="0" fontId="34" fillId="6" borderId="0" xfId="6" applyFont="1" applyFill="1" applyAlignment="1">
      <alignment horizontal="center"/>
    </xf>
    <xf numFmtId="0" fontId="2" fillId="0" borderId="6" xfId="17" applyFill="1" applyBorder="1"/>
    <xf numFmtId="0" fontId="67" fillId="0" borderId="6" xfId="17" quotePrefix="1" applyFont="1" applyBorder="1" applyAlignment="1">
      <alignment horizontal="centerContinuous"/>
    </xf>
    <xf numFmtId="0" fontId="67" fillId="0" borderId="0" xfId="17" quotePrefix="1" applyFont="1" applyBorder="1" applyAlignment="1">
      <alignment horizontal="centerContinuous"/>
    </xf>
    <xf numFmtId="0" fontId="67" fillId="0" borderId="6" xfId="17" applyFont="1" applyBorder="1" applyAlignment="1">
      <alignment horizontal="centerContinuous"/>
    </xf>
    <xf numFmtId="0" fontId="67" fillId="0" borderId="0" xfId="17" applyFont="1" applyBorder="1" applyAlignment="1">
      <alignment horizontal="centerContinuous"/>
    </xf>
    <xf numFmtId="0" fontId="2" fillId="0" borderId="7" xfId="17" applyBorder="1" applyAlignment="1">
      <alignment horizontal="centerContinuous"/>
    </xf>
    <xf numFmtId="0" fontId="2" fillId="0" borderId="0" xfId="17" applyBorder="1" applyAlignment="1">
      <alignment horizontal="centerContinuous"/>
    </xf>
    <xf numFmtId="0" fontId="2" fillId="0" borderId="0" xfId="17" applyAlignment="1">
      <alignment horizontal="centerContinuous"/>
    </xf>
    <xf numFmtId="0" fontId="2" fillId="0" borderId="6" xfId="17" applyBorder="1" applyAlignment="1">
      <alignment horizontal="center"/>
    </xf>
    <xf numFmtId="0" fontId="2" fillId="0" borderId="0" xfId="17" applyBorder="1" applyAlignment="1">
      <alignment horizontal="center"/>
    </xf>
    <xf numFmtId="0" fontId="2" fillId="0" borderId="0" xfId="17" applyFont="1" applyBorder="1" applyAlignment="1">
      <alignment horizontal="center"/>
    </xf>
    <xf numFmtId="0" fontId="2" fillId="0" borderId="7" xfId="17" applyFont="1" applyBorder="1" applyAlignment="1">
      <alignment horizontal="center"/>
    </xf>
    <xf numFmtId="0" fontId="2" fillId="0" borderId="0" xfId="17" applyFont="1" applyAlignment="1">
      <alignment horizontal="center"/>
    </xf>
    <xf numFmtId="0" fontId="2" fillId="0" borderId="7" xfId="17" applyFill="1" applyBorder="1"/>
    <xf numFmtId="0" fontId="2" fillId="0" borderId="6" xfId="17" applyFill="1" applyBorder="1" applyAlignment="1">
      <alignment horizontal="center"/>
    </xf>
    <xf numFmtId="0" fontId="2" fillId="0" borderId="0" xfId="17" applyFont="1" applyFill="1" applyBorder="1" applyAlignment="1">
      <alignment horizontal="center"/>
    </xf>
    <xf numFmtId="0" fontId="2" fillId="0" borderId="6" xfId="17" applyFont="1" applyBorder="1" applyAlignment="1">
      <alignment horizontal="center"/>
    </xf>
    <xf numFmtId="0" fontId="2" fillId="0" borderId="7" xfId="17" applyFont="1" applyFill="1" applyBorder="1" applyAlignment="1">
      <alignment horizontal="center"/>
    </xf>
    <xf numFmtId="0" fontId="2" fillId="0" borderId="6" xfId="17" applyFont="1" applyFill="1" applyBorder="1" applyAlignment="1">
      <alignment horizontal="center"/>
    </xf>
    <xf numFmtId="0" fontId="2" fillId="0" borderId="0" xfId="17" applyFill="1" applyAlignment="1">
      <alignment horizontal="center"/>
    </xf>
    <xf numFmtId="0" fontId="67" fillId="0" borderId="6" xfId="17" applyFont="1" applyBorder="1" applyAlignment="1">
      <alignment horizontal="center"/>
    </xf>
    <xf numFmtId="0" fontId="67" fillId="0" borderId="0" xfId="17" applyFont="1" applyBorder="1" applyAlignment="1">
      <alignment horizontal="center"/>
    </xf>
    <xf numFmtId="0" fontId="67" fillId="0" borderId="7" xfId="17" applyFont="1" applyBorder="1" applyAlignment="1">
      <alignment horizontal="center"/>
    </xf>
    <xf numFmtId="0" fontId="67" fillId="0" borderId="7" xfId="17" applyFont="1" applyFill="1" applyBorder="1" applyAlignment="1">
      <alignment horizontal="center"/>
    </xf>
    <xf numFmtId="0" fontId="67" fillId="0" borderId="6" xfId="17" applyFont="1" applyFill="1" applyBorder="1" applyAlignment="1">
      <alignment horizontal="center"/>
    </xf>
    <xf numFmtId="0" fontId="67" fillId="0" borderId="0" xfId="17" applyFont="1" applyFill="1" applyBorder="1" applyAlignment="1">
      <alignment horizontal="center"/>
    </xf>
    <xf numFmtId="178" fontId="2" fillId="0" borderId="0" xfId="17" applyNumberFormat="1" applyFill="1"/>
    <xf numFmtId="3" fontId="2" fillId="0" borderId="6" xfId="17" applyNumberFormat="1" applyBorder="1"/>
    <xf numFmtId="3" fontId="2" fillId="0" borderId="0" xfId="17" applyNumberFormat="1" applyBorder="1"/>
    <xf numFmtId="3" fontId="2" fillId="0" borderId="0" xfId="17" applyNumberFormat="1"/>
    <xf numFmtId="3" fontId="2" fillId="0" borderId="7" xfId="17" applyNumberFormat="1" applyBorder="1"/>
    <xf numFmtId="3" fontId="2" fillId="0" borderId="7" xfId="17" applyNumberFormat="1" applyFill="1" applyBorder="1"/>
    <xf numFmtId="3" fontId="2" fillId="0" borderId="6" xfId="17" applyNumberFormat="1" applyFill="1" applyBorder="1"/>
    <xf numFmtId="3" fontId="2" fillId="0" borderId="0" xfId="17" applyNumberFormat="1" applyFill="1" applyBorder="1"/>
    <xf numFmtId="3" fontId="2" fillId="0" borderId="9" xfId="17" applyNumberFormat="1" applyBorder="1"/>
    <xf numFmtId="3" fontId="2" fillId="0" borderId="10" xfId="17" applyNumberFormat="1" applyBorder="1"/>
    <xf numFmtId="3" fontId="2" fillId="0" borderId="11" xfId="17" applyNumberFormat="1" applyBorder="1"/>
    <xf numFmtId="3" fontId="2" fillId="0" borderId="11" xfId="17" applyNumberFormat="1" applyFill="1" applyBorder="1"/>
    <xf numFmtId="3" fontId="2" fillId="0" borderId="9" xfId="17" applyNumberFormat="1" applyFill="1" applyBorder="1"/>
    <xf numFmtId="3" fontId="2" fillId="0" borderId="10" xfId="17" applyNumberFormat="1" applyFill="1" applyBorder="1"/>
    <xf numFmtId="3" fontId="2" fillId="0" borderId="3" xfId="17" applyNumberFormat="1" applyBorder="1"/>
    <xf numFmtId="3" fontId="2" fillId="0" borderId="4" xfId="17" applyNumberFormat="1" applyBorder="1"/>
    <xf numFmtId="3" fontId="2" fillId="0" borderId="4" xfId="17" applyNumberFormat="1" applyFill="1" applyBorder="1"/>
    <xf numFmtId="3" fontId="2" fillId="0" borderId="13" xfId="17" applyNumberFormat="1" applyBorder="1"/>
    <xf numFmtId="3" fontId="2" fillId="0" borderId="15" xfId="17" applyNumberFormat="1" applyBorder="1"/>
    <xf numFmtId="3" fontId="2" fillId="0" borderId="14" xfId="17" applyNumberFormat="1" applyBorder="1"/>
    <xf numFmtId="3" fontId="2" fillId="0" borderId="14" xfId="17" applyNumberFormat="1" applyFill="1" applyBorder="1"/>
    <xf numFmtId="3" fontId="2" fillId="0" borderId="13" xfId="17" applyNumberFormat="1" applyFill="1" applyBorder="1"/>
    <xf numFmtId="3" fontId="2" fillId="0" borderId="15" xfId="17" applyNumberFormat="1" applyFill="1" applyBorder="1"/>
    <xf numFmtId="172" fontId="0" fillId="0" borderId="0" xfId="1" applyNumberFormat="1" applyFont="1"/>
    <xf numFmtId="172" fontId="0" fillId="0" borderId="0" xfId="1" applyNumberFormat="1" applyFont="1" applyFill="1"/>
    <xf numFmtId="41" fontId="2" fillId="0" borderId="0" xfId="17" applyNumberFormat="1"/>
    <xf numFmtId="41" fontId="2" fillId="0" borderId="0" xfId="17" applyNumberFormat="1" applyFill="1"/>
    <xf numFmtId="0" fontId="57" fillId="0" borderId="0" xfId="28"/>
    <xf numFmtId="0" fontId="57" fillId="0" borderId="10" xfId="28" applyBorder="1" applyAlignment="1">
      <alignment horizontal="center"/>
    </xf>
    <xf numFmtId="0" fontId="57" fillId="0" borderId="10" xfId="28" applyFill="1" applyBorder="1" applyAlignment="1">
      <alignment horizontal="center"/>
    </xf>
    <xf numFmtId="0" fontId="57" fillId="0" borderId="10" xfId="28" quotePrefix="1" applyFill="1" applyBorder="1" applyAlignment="1">
      <alignment horizontal="center"/>
    </xf>
    <xf numFmtId="172" fontId="2" fillId="0" borderId="0" xfId="17" applyNumberFormat="1"/>
    <xf numFmtId="172" fontId="2" fillId="0" borderId="0" xfId="17" applyNumberFormat="1" applyFill="1"/>
    <xf numFmtId="172" fontId="0" fillId="0" borderId="3" xfId="1" applyNumberFormat="1" applyFont="1" applyBorder="1"/>
    <xf numFmtId="172" fontId="0" fillId="0" borderId="3" xfId="1" applyNumberFormat="1" applyFont="1" applyFill="1" applyBorder="1"/>
    <xf numFmtId="172" fontId="2" fillId="0" borderId="0" xfId="1" applyNumberFormat="1" applyFont="1"/>
    <xf numFmtId="172" fontId="2" fillId="0" borderId="0" xfId="1" applyNumberFormat="1" applyFont="1" applyBorder="1"/>
    <xf numFmtId="172" fontId="2" fillId="0" borderId="0" xfId="1" applyNumberFormat="1" applyFont="1" applyFill="1" applyBorder="1"/>
    <xf numFmtId="0" fontId="2" fillId="2" borderId="0" xfId="17" applyFont="1" applyFill="1"/>
    <xf numFmtId="0" fontId="2" fillId="2" borderId="0" xfId="17" applyFill="1"/>
    <xf numFmtId="172" fontId="2" fillId="0" borderId="3" xfId="17" applyNumberFormat="1" applyBorder="1"/>
    <xf numFmtId="172" fontId="2" fillId="0" borderId="3" xfId="17" applyNumberFormat="1" applyFill="1" applyBorder="1"/>
    <xf numFmtId="3" fontId="4" fillId="0" borderId="0" xfId="17" applyNumberFormat="1" applyFont="1" applyFill="1" applyAlignment="1">
      <alignment horizontal="center"/>
    </xf>
    <xf numFmtId="3" fontId="4" fillId="0" borderId="0" xfId="17" applyNumberFormat="1" applyFont="1" applyFill="1"/>
    <xf numFmtId="42" fontId="4" fillId="0" borderId="0" xfId="17" applyNumberFormat="1" applyFont="1" applyFill="1" applyBorder="1"/>
    <xf numFmtId="5" fontId="4" fillId="0" borderId="0" xfId="17" applyNumberFormat="1" applyFont="1" applyFill="1" applyBorder="1"/>
    <xf numFmtId="0" fontId="2" fillId="0" borderId="0" xfId="17" applyFont="1" applyAlignment="1">
      <alignment horizontal="right"/>
    </xf>
    <xf numFmtId="3" fontId="6" fillId="6" borderId="8" xfId="6" applyNumberFormat="1" applyFont="1" applyFill="1" applyBorder="1" applyAlignment="1">
      <alignment horizontal="center"/>
    </xf>
    <xf numFmtId="37" fontId="4" fillId="0" borderId="0" xfId="20" applyNumberFormat="1" applyFont="1" applyBorder="1"/>
    <xf numFmtId="5" fontId="4" fillId="0" borderId="0" xfId="20" applyNumberFormat="1" applyFont="1" applyBorder="1"/>
    <xf numFmtId="0" fontId="4" fillId="0" borderId="0" xfId="20" applyFont="1" applyBorder="1"/>
    <xf numFmtId="5" fontId="9" fillId="0" borderId="0" xfId="20" applyNumberFormat="1" applyFont="1" applyBorder="1" applyAlignment="1">
      <alignment vertical="top"/>
    </xf>
    <xf numFmtId="0" fontId="11" fillId="5" borderId="0" xfId="0" applyFont="1" applyFill="1" applyAlignment="1">
      <alignment horizontal="center"/>
    </xf>
    <xf numFmtId="14" fontId="11" fillId="5" borderId="10" xfId="0" quotePrefix="1" applyNumberFormat="1" applyFont="1" applyFill="1" applyBorder="1" applyAlignment="1">
      <alignment horizontal="center"/>
    </xf>
    <xf numFmtId="0" fontId="10" fillId="0" borderId="0" xfId="0" applyFont="1" applyAlignment="1">
      <alignment wrapText="1"/>
    </xf>
    <xf numFmtId="173" fontId="11" fillId="0" borderId="0" xfId="2" applyNumberFormat="1" applyFont="1" applyFill="1" applyBorder="1"/>
    <xf numFmtId="42" fontId="10" fillId="0" borderId="0" xfId="0" quotePrefix="1" applyNumberFormat="1" applyFont="1" applyAlignment="1">
      <alignment horizontal="center"/>
    </xf>
    <xf numFmtId="42" fontId="4" fillId="0" borderId="0" xfId="20" quotePrefix="1" applyNumberFormat="1" applyFont="1" applyFill="1" applyBorder="1" applyAlignment="1">
      <alignment horizontal="right"/>
    </xf>
    <xf numFmtId="0" fontId="11" fillId="0" borderId="0" xfId="0" quotePrefix="1" applyFont="1" applyFill="1" applyAlignment="1">
      <alignment horizontal="center"/>
    </xf>
    <xf numFmtId="173" fontId="11" fillId="0" borderId="18" xfId="2" applyNumberFormat="1" applyFont="1" applyFill="1" applyBorder="1"/>
    <xf numFmtId="0" fontId="10" fillId="0" borderId="0" xfId="0" applyFont="1" applyFill="1" applyAlignment="1">
      <alignment horizontal="right"/>
    </xf>
    <xf numFmtId="173" fontId="11" fillId="0" borderId="12" xfId="0" applyNumberFormat="1" applyFont="1" applyFill="1" applyBorder="1"/>
    <xf numFmtId="10" fontId="10" fillId="0" borderId="0" xfId="7" applyNumberFormat="1" applyFont="1" applyFill="1"/>
    <xf numFmtId="0" fontId="11" fillId="0" borderId="0" xfId="0" applyFont="1" applyFill="1" applyAlignment="1">
      <alignment horizontal="right"/>
    </xf>
    <xf numFmtId="41" fontId="4" fillId="0" borderId="0" xfId="20" applyNumberFormat="1" applyFont="1" applyBorder="1"/>
    <xf numFmtId="0" fontId="11" fillId="0" borderId="0" xfId="0" applyFont="1" applyFill="1" applyBorder="1" applyAlignment="1"/>
    <xf numFmtId="0" fontId="11" fillId="0" borderId="0" xfId="0" applyFont="1" applyAlignment="1">
      <alignment horizontal="center"/>
    </xf>
    <xf numFmtId="0" fontId="4" fillId="0" borderId="0" xfId="0" applyFont="1" applyAlignment="1">
      <alignment horizontal="center"/>
    </xf>
    <xf numFmtId="10" fontId="33" fillId="0" borderId="0" xfId="7" applyNumberFormat="1" applyFont="1" applyBorder="1"/>
    <xf numFmtId="10" fontId="2" fillId="0" borderId="0" xfId="17" applyNumberFormat="1" applyBorder="1"/>
    <xf numFmtId="0" fontId="57" fillId="0" borderId="0" xfId="6" applyFont="1" applyFill="1" applyBorder="1"/>
    <xf numFmtId="0" fontId="33" fillId="0" borderId="19" xfId="6" applyFont="1" applyFill="1" applyBorder="1"/>
    <xf numFmtId="3" fontId="34" fillId="0" borderId="20" xfId="6" applyNumberFormat="1" applyFont="1" applyFill="1" applyBorder="1"/>
    <xf numFmtId="3" fontId="4" fillId="0" borderId="20" xfId="17" applyNumberFormat="1" applyFont="1" applyFill="1" applyBorder="1" applyAlignment="1">
      <alignment horizontal="center"/>
    </xf>
    <xf numFmtId="3" fontId="4" fillId="0" borderId="22" xfId="26" applyNumberFormat="1" applyFont="1" applyFill="1" applyBorder="1"/>
    <xf numFmtId="10" fontId="4" fillId="0" borderId="0" xfId="27" applyNumberFormat="1" applyFont="1" applyFill="1" applyBorder="1"/>
    <xf numFmtId="3" fontId="4" fillId="0" borderId="22" xfId="17" applyNumberFormat="1" applyFont="1" applyFill="1" applyBorder="1"/>
    <xf numFmtId="3" fontId="4" fillId="0" borderId="0" xfId="17" applyNumberFormat="1" applyFont="1" applyFill="1" applyBorder="1"/>
    <xf numFmtId="3" fontId="4" fillId="0" borderId="25" xfId="17" applyNumberFormat="1" applyFont="1" applyFill="1" applyBorder="1"/>
    <xf numFmtId="3" fontId="34" fillId="0" borderId="26" xfId="6" applyNumberFormat="1" applyFont="1" applyFill="1" applyBorder="1"/>
    <xf numFmtId="0" fontId="6" fillId="0" borderId="0" xfId="0" applyFont="1" applyFill="1" applyAlignment="1">
      <alignment horizontal="center"/>
    </xf>
    <xf numFmtId="10" fontId="26" fillId="0" borderId="0" xfId="7" applyNumberFormat="1" applyFont="1" applyFill="1" applyBorder="1" applyAlignment="1"/>
    <xf numFmtId="3" fontId="6" fillId="0" borderId="0" xfId="17" applyNumberFormat="1" applyFont="1" applyFill="1" applyAlignment="1">
      <alignment vertical="top" wrapText="1"/>
    </xf>
    <xf numFmtId="0" fontId="6" fillId="0" borderId="0" xfId="20" applyFont="1" applyBorder="1" applyAlignment="1">
      <alignment horizontal="right"/>
    </xf>
    <xf numFmtId="0" fontId="6" fillId="6" borderId="26" xfId="20" applyFont="1" applyFill="1" applyBorder="1" applyAlignment="1">
      <alignment horizontal="right"/>
    </xf>
    <xf numFmtId="0" fontId="6" fillId="0" borderId="19" xfId="20" applyFont="1" applyBorder="1" applyAlignment="1">
      <alignment horizontal="left"/>
    </xf>
    <xf numFmtId="0" fontId="4" fillId="0" borderId="20" xfId="20" applyFont="1" applyBorder="1"/>
    <xf numFmtId="0" fontId="4" fillId="0" borderId="21" xfId="20" applyFont="1" applyBorder="1"/>
    <xf numFmtId="0" fontId="10" fillId="4" borderId="42" xfId="0" applyFont="1" applyFill="1" applyBorder="1"/>
    <xf numFmtId="0" fontId="10" fillId="4" borderId="24" xfId="0" applyFont="1" applyFill="1" applyBorder="1" applyAlignment="1">
      <alignment horizontal="center"/>
    </xf>
    <xf numFmtId="0" fontId="10" fillId="4" borderId="22" xfId="0" applyFont="1" applyFill="1" applyBorder="1"/>
    <xf numFmtId="0" fontId="4" fillId="0" borderId="0" xfId="20" applyFont="1" applyBorder="1" applyAlignment="1">
      <alignment horizontal="center"/>
    </xf>
    <xf numFmtId="10" fontId="6" fillId="0" borderId="0" xfId="20" applyNumberFormat="1" applyFont="1" applyBorder="1" applyAlignment="1">
      <alignment horizontal="center"/>
    </xf>
    <xf numFmtId="10" fontId="6" fillId="0" borderId="23" xfId="7" applyNumberFormat="1" applyFont="1" applyBorder="1" applyAlignment="1">
      <alignment horizontal="center"/>
    </xf>
    <xf numFmtId="0" fontId="10" fillId="4" borderId="24" xfId="0" applyFont="1" applyFill="1" applyBorder="1"/>
    <xf numFmtId="0" fontId="6" fillId="0" borderId="23" xfId="20" applyFont="1" applyBorder="1" applyAlignment="1">
      <alignment horizontal="center"/>
    </xf>
    <xf numFmtId="0" fontId="6" fillId="0" borderId="22" xfId="20" applyFont="1" applyBorder="1" applyAlignment="1">
      <alignment horizontal="center"/>
    </xf>
    <xf numFmtId="0" fontId="6" fillId="0" borderId="0" xfId="20" applyFont="1" applyBorder="1" applyAlignment="1">
      <alignment horizontal="center"/>
    </xf>
    <xf numFmtId="169" fontId="25" fillId="4" borderId="23" xfId="7" applyNumberFormat="1" applyFont="1" applyFill="1" applyBorder="1"/>
    <xf numFmtId="0" fontId="6" fillId="0" borderId="25" xfId="20" applyFont="1" applyBorder="1" applyAlignment="1">
      <alignment horizontal="center"/>
    </xf>
    <xf numFmtId="0" fontId="6" fillId="0" borderId="26" xfId="20" applyFont="1" applyBorder="1" applyAlignment="1">
      <alignment horizontal="center"/>
    </xf>
    <xf numFmtId="0" fontId="6" fillId="0" borderId="27" xfId="20" applyFont="1" applyBorder="1" applyAlignment="1">
      <alignment horizontal="center"/>
    </xf>
    <xf numFmtId="0" fontId="6" fillId="6" borderId="26" xfId="20" applyFont="1" applyFill="1" applyBorder="1" applyAlignment="1">
      <alignment horizontal="center"/>
    </xf>
    <xf numFmtId="10" fontId="6" fillId="6" borderId="26" xfId="20" applyNumberFormat="1" applyFont="1" applyFill="1" applyBorder="1" applyAlignment="1">
      <alignment horizontal="right"/>
    </xf>
    <xf numFmtId="37" fontId="6" fillId="0" borderId="19" xfId="20" applyNumberFormat="1" applyFont="1" applyBorder="1"/>
    <xf numFmtId="37" fontId="4" fillId="0" borderId="20" xfId="20" applyNumberFormat="1" applyFont="1" applyBorder="1"/>
    <xf numFmtId="0" fontId="4" fillId="0" borderId="21" xfId="6" applyFont="1" applyBorder="1"/>
    <xf numFmtId="37" fontId="4" fillId="0" borderId="22" xfId="20" applyNumberFormat="1" applyFont="1" applyBorder="1"/>
    <xf numFmtId="0" fontId="4" fillId="0" borderId="23" xfId="6" applyFont="1" applyBorder="1"/>
    <xf numFmtId="37" fontId="4" fillId="0" borderId="25" xfId="20" applyNumberFormat="1" applyFont="1" applyBorder="1"/>
    <xf numFmtId="173" fontId="4" fillId="0" borderId="26" xfId="2" applyNumberFormat="1" applyFont="1" applyBorder="1"/>
    <xf numFmtId="173" fontId="6" fillId="0" borderId="26" xfId="2" applyNumberFormat="1" applyFont="1" applyBorder="1"/>
    <xf numFmtId="37" fontId="4" fillId="0" borderId="26" xfId="20" applyNumberFormat="1" applyFont="1" applyBorder="1"/>
    <xf numFmtId="0" fontId="4" fillId="0" borderId="27" xfId="6" applyFont="1" applyBorder="1"/>
    <xf numFmtId="0" fontId="4" fillId="0" borderId="19" xfId="6" applyFont="1" applyBorder="1"/>
    <xf numFmtId="2" fontId="6" fillId="0" borderId="20" xfId="20" applyNumberFormat="1" applyFont="1" applyBorder="1" applyAlignment="1">
      <alignment horizontal="center"/>
    </xf>
    <xf numFmtId="0" fontId="4" fillId="0" borderId="20" xfId="6" applyFont="1" applyBorder="1"/>
    <xf numFmtId="0" fontId="4" fillId="0" borderId="22" xfId="6" applyFont="1" applyBorder="1"/>
    <xf numFmtId="5" fontId="6" fillId="0" borderId="0" xfId="20" applyNumberFormat="1" applyFont="1" applyBorder="1" applyAlignment="1">
      <alignment horizontal="right"/>
    </xf>
    <xf numFmtId="10" fontId="4" fillId="0" borderId="0" xfId="7" applyNumberFormat="1" applyFont="1" applyBorder="1"/>
    <xf numFmtId="10" fontId="4" fillId="0" borderId="0" xfId="20" applyNumberFormat="1" applyFont="1" applyBorder="1"/>
    <xf numFmtId="37" fontId="6" fillId="0" borderId="0" xfId="20" applyNumberFormat="1" applyFont="1" applyBorder="1" applyAlignment="1">
      <alignment horizontal="right"/>
    </xf>
    <xf numFmtId="37" fontId="6" fillId="0" borderId="0" xfId="20" applyNumberFormat="1" applyFont="1" applyBorder="1"/>
    <xf numFmtId="0" fontId="4" fillId="0" borderId="25" xfId="6" applyFont="1" applyBorder="1"/>
    <xf numFmtId="0" fontId="4" fillId="0" borderId="26" xfId="6" applyFont="1" applyBorder="1"/>
    <xf numFmtId="5" fontId="4" fillId="0" borderId="22" xfId="6" applyNumberFormat="1" applyFont="1" applyBorder="1"/>
    <xf numFmtId="5" fontId="4" fillId="0" borderId="0" xfId="20" applyNumberFormat="1" applyFont="1" applyBorder="1" applyAlignment="1">
      <alignment horizontal="right"/>
    </xf>
    <xf numFmtId="37" fontId="4" fillId="0" borderId="0" xfId="20" applyNumberFormat="1" applyFont="1" applyBorder="1" applyAlignment="1">
      <alignment horizontal="right"/>
    </xf>
    <xf numFmtId="0" fontId="68" fillId="0" borderId="0" xfId="6" applyFont="1" applyFill="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30" fillId="4" borderId="19" xfId="0" applyFont="1" applyFill="1" applyBorder="1"/>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26" fillId="4" borderId="24" xfId="17" applyFont="1" applyFill="1" applyBorder="1" applyAlignment="1">
      <alignment wrapText="1"/>
    </xf>
    <xf numFmtId="0" fontId="26" fillId="4" borderId="10" xfId="17" applyFont="1" applyFill="1" applyBorder="1" applyAlignment="1">
      <alignment horizontal="center" wrapText="1"/>
    </xf>
    <xf numFmtId="0" fontId="26" fillId="4" borderId="31" xfId="17" applyFont="1" applyFill="1" applyBorder="1" applyAlignment="1">
      <alignment horizontal="center" wrapText="1"/>
    </xf>
    <xf numFmtId="0" fontId="60" fillId="4" borderId="22" xfId="24" applyFont="1" applyFill="1" applyBorder="1"/>
    <xf numFmtId="10" fontId="36" fillId="4" borderId="0" xfId="7" applyNumberFormat="1" applyFont="1" applyFill="1" applyBorder="1"/>
    <xf numFmtId="10" fontId="36" fillId="4" borderId="23" xfId="7" applyNumberFormat="1" applyFont="1" applyFill="1" applyBorder="1"/>
    <xf numFmtId="0" fontId="26" fillId="4" borderId="22" xfId="17" applyFont="1" applyFill="1" applyBorder="1"/>
    <xf numFmtId="10" fontId="36" fillId="4" borderId="10" xfId="7" applyNumberFormat="1" applyFont="1" applyFill="1" applyBorder="1"/>
    <xf numFmtId="0" fontId="25" fillId="4" borderId="0" xfId="0" applyFont="1" applyFill="1" applyBorder="1"/>
    <xf numFmtId="10" fontId="10" fillId="4" borderId="0" xfId="0" applyNumberFormat="1" applyFont="1" applyFill="1" applyBorder="1"/>
    <xf numFmtId="10" fontId="36" fillId="4" borderId="31" xfId="7" applyNumberFormat="1" applyFont="1" applyFill="1" applyBorder="1"/>
    <xf numFmtId="0" fontId="26" fillId="4" borderId="25" xfId="17" applyFont="1" applyFill="1" applyBorder="1" applyAlignment="1">
      <alignment horizontal="right"/>
    </xf>
    <xf numFmtId="0" fontId="10" fillId="4" borderId="26" xfId="0" applyFont="1" applyFill="1" applyBorder="1"/>
    <xf numFmtId="10" fontId="60" fillId="6" borderId="39" xfId="7" applyNumberFormat="1" applyFont="1" applyFill="1" applyBorder="1"/>
    <xf numFmtId="0" fontId="10" fillId="4" borderId="0" xfId="0" applyFont="1" applyFill="1" applyBorder="1"/>
    <xf numFmtId="42" fontId="10" fillId="0" borderId="0" xfId="0" applyNumberFormat="1" applyFont="1"/>
    <xf numFmtId="0" fontId="71" fillId="4" borderId="19" xfId="0" applyFont="1" applyFill="1" applyBorder="1"/>
    <xf numFmtId="0" fontId="60" fillId="6" borderId="22" xfId="24" applyFont="1" applyFill="1" applyBorder="1"/>
    <xf numFmtId="10" fontId="36" fillId="6" borderId="0" xfId="7" applyNumberFormat="1" applyFont="1" applyFill="1" applyBorder="1"/>
    <xf numFmtId="10" fontId="36" fillId="6" borderId="23" xfId="7" applyNumberFormat="1" applyFont="1" applyFill="1" applyBorder="1"/>
    <xf numFmtId="0" fontId="26" fillId="6" borderId="22" xfId="17" applyFont="1" applyFill="1" applyBorder="1"/>
    <xf numFmtId="10" fontId="36" fillId="6" borderId="10" xfId="7" applyNumberFormat="1" applyFont="1" applyFill="1" applyBorder="1"/>
    <xf numFmtId="0" fontId="25" fillId="6" borderId="0" xfId="0" applyFont="1" applyFill="1" applyBorder="1"/>
    <xf numFmtId="0" fontId="10" fillId="6" borderId="0" xfId="0" applyFont="1" applyFill="1" applyBorder="1"/>
    <xf numFmtId="10" fontId="36" fillId="6" borderId="31" xfId="7" applyNumberFormat="1" applyFont="1" applyFill="1" applyBorder="1"/>
    <xf numFmtId="10" fontId="15" fillId="6" borderId="0" xfId="0" applyNumberFormat="1" applyFont="1" applyFill="1" applyBorder="1"/>
    <xf numFmtId="37" fontId="4" fillId="0" borderId="0" xfId="20" applyNumberFormat="1" applyFont="1" applyFill="1" applyBorder="1"/>
    <xf numFmtId="0" fontId="56" fillId="0" borderId="0" xfId="26" applyFont="1" applyFill="1" applyBorder="1" applyAlignment="1">
      <alignment horizontal="center"/>
    </xf>
    <xf numFmtId="0" fontId="1" fillId="0" borderId="0" xfId="26" applyFont="1" applyFill="1" applyBorder="1"/>
    <xf numFmtId="5" fontId="6" fillId="0" borderId="0" xfId="6" applyNumberFormat="1" applyFont="1" applyBorder="1"/>
    <xf numFmtId="0" fontId="1" fillId="0" borderId="0" xfId="26" quotePrefix="1" applyFont="1" applyFill="1" applyBorder="1" applyAlignment="1">
      <alignment horizontal="center"/>
    </xf>
    <xf numFmtId="0" fontId="1" fillId="0" borderId="0" xfId="26" applyFont="1" applyFill="1" applyBorder="1" applyAlignment="1">
      <alignment horizontal="center"/>
    </xf>
    <xf numFmtId="14" fontId="56" fillId="0" borderId="0" xfId="26" applyNumberFormat="1" applyFont="1" applyFill="1" applyBorder="1" applyAlignment="1">
      <alignment horizontal="center"/>
    </xf>
    <xf numFmtId="173" fontId="6" fillId="6" borderId="28" xfId="2" applyNumberFormat="1" applyFont="1" applyFill="1" applyBorder="1"/>
    <xf numFmtId="37" fontId="11" fillId="6" borderId="29" xfId="20" applyNumberFormat="1" applyFont="1" applyFill="1" applyBorder="1"/>
    <xf numFmtId="10" fontId="4" fillId="6" borderId="30" xfId="20" applyNumberFormat="1" applyFont="1" applyFill="1" applyBorder="1"/>
    <xf numFmtId="37" fontId="6" fillId="6" borderId="23" xfId="20" applyNumberFormat="1" applyFont="1" applyFill="1" applyBorder="1" applyAlignment="1">
      <alignment horizontal="center"/>
    </xf>
    <xf numFmtId="37" fontId="6" fillId="6" borderId="31" xfId="20" applyNumberFormat="1" applyFont="1" applyFill="1" applyBorder="1" applyAlignment="1">
      <alignment horizontal="center"/>
    </xf>
    <xf numFmtId="0" fontId="48" fillId="6" borderId="21" xfId="20" applyFont="1" applyFill="1" applyBorder="1"/>
    <xf numFmtId="0" fontId="6" fillId="0" borderId="41" xfId="17" applyFont="1" applyFill="1" applyBorder="1" applyAlignment="1">
      <alignment horizontal="center"/>
    </xf>
    <xf numFmtId="10" fontId="2" fillId="0" borderId="23" xfId="7" applyNumberFormat="1" applyFont="1" applyFill="1" applyBorder="1"/>
    <xf numFmtId="10" fontId="57" fillId="0" borderId="23" xfId="6" applyNumberFormat="1" applyFont="1" applyFill="1" applyBorder="1"/>
    <xf numFmtId="0" fontId="57" fillId="0" borderId="31" xfId="6" applyFont="1" applyFill="1" applyBorder="1"/>
    <xf numFmtId="10" fontId="57" fillId="0" borderId="39" xfId="6" applyNumberFormat="1" applyFont="1" applyFill="1" applyBorder="1"/>
    <xf numFmtId="10" fontId="73" fillId="0" borderId="0" xfId="7" applyNumberFormat="1" applyFont="1" applyFill="1"/>
    <xf numFmtId="10" fontId="4" fillId="0" borderId="0" xfId="7" applyNumberFormat="1" applyFont="1" applyFill="1" applyAlignment="1">
      <alignment vertical="center" wrapText="1"/>
    </xf>
    <xf numFmtId="10" fontId="4" fillId="6" borderId="0" xfId="7" applyNumberFormat="1" applyFont="1" applyFill="1" applyAlignment="1"/>
    <xf numFmtId="3" fontId="4" fillId="6" borderId="0" xfId="17" applyNumberFormat="1" applyFont="1" applyFill="1"/>
    <xf numFmtId="10" fontId="4" fillId="6" borderId="0" xfId="7" applyNumberFormat="1" applyFont="1" applyFill="1" applyAlignment="1">
      <alignment horizontal="left"/>
    </xf>
    <xf numFmtId="10" fontId="2" fillId="6" borderId="0" xfId="17" applyNumberFormat="1" applyFill="1"/>
    <xf numFmtId="0" fontId="6" fillId="6" borderId="35" xfId="17" applyFont="1" applyFill="1" applyBorder="1" applyAlignment="1">
      <alignment horizontal="center"/>
    </xf>
    <xf numFmtId="10" fontId="2" fillId="6" borderId="36" xfId="7" applyNumberFormat="1" applyFont="1" applyFill="1" applyBorder="1"/>
    <xf numFmtId="10" fontId="57" fillId="6" borderId="36" xfId="6" applyNumberFormat="1" applyFont="1" applyFill="1" applyBorder="1"/>
    <xf numFmtId="0" fontId="57" fillId="6" borderId="37" xfId="6" applyFont="1" applyFill="1" applyBorder="1"/>
    <xf numFmtId="10" fontId="57" fillId="6" borderId="40" xfId="6" applyNumberFormat="1" applyFont="1" applyFill="1" applyBorder="1"/>
    <xf numFmtId="10" fontId="4" fillId="6" borderId="23" xfId="7" applyNumberFormat="1" applyFont="1" applyFill="1" applyBorder="1"/>
    <xf numFmtId="10" fontId="4" fillId="6" borderId="31" xfId="7" applyNumberFormat="1" applyFont="1" applyFill="1" applyBorder="1"/>
    <xf numFmtId="10" fontId="4" fillId="6" borderId="27" xfId="7" applyNumberFormat="1" applyFont="1" applyFill="1" applyBorder="1"/>
    <xf numFmtId="0" fontId="74" fillId="6" borderId="0" xfId="0" applyFont="1" applyFill="1"/>
    <xf numFmtId="0" fontId="33" fillId="6" borderId="4" xfId="6" applyFont="1" applyFill="1" applyBorder="1"/>
    <xf numFmtId="3" fontId="11" fillId="6" borderId="0" xfId="0" applyNumberFormat="1" applyFont="1" applyFill="1" applyAlignment="1"/>
    <xf numFmtId="3" fontId="6" fillId="6" borderId="1" xfId="6" applyNumberFormat="1" applyFont="1" applyFill="1" applyBorder="1" applyAlignment="1">
      <alignment horizontal="center"/>
    </xf>
    <xf numFmtId="37" fontId="33" fillId="6" borderId="0" xfId="6" applyNumberFormat="1" applyFont="1" applyFill="1"/>
    <xf numFmtId="41" fontId="4" fillId="6" borderId="0" xfId="6" applyNumberFormat="1" applyFont="1" applyFill="1"/>
    <xf numFmtId="10" fontId="60" fillId="0" borderId="18" xfId="7" applyNumberFormat="1" applyFont="1" applyFill="1" applyBorder="1"/>
    <xf numFmtId="3" fontId="34" fillId="0" borderId="18" xfId="6" applyNumberFormat="1" applyFont="1" applyFill="1" applyBorder="1"/>
    <xf numFmtId="4" fontId="6" fillId="0" borderId="18" xfId="6" applyNumberFormat="1" applyFont="1" applyFill="1" applyBorder="1" applyAlignment="1">
      <alignment horizontal="center"/>
    </xf>
    <xf numFmtId="10" fontId="6" fillId="8" borderId="0" xfId="20" applyNumberFormat="1" applyFont="1" applyFill="1" applyBorder="1" applyAlignment="1">
      <alignment horizontal="center"/>
    </xf>
    <xf numFmtId="37" fontId="6" fillId="8" borderId="0" xfId="20" applyNumberFormat="1" applyFont="1" applyFill="1" applyBorder="1" applyAlignment="1">
      <alignment horizontal="right"/>
    </xf>
    <xf numFmtId="10" fontId="4" fillId="8" borderId="0" xfId="7" applyNumberFormat="1" applyFont="1" applyFill="1"/>
    <xf numFmtId="0" fontId="34" fillId="0" borderId="10" xfId="6" applyFont="1" applyFill="1" applyBorder="1" applyAlignment="1">
      <alignment horizontal="right"/>
    </xf>
    <xf numFmtId="3" fontId="33" fillId="0" borderId="19" xfId="6" applyNumberFormat="1" applyFont="1" applyFill="1" applyBorder="1"/>
    <xf numFmtId="3" fontId="33" fillId="0" borderId="20" xfId="6" applyNumberFormat="1" applyFont="1" applyFill="1" applyBorder="1"/>
    <xf numFmtId="3" fontId="33" fillId="0" borderId="21" xfId="6" applyNumberFormat="1" applyFont="1" applyFill="1" applyBorder="1"/>
    <xf numFmtId="0" fontId="4" fillId="0" borderId="0" xfId="17" applyFont="1" applyBorder="1" applyAlignment="1">
      <alignment horizontal="right"/>
    </xf>
    <xf numFmtId="0" fontId="6" fillId="0" borderId="35" xfId="17" applyFont="1" applyFill="1" applyBorder="1" applyAlignment="1">
      <alignment horizontal="center"/>
    </xf>
    <xf numFmtId="10" fontId="2" fillId="0" borderId="36" xfId="7" applyNumberFormat="1" applyFont="1" applyFill="1" applyBorder="1"/>
    <xf numFmtId="10" fontId="57" fillId="0" borderId="36" xfId="6" applyNumberFormat="1" applyFont="1" applyFill="1" applyBorder="1"/>
    <xf numFmtId="0" fontId="57" fillId="0" borderId="37" xfId="6" applyFont="1" applyFill="1" applyBorder="1"/>
    <xf numFmtId="10" fontId="57" fillId="0" borderId="40" xfId="6" applyNumberFormat="1" applyFont="1" applyFill="1" applyBorder="1"/>
    <xf numFmtId="10" fontId="2" fillId="2" borderId="36" xfId="7" applyNumberFormat="1" applyFont="1" applyFill="1" applyBorder="1"/>
    <xf numFmtId="10" fontId="36" fillId="2" borderId="23" xfId="7" applyNumberFormat="1" applyFont="1" applyFill="1" applyBorder="1"/>
    <xf numFmtId="10" fontId="36" fillId="2" borderId="0" xfId="7" applyNumberFormat="1" applyFont="1" applyFill="1" applyBorder="1"/>
    <xf numFmtId="0" fontId="4" fillId="0" borderId="0" xfId="0" applyFont="1" applyAlignment="1">
      <alignment horizontal="center"/>
    </xf>
    <xf numFmtId="0" fontId="11" fillId="0" borderId="0" xfId="0" applyFont="1" applyAlignment="1">
      <alignment horizontal="center"/>
    </xf>
    <xf numFmtId="0" fontId="6" fillId="0" borderId="0" xfId="0" applyFont="1" applyBorder="1" applyAlignment="1">
      <alignment horizontal="center"/>
    </xf>
    <xf numFmtId="0" fontId="11" fillId="0" borderId="0" xfId="5" applyNumberFormat="1" applyFont="1" applyAlignment="1">
      <alignment horizontal="center"/>
    </xf>
    <xf numFmtId="0" fontId="11" fillId="0" borderId="0" xfId="0" applyFont="1" applyFill="1" applyAlignment="1">
      <alignment horizontal="center"/>
    </xf>
    <xf numFmtId="0" fontId="10" fillId="0" borderId="0" xfId="0" applyFont="1" applyAlignment="1">
      <alignment horizontal="center"/>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26" fillId="0" borderId="0" xfId="0" applyFont="1" applyAlignment="1">
      <alignment horizontal="center"/>
    </xf>
    <xf numFmtId="0" fontId="11" fillId="4" borderId="28" xfId="0" applyFont="1" applyFill="1" applyBorder="1" applyAlignment="1">
      <alignment horizontal="left" vertical="top" wrapText="1"/>
    </xf>
    <xf numFmtId="0" fontId="11" fillId="4" borderId="29" xfId="0" applyFont="1" applyFill="1" applyBorder="1" applyAlignment="1">
      <alignment horizontal="left" vertical="top" wrapText="1"/>
    </xf>
    <xf numFmtId="0" fontId="11" fillId="4" borderId="30" xfId="0" applyFont="1" applyFill="1" applyBorder="1" applyAlignment="1">
      <alignment horizontal="left" vertical="top" wrapText="1"/>
    </xf>
    <xf numFmtId="0" fontId="11" fillId="4" borderId="28" xfId="17" applyFont="1" applyFill="1" applyBorder="1" applyAlignment="1">
      <alignment horizontal="left" vertical="top"/>
    </xf>
    <xf numFmtId="0" fontId="11" fillId="4" borderId="29" xfId="17" applyFont="1" applyFill="1" applyBorder="1" applyAlignment="1">
      <alignment horizontal="left" vertical="top"/>
    </xf>
    <xf numFmtId="0" fontId="11" fillId="4" borderId="30" xfId="17" applyFont="1" applyFill="1" applyBorder="1" applyAlignment="1">
      <alignment horizontal="left" vertical="top"/>
    </xf>
    <xf numFmtId="0" fontId="11" fillId="0" borderId="28"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30" xfId="0" applyFont="1" applyFill="1" applyBorder="1" applyAlignment="1">
      <alignment horizontal="left" vertical="top" wrapText="1"/>
    </xf>
    <xf numFmtId="0" fontId="4" fillId="0" borderId="20" xfId="20" applyFont="1" applyBorder="1" applyAlignment="1">
      <alignment horizontal="center" wrapText="1"/>
    </xf>
    <xf numFmtId="0" fontId="4" fillId="0" borderId="10" xfId="20" applyFont="1" applyBorder="1" applyAlignment="1">
      <alignment horizontal="center" wrapText="1"/>
    </xf>
    <xf numFmtId="0" fontId="4" fillId="0" borderId="23" xfId="20" applyFont="1" applyBorder="1" applyAlignment="1">
      <alignment horizontal="center" wrapText="1"/>
    </xf>
    <xf numFmtId="0" fontId="4" fillId="0" borderId="31" xfId="20" applyFont="1" applyBorder="1" applyAlignment="1">
      <alignment horizontal="center" wrapText="1"/>
    </xf>
    <xf numFmtId="0" fontId="11" fillId="6" borderId="28" xfId="20" applyFont="1" applyFill="1" applyBorder="1" applyAlignment="1">
      <alignment horizontal="center"/>
    </xf>
    <xf numFmtId="0" fontId="11" fillId="6" borderId="29" xfId="20" applyFont="1" applyFill="1" applyBorder="1" applyAlignment="1">
      <alignment horizontal="center"/>
    </xf>
    <xf numFmtId="0" fontId="11" fillId="6" borderId="30" xfId="20" applyFont="1" applyFill="1" applyBorder="1" applyAlignment="1">
      <alignment horizontal="center"/>
    </xf>
    <xf numFmtId="37" fontId="72" fillId="0" borderId="43" xfId="20" applyNumberFormat="1" applyFont="1" applyBorder="1" applyAlignment="1">
      <alignment horizontal="center" vertical="center" wrapText="1"/>
    </xf>
    <xf numFmtId="37" fontId="72" fillId="0" borderId="6" xfId="20" applyNumberFormat="1" applyFont="1" applyBorder="1" applyAlignment="1">
      <alignment horizontal="center" vertical="center" wrapText="1"/>
    </xf>
    <xf numFmtId="37" fontId="72" fillId="0" borderId="23" xfId="20" applyNumberFormat="1" applyFont="1" applyBorder="1" applyAlignment="1">
      <alignment horizontal="center" vertical="center" wrapText="1"/>
    </xf>
    <xf numFmtId="3" fontId="6" fillId="0" borderId="0" xfId="17" quotePrefix="1" applyNumberFormat="1" applyFont="1" applyFill="1" applyAlignment="1">
      <alignment horizontal="left" vertical="top" wrapText="1"/>
    </xf>
    <xf numFmtId="10" fontId="4" fillId="0" borderId="0" xfId="7" applyNumberFormat="1" applyFont="1" applyFill="1" applyAlignment="1">
      <alignment horizontal="center" vertical="center" wrapText="1"/>
    </xf>
    <xf numFmtId="3" fontId="4" fillId="0" borderId="10" xfId="17" applyNumberFormat="1" applyFont="1" applyFill="1" applyBorder="1" applyAlignment="1">
      <alignment horizontal="center"/>
    </xf>
    <xf numFmtId="3" fontId="4" fillId="0" borderId="0" xfId="17" applyNumberFormat="1" applyFont="1" applyFill="1" applyAlignment="1">
      <alignment horizontal="center"/>
    </xf>
    <xf numFmtId="3" fontId="59" fillId="0" borderId="0" xfId="18" applyNumberFormat="1" applyFont="1" applyFill="1" applyBorder="1" applyAlignment="1">
      <alignment horizontal="center"/>
    </xf>
    <xf numFmtId="3" fontId="26" fillId="0" borderId="0" xfId="17" applyNumberFormat="1" applyFont="1" applyFill="1" applyBorder="1" applyAlignment="1">
      <alignment horizontal="left"/>
    </xf>
    <xf numFmtId="3" fontId="59" fillId="0" borderId="0" xfId="17" applyNumberFormat="1" applyFont="1" applyFill="1" applyBorder="1" applyAlignment="1">
      <alignment horizontal="center"/>
    </xf>
    <xf numFmtId="3" fontId="30" fillId="0" borderId="0" xfId="17" applyNumberFormat="1" applyFont="1" applyFill="1" applyBorder="1" applyAlignment="1">
      <alignment horizontal="left"/>
    </xf>
    <xf numFmtId="3" fontId="4" fillId="0" borderId="0" xfId="17" applyNumberFormat="1" applyFont="1" applyFill="1" applyBorder="1" applyAlignment="1">
      <alignment horizontal="center"/>
    </xf>
    <xf numFmtId="0" fontId="64" fillId="0" borderId="22" xfId="6" applyFont="1" applyBorder="1" applyAlignment="1">
      <alignment horizontal="center" vertical="top"/>
    </xf>
    <xf numFmtId="0" fontId="64" fillId="0" borderId="0" xfId="6" applyFont="1" applyBorder="1" applyAlignment="1">
      <alignment horizontal="center" vertical="top"/>
    </xf>
    <xf numFmtId="0" fontId="64" fillId="0" borderId="23" xfId="6" applyFont="1" applyBorder="1" applyAlignment="1">
      <alignment horizontal="center" vertical="top"/>
    </xf>
    <xf numFmtId="0" fontId="64" fillId="0" borderId="25" xfId="6" applyFont="1" applyBorder="1" applyAlignment="1">
      <alignment horizontal="center" vertical="top"/>
    </xf>
    <xf numFmtId="0" fontId="64" fillId="0" borderId="26" xfId="6" applyFont="1" applyBorder="1" applyAlignment="1">
      <alignment horizontal="center" vertical="top"/>
    </xf>
    <xf numFmtId="0" fontId="64" fillId="0" borderId="27" xfId="6" applyFont="1" applyBorder="1" applyAlignment="1">
      <alignment horizontal="center" vertical="top"/>
    </xf>
    <xf numFmtId="0" fontId="67" fillId="0" borderId="6" xfId="17" quotePrefix="1" applyFont="1" applyBorder="1" applyAlignment="1">
      <alignment horizontal="center"/>
    </xf>
    <xf numFmtId="0" fontId="67" fillId="0" borderId="0" xfId="17" quotePrefix="1" applyFont="1" applyBorder="1" applyAlignment="1">
      <alignment horizontal="center"/>
    </xf>
    <xf numFmtId="0" fontId="67" fillId="0" borderId="7" xfId="17" quotePrefix="1" applyFont="1" applyBorder="1" applyAlignment="1">
      <alignment horizontal="center"/>
    </xf>
    <xf numFmtId="0" fontId="67" fillId="0" borderId="6" xfId="17" quotePrefix="1" applyFont="1" applyFill="1" applyBorder="1" applyAlignment="1">
      <alignment horizontal="center"/>
    </xf>
    <xf numFmtId="0" fontId="67" fillId="0" borderId="0" xfId="17" quotePrefix="1" applyFont="1" applyFill="1" applyBorder="1" applyAlignment="1">
      <alignment horizontal="center"/>
    </xf>
    <xf numFmtId="0" fontId="67" fillId="0" borderId="7" xfId="17" quotePrefix="1" applyFont="1" applyFill="1" applyBorder="1" applyAlignment="1">
      <alignment horizontal="center"/>
    </xf>
    <xf numFmtId="0" fontId="10" fillId="0" borderId="0" xfId="0" applyFont="1" applyAlignment="1">
      <alignment horizontal="left" vertical="top" wrapText="1"/>
    </xf>
    <xf numFmtId="0" fontId="10" fillId="0" borderId="28" xfId="13" applyFont="1" applyBorder="1" applyAlignment="1">
      <alignment horizontal="center"/>
    </xf>
    <xf numFmtId="0" fontId="10" fillId="0" borderId="29" xfId="13" applyFont="1" applyBorder="1" applyAlignment="1">
      <alignment horizontal="center"/>
    </xf>
    <xf numFmtId="0" fontId="10" fillId="0" borderId="30" xfId="13" applyFont="1" applyBorder="1" applyAlignment="1">
      <alignment horizontal="center"/>
    </xf>
    <xf numFmtId="4" fontId="38" fillId="0" borderId="0" xfId="13" applyNumberFormat="1" applyFont="1" applyBorder="1" applyAlignment="1">
      <alignment horizontal="center"/>
    </xf>
    <xf numFmtId="4" fontId="11" fillId="0" borderId="0" xfId="13" applyNumberFormat="1" applyFont="1" applyBorder="1" applyAlignment="1">
      <alignment horizontal="center"/>
    </xf>
    <xf numFmtId="4" fontId="39" fillId="0" borderId="0" xfId="13" applyNumberFormat="1" applyFont="1" applyBorder="1" applyAlignment="1">
      <alignment horizontal="center"/>
    </xf>
    <xf numFmtId="4" fontId="10" fillId="0" borderId="0" xfId="13" applyNumberFormat="1" applyFont="1"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10" fillId="0" borderId="0" xfId="0" applyFont="1" applyAlignment="1">
      <alignment horizontal="left" vertical="top"/>
    </xf>
    <xf numFmtId="0" fontId="11" fillId="0" borderId="0" xfId="0" applyFont="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11" fillId="0" borderId="0" xfId="5" applyNumberFormat="1" applyFont="1" applyAlignment="1">
      <alignment horizontal="center"/>
    </xf>
    <xf numFmtId="0" fontId="11" fillId="0" borderId="0" xfId="0" applyFont="1" applyFill="1" applyAlignment="1">
      <alignment horizontal="center"/>
    </xf>
    <xf numFmtId="0" fontId="11" fillId="0" borderId="10" xfId="0" applyFont="1" applyBorder="1" applyAlignment="1">
      <alignment horizontal="center" wrapText="1"/>
    </xf>
    <xf numFmtId="0" fontId="11" fillId="6" borderId="0" xfId="0" applyFont="1" applyFill="1" applyAlignment="1">
      <alignment horizontal="left" vertical="center" wrapText="1"/>
    </xf>
    <xf numFmtId="0" fontId="11" fillId="0" borderId="15" xfId="0" applyFont="1" applyFill="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11" fillId="4" borderId="25" xfId="0" applyFont="1" applyFill="1" applyBorder="1" applyAlignment="1">
      <alignment horizontal="left" vertical="top" wrapText="1"/>
    </xf>
    <xf numFmtId="0" fontId="11" fillId="4" borderId="26" xfId="0" applyFont="1" applyFill="1" applyBorder="1" applyAlignment="1">
      <alignment horizontal="left" vertical="top" wrapText="1"/>
    </xf>
    <xf numFmtId="0" fontId="11" fillId="4" borderId="27" xfId="0" applyFont="1" applyFill="1" applyBorder="1" applyAlignment="1">
      <alignment horizontal="left" vertical="top" wrapText="1"/>
    </xf>
    <xf numFmtId="0" fontId="11" fillId="4" borderId="25" xfId="0" quotePrefix="1" applyFont="1" applyFill="1" applyBorder="1" applyAlignment="1">
      <alignment horizontal="left" vertical="top" wrapText="1"/>
    </xf>
    <xf numFmtId="0" fontId="6" fillId="0" borderId="0" xfId="0" applyFont="1" applyAlignment="1">
      <alignment horizontal="center"/>
    </xf>
    <xf numFmtId="0" fontId="11" fillId="5" borderId="10" xfId="0" quotePrefix="1" applyFont="1" applyFill="1" applyBorder="1" applyAlignment="1">
      <alignment horizontal="center"/>
    </xf>
    <xf numFmtId="0" fontId="11" fillId="0" borderId="0" xfId="0" applyFont="1" applyFill="1" applyBorder="1" applyAlignment="1">
      <alignment horizontal="center"/>
    </xf>
    <xf numFmtId="37" fontId="25" fillId="0" borderId="0" xfId="5" applyNumberFormat="1" applyFont="1" applyFill="1"/>
    <xf numFmtId="0" fontId="6" fillId="0" borderId="1"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5" borderId="1" xfId="0" applyFont="1" applyFill="1" applyBorder="1" applyAlignment="1">
      <alignment horizontal="center" wrapText="1"/>
    </xf>
    <xf numFmtId="0" fontId="6" fillId="0" borderId="0" xfId="0" applyFont="1" applyFill="1" applyBorder="1" applyAlignment="1">
      <alignment horizontal="center" wrapText="1"/>
    </xf>
    <xf numFmtId="0" fontId="6" fillId="0" borderId="8" xfId="0" applyFont="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5" borderId="8" xfId="0" applyFont="1" applyFill="1" applyBorder="1" applyAlignment="1">
      <alignment horizontal="center" wrapText="1"/>
    </xf>
    <xf numFmtId="42" fontId="4" fillId="0" borderId="0" xfId="0" applyNumberFormat="1" applyFont="1"/>
    <xf numFmtId="5" fontId="4" fillId="0" borderId="0" xfId="0" applyNumberFormat="1" applyFont="1"/>
    <xf numFmtId="10" fontId="4" fillId="0" borderId="10" xfId="7" applyNumberFormat="1" applyFont="1" applyBorder="1"/>
    <xf numFmtId="169" fontId="4" fillId="0" borderId="0" xfId="7" applyNumberFormat="1" applyFont="1" applyBorder="1"/>
    <xf numFmtId="42" fontId="4" fillId="0" borderId="10" xfId="0" applyNumberFormat="1" applyFont="1" applyBorder="1"/>
    <xf numFmtId="37" fontId="4" fillId="0" borderId="0" xfId="5" applyNumberFormat="1" applyFont="1" applyFill="1"/>
    <xf numFmtId="168" fontId="4" fillId="0" borderId="0" xfId="0" applyNumberFormat="1" applyFont="1"/>
    <xf numFmtId="0" fontId="2" fillId="0" borderId="0" xfId="0" applyFont="1" applyFill="1"/>
    <xf numFmtId="5" fontId="10" fillId="8" borderId="0" xfId="0" applyNumberFormat="1" applyFont="1" applyFill="1" applyBorder="1"/>
    <xf numFmtId="5" fontId="11" fillId="8" borderId="0" xfId="0" applyNumberFormat="1" applyFont="1" applyFill="1" applyBorder="1"/>
    <xf numFmtId="173" fontId="10" fillId="0" borderId="0" xfId="2" applyNumberFormat="1" applyFont="1" applyFill="1" applyBorder="1"/>
    <xf numFmtId="10" fontId="6" fillId="0" borderId="0" xfId="7" applyNumberFormat="1" applyFont="1" applyBorder="1"/>
    <xf numFmtId="172" fontId="25" fillId="0" borderId="0" xfId="1" applyNumberFormat="1" applyFont="1" applyFill="1" applyBorder="1"/>
    <xf numFmtId="10" fontId="28" fillId="0" borderId="0" xfId="7" applyNumberFormat="1" applyFont="1" applyFill="1" applyBorder="1"/>
    <xf numFmtId="169" fontId="25" fillId="0" borderId="0" xfId="7" applyNumberFormat="1" applyFont="1" applyFill="1" applyBorder="1"/>
    <xf numFmtId="0" fontId="11" fillId="0" borderId="10" xfId="0" applyFont="1" applyBorder="1" applyAlignment="1">
      <alignment horizontal="center"/>
    </xf>
    <xf numFmtId="0" fontId="11" fillId="0" borderId="0" xfId="0" applyFont="1" applyBorder="1" applyAlignment="1">
      <alignment horizontal="center"/>
    </xf>
    <xf numFmtId="0" fontId="11" fillId="0" borderId="0" xfId="20" applyFont="1" applyAlignment="1">
      <alignment horizontal="right"/>
    </xf>
    <xf numFmtId="173" fontId="11" fillId="0" borderId="10" xfId="2" applyNumberFormat="1" applyFont="1" applyBorder="1"/>
    <xf numFmtId="173" fontId="11" fillId="0" borderId="0" xfId="2" applyNumberFormat="1" applyFont="1" applyBorder="1"/>
    <xf numFmtId="0" fontId="15" fillId="0" borderId="0" xfId="0" applyFont="1" applyAlignment="1">
      <alignment horizontal="right" vertical="top"/>
    </xf>
    <xf numFmtId="0" fontId="2" fillId="0" borderId="0" xfId="0" applyFont="1" applyFill="1" applyBorder="1" applyAlignment="1">
      <alignment horizontal="center"/>
    </xf>
    <xf numFmtId="0" fontId="10" fillId="0" borderId="0" xfId="0" applyFont="1" applyAlignment="1">
      <alignment horizontal="right"/>
    </xf>
    <xf numFmtId="0" fontId="11" fillId="0" borderId="0" xfId="0" applyFont="1" applyAlignment="1">
      <alignment horizontal="center" vertical="center" wrapText="1"/>
    </xf>
    <xf numFmtId="0" fontId="11" fillId="0" borderId="26" xfId="0" applyFont="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1" fillId="0" borderId="0" xfId="0" applyFont="1" applyAlignment="1">
      <alignment horizontal="right"/>
    </xf>
    <xf numFmtId="10" fontId="10" fillId="0" borderId="0" xfId="7" applyNumberFormat="1" applyFont="1" applyAlignment="1">
      <alignment horizontal="center"/>
    </xf>
    <xf numFmtId="10" fontId="11" fillId="0" borderId="18" xfId="7" applyNumberFormat="1" applyFont="1" applyBorder="1"/>
    <xf numFmtId="173" fontId="0" fillId="0" borderId="0" xfId="0" applyNumberFormat="1"/>
    <xf numFmtId="37" fontId="2" fillId="0" borderId="0" xfId="0" applyNumberFormat="1" applyFont="1" applyFill="1" applyBorder="1" applyAlignment="1">
      <alignment horizontal="right"/>
    </xf>
    <xf numFmtId="37" fontId="62" fillId="0" borderId="0" xfId="0" applyNumberFormat="1" applyFont="1" applyFill="1" applyBorder="1" applyAlignment="1">
      <alignment horizontal="right"/>
    </xf>
    <xf numFmtId="0" fontId="10" fillId="0" borderId="0" xfId="0" applyFont="1" applyFill="1" applyAlignment="1">
      <alignment horizontal="left"/>
    </xf>
    <xf numFmtId="42" fontId="4" fillId="8" borderId="0" xfId="0" applyNumberFormat="1" applyFont="1" applyFill="1" applyBorder="1"/>
    <xf numFmtId="0" fontId="11" fillId="8" borderId="0" xfId="20" applyFont="1" applyFill="1" applyBorder="1"/>
    <xf numFmtId="0" fontId="10" fillId="8" borderId="0" xfId="20" applyFont="1" applyFill="1" applyBorder="1"/>
    <xf numFmtId="5" fontId="10" fillId="0" borderId="15" xfId="0" applyNumberFormat="1" applyFont="1" applyBorder="1" applyAlignment="1"/>
    <xf numFmtId="5" fontId="10" fillId="0" borderId="0" xfId="0" applyNumberFormat="1" applyFont="1" applyBorder="1" applyAlignment="1"/>
    <xf numFmtId="42" fontId="8" fillId="0" borderId="0" xfId="0" applyNumberFormat="1" applyFont="1"/>
    <xf numFmtId="10" fontId="11" fillId="8" borderId="10" xfId="20" applyNumberFormat="1" applyFont="1" applyFill="1" applyBorder="1" applyAlignment="1">
      <alignment horizontal="right"/>
    </xf>
    <xf numFmtId="10" fontId="11" fillId="8" borderId="0" xfId="20" applyNumberFormat="1" applyFont="1" applyFill="1" applyBorder="1" applyAlignment="1">
      <alignment horizontal="left"/>
    </xf>
    <xf numFmtId="10" fontId="11" fillId="8" borderId="0" xfId="20" applyNumberFormat="1" applyFont="1" applyFill="1" applyBorder="1" applyAlignment="1">
      <alignment horizontal="right"/>
    </xf>
    <xf numFmtId="173" fontId="11" fillId="8" borderId="18" xfId="2" applyNumberFormat="1" applyFont="1" applyFill="1" applyBorder="1"/>
  </cellXfs>
  <cellStyles count="29">
    <cellStyle name="Comma" xfId="1" builtinId="3"/>
    <cellStyle name="Comma 16" xfId="23"/>
    <cellStyle name="Comma 2" xfId="21"/>
    <cellStyle name="Currency" xfId="2" builtinId="4"/>
    <cellStyle name="Currency 2" xfId="14"/>
    <cellStyle name="Followed Hyperlink" xfId="9" builtinId="9" customBuiltin="1"/>
    <cellStyle name="Followed Hyperlink 2" xfId="10"/>
    <cellStyle name="Hyperlink" xfId="8" builtinId="8" customBuiltin="1"/>
    <cellStyle name="Hyperlink 2" xfId="11"/>
    <cellStyle name="Manual-Input" xfId="15"/>
    <cellStyle name="Normal" xfId="0" builtinId="0"/>
    <cellStyle name="Normal 2" xfId="16"/>
    <cellStyle name="Normal 2 10 3 8 2" xfId="26"/>
    <cellStyle name="Normal 2 2" xfId="17"/>
    <cellStyle name="Normal 2 3" xfId="18"/>
    <cellStyle name="Normal 6" xfId="12"/>
    <cellStyle name="Normal 8" xfId="28"/>
    <cellStyle name="Normal_IDElec6_97" xfId="3"/>
    <cellStyle name="Normal_IDGas6_97" xfId="4"/>
    <cellStyle name="Normal_RestateDebtInt1200case 2" xfId="13"/>
    <cellStyle name="Normal_WAElec6_97" xfId="5"/>
    <cellStyle name="Normal_WAElec6_97 2" xfId="20"/>
    <cellStyle name="Normal_WAGas6_97" xfId="6"/>
    <cellStyle name="Normal_WAGas6_97 2" xfId="22"/>
    <cellStyle name="Normal_WAGas6_97 2 2" xfId="24"/>
    <cellStyle name="Percent" xfId="7" builtinId="5"/>
    <cellStyle name="Percent 10" xfId="25"/>
    <cellStyle name="Percent 2" xfId="19"/>
    <cellStyle name="Percent 2 2" xfId="2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VISED%20Exh%20EMA-12%20WA%20Gas%20Model+TC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6\2016_WA_Elec_and_Gas_GRC\Data%20Requests\Drafts\Karen\Staff%20DR%2012-Settlement%20Update\Do%20Not%20Send\TTP%20Model%20-%202016%20-%206.29.2016%20(Q2%20TTP%20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01m107\2005\2005%20WA%20E%20&amp;%20G%20General%20Case\CaseGASsumm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0%20WA%20GRC\Aug%204-5%20Settlement%20discussions\CaseGASsumm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ETemp\Temporary%20Internet%20Files\Content.Outlook\EWB70DNV\2012%20WA%20Electric%20RR%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Liz/2017%20GRC%20INFO/K%20Factor/2013-2016%20K%20Factor-WA%202018%20Nat%20G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0SED RATES-2018"/>
      <sheetName val="RR SUMMARY"/>
      <sheetName val="CF"/>
      <sheetName val="Acerno_Cache_XXXXX"/>
      <sheetName val="ADJ DETAIL INPUT"/>
      <sheetName val="Recap Summary"/>
      <sheetName val="ADJ SUMMARY"/>
      <sheetName val="LEAD SHEETS-DO NOT ENTER"/>
      <sheetName val="DEBT CALC"/>
      <sheetName val="ROO INPUT"/>
      <sheetName val="not used - PROP0SED RATES-2019"/>
    </sheetNames>
    <sheetDataSet>
      <sheetData sheetId="0">
        <row r="5">
          <cell r="A5" t="str">
            <v>TWELVE MONTHS ENDED DECEMBER 31, 2016</v>
          </cell>
        </row>
        <row r="16">
          <cell r="H16">
            <v>84299</v>
          </cell>
        </row>
        <row r="17">
          <cell r="H17">
            <v>4533</v>
          </cell>
        </row>
      </sheetData>
      <sheetData sheetId="1"/>
      <sheetData sheetId="2">
        <row r="60">
          <cell r="E60">
            <v>0.75329299999999999</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WA PF Major Smry"/>
      <sheetName val="WA PF Major(E)"/>
      <sheetName val="WA PF Major(G)"/>
      <sheetName val="Idaho"/>
      <sheetName val="Oregon"/>
      <sheetName val="2016 Inputs"/>
      <sheetName val="Actl Forcst - WA E"/>
      <sheetName val="Actl Forcst - WA G"/>
      <sheetName val="Actl Forcst - ID E"/>
      <sheetName val="Actl Forcst - ID G"/>
      <sheetName val="Actl Forcst - OR"/>
      <sheetName val="Actl Forcst - TotalCo"/>
      <sheetName val="Actual"/>
      <sheetName val="Actual_Transfers"/>
      <sheetName val="Budget"/>
      <sheetName val="CAP16.3"/>
      <sheetName val="Sheet3"/>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t="str">
            <v>Actual</v>
          </cell>
        </row>
      </sheetData>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ow r="1">
          <cell r="A1" t="str">
            <v>Allocation Factors</v>
          </cell>
        </row>
        <row r="3">
          <cell r="A3" t="str">
            <v>Allocation Categories</v>
          </cell>
        </row>
        <row r="4">
          <cell r="A4" t="str">
            <v>Elec Distribution 360-373 CD AN</v>
          </cell>
        </row>
        <row r="5">
          <cell r="A5" t="str">
            <v>Elec Distribution 360-373 CD AA</v>
          </cell>
        </row>
        <row r="6">
          <cell r="A6" t="str">
            <v>Elec Distribution 360-373 ED AN</v>
          </cell>
        </row>
        <row r="7">
          <cell r="A7" t="str">
            <v>Elec Distribution 360-373 ED ID</v>
          </cell>
        </row>
        <row r="8">
          <cell r="A8" t="str">
            <v>Elec Distribution 360-373 ED WA</v>
          </cell>
        </row>
        <row r="9">
          <cell r="A9" t="str">
            <v>Elec Distribution 360-373 ED MT</v>
          </cell>
        </row>
        <row r="10">
          <cell r="A10" t="str">
            <v>Elec Transmission 350-359 ED AN</v>
          </cell>
        </row>
        <row r="11">
          <cell r="A11" t="str">
            <v>Elec Transmission 350-359 ED ID</v>
          </cell>
        </row>
        <row r="12">
          <cell r="A12" t="str">
            <v>Elec Transmission 350-359 ED WA</v>
          </cell>
        </row>
        <row r="13">
          <cell r="A13" t="str">
            <v>Gas Distribution 374-387 GD AA</v>
          </cell>
        </row>
        <row r="14">
          <cell r="A14" t="str">
            <v>Gas Distribution 374-387 GD AN</v>
          </cell>
        </row>
        <row r="15">
          <cell r="A15" t="str">
            <v>Gas Distribution 374-387 GD ID</v>
          </cell>
        </row>
        <row r="16">
          <cell r="A16" t="str">
            <v>Gas Distribution 374-387 GD OR</v>
          </cell>
        </row>
        <row r="17">
          <cell r="A17" t="str">
            <v>Gas Distribution 374-387 GD WA</v>
          </cell>
        </row>
        <row r="18">
          <cell r="A18" t="str">
            <v>Gas Underground Storage 350-357 GD AA</v>
          </cell>
        </row>
        <row r="19">
          <cell r="A19" t="str">
            <v>Gas Underground Storage 350-357 GD AN</v>
          </cell>
        </row>
        <row r="20">
          <cell r="A20" t="str">
            <v>Gas Underground Storage 350-357 GD OR</v>
          </cell>
        </row>
        <row r="21">
          <cell r="A21" t="str">
            <v>General 389-391 / 393-395 / 397-398 CD AA</v>
          </cell>
        </row>
        <row r="22">
          <cell r="A22" t="str">
            <v>General 389-391 / 393-395 / 397-398 CD AN</v>
          </cell>
        </row>
        <row r="23">
          <cell r="A23" t="str">
            <v>General 389-391 / 393-395 / 397-398 CD ID</v>
          </cell>
        </row>
        <row r="24">
          <cell r="A24" t="str">
            <v>General 389-391 / 393-395 / 397-398 CD WA</v>
          </cell>
        </row>
        <row r="25">
          <cell r="A25" t="str">
            <v>General 389-391 / 393-395 / 397-398 ED AN</v>
          </cell>
        </row>
        <row r="26">
          <cell r="A26" t="str">
            <v>General 389-391 / 393-395 / 397-398 GD AA</v>
          </cell>
        </row>
        <row r="27">
          <cell r="A27" t="str">
            <v>General 389-391 / 393-395 / 397-398 ED WA</v>
          </cell>
        </row>
        <row r="28">
          <cell r="A28" t="str">
            <v>General 389-391 / 393-395 / 397-398 ED ID</v>
          </cell>
        </row>
        <row r="29">
          <cell r="A29" t="str">
            <v>General 389-391 / 393-395 / 397-398 ED AA</v>
          </cell>
        </row>
        <row r="30">
          <cell r="A30" t="str">
            <v>General 389-391 / 393-395 / 397-398 GD WA</v>
          </cell>
        </row>
        <row r="31">
          <cell r="A31" t="str">
            <v>General 389-391 / 393-395 / 397-398 GD OR</v>
          </cell>
        </row>
        <row r="32">
          <cell r="A32" t="str">
            <v>General 389-391 / 393-395 / 397-398 GD AN</v>
          </cell>
        </row>
        <row r="33">
          <cell r="A33" t="str">
            <v>Hydro 331-336 ED AN</v>
          </cell>
        </row>
        <row r="34">
          <cell r="A34" t="str">
            <v>Other Elec Production / Turbines 340-346 ED AN</v>
          </cell>
        </row>
        <row r="35">
          <cell r="A35" t="str">
            <v>Other Elec Production / Turbines 340-346 CD WA</v>
          </cell>
        </row>
        <row r="36">
          <cell r="A36" t="str">
            <v>Software 303 CD AA</v>
          </cell>
        </row>
        <row r="37">
          <cell r="A37" t="str">
            <v>Software 303 CD ID</v>
          </cell>
        </row>
        <row r="38">
          <cell r="A38" t="str">
            <v>Software 303 CD WA</v>
          </cell>
        </row>
        <row r="39">
          <cell r="A39" t="str">
            <v>Software 303 ED AN</v>
          </cell>
        </row>
        <row r="40">
          <cell r="A40" t="str">
            <v>Software 303 ED MT</v>
          </cell>
        </row>
        <row r="41">
          <cell r="A41" t="str">
            <v>Software 303 ED WA</v>
          </cell>
        </row>
        <row r="42">
          <cell r="A42" t="str">
            <v>Software 303 CD AN</v>
          </cell>
        </row>
        <row r="43">
          <cell r="A43" t="str">
            <v>Software 303 GD AA</v>
          </cell>
        </row>
        <row r="44">
          <cell r="A44" t="str">
            <v>Thermal 311-316 ED AN</v>
          </cell>
        </row>
        <row r="45">
          <cell r="A45" t="str">
            <v>Transportation and Tools 392 / 396 CD AA</v>
          </cell>
        </row>
        <row r="46">
          <cell r="A46" t="str">
            <v>Transportation and Tools 392 / 396 CD AN</v>
          </cell>
        </row>
        <row r="47">
          <cell r="A47" t="str">
            <v>Transportation and Tools 392 / 396 CD WA</v>
          </cell>
        </row>
        <row r="48">
          <cell r="A48" t="str">
            <v>Transportation and Tools 392 / 396 CD ID</v>
          </cell>
        </row>
        <row r="49">
          <cell r="A49" t="str">
            <v>Transportation and Tools 392 / 396 ED AN</v>
          </cell>
        </row>
        <row r="50">
          <cell r="A50" t="str">
            <v>Transportation and Tools 392 / 396 ED WA</v>
          </cell>
        </row>
        <row r="51">
          <cell r="A51" t="str">
            <v>Transportation and Tools 392 / 396 ED ID</v>
          </cell>
        </row>
        <row r="52">
          <cell r="A52" t="str">
            <v>Transportation and Tools 392 / 396 GD AN</v>
          </cell>
        </row>
        <row r="53">
          <cell r="A53" t="str">
            <v>Transportation and Tools 392 / 396 GD ID</v>
          </cell>
        </row>
        <row r="54">
          <cell r="A54" t="str">
            <v>Transportation and Tools 392 / 396 GD WA</v>
          </cell>
        </row>
        <row r="55">
          <cell r="A55" t="str">
            <v>Transportation and Tools 392 / 396 GD OR</v>
          </cell>
        </row>
        <row r="56">
          <cell r="A56" t="str">
            <v>Gas Distribution 374-387 GD AA 1001</v>
          </cell>
        </row>
        <row r="57">
          <cell r="A57" t="str">
            <v>Gas Distribution 374-387 GD AA 1050</v>
          </cell>
        </row>
        <row r="58">
          <cell r="A58" t="str">
            <v>Gas Distribution 374-387 GD AA 1051</v>
          </cell>
        </row>
        <row r="59">
          <cell r="A59" t="str">
            <v>Gas Distribution 374-387 GD AA 1053</v>
          </cell>
        </row>
        <row r="60">
          <cell r="A60" t="str">
            <v>Gas Distribution 374-387 GD AA 3000</v>
          </cell>
        </row>
        <row r="61">
          <cell r="A61" t="str">
            <v>Gas Distribution 374-387 GD AA 3001</v>
          </cell>
        </row>
        <row r="62">
          <cell r="A62" t="str">
            <v>Gas Distribution 374-387 GD AA 3002</v>
          </cell>
        </row>
        <row r="63">
          <cell r="A63" t="str">
            <v>Gas Distribution 374-387 GD AA 3003</v>
          </cell>
        </row>
        <row r="64">
          <cell r="A64" t="str">
            <v>Gas Distribution 374-387 GD AA 3004</v>
          </cell>
        </row>
        <row r="65">
          <cell r="A65" t="str">
            <v>Gas Distribution 374-387 GD AA 3005</v>
          </cell>
        </row>
        <row r="66">
          <cell r="A66" t="str">
            <v>Gas Distribution 374-387 GD AA 3006</v>
          </cell>
        </row>
        <row r="67">
          <cell r="A67" t="str">
            <v>Gas Distribution 374-387 GD AA 3007</v>
          </cell>
        </row>
        <row r="68">
          <cell r="A68" t="str">
            <v>Gas Distribution 374-387 GD AA 3008</v>
          </cell>
        </row>
        <row r="69">
          <cell r="A69" t="str">
            <v>Gas Distribution 374-387 GD AA 3054</v>
          </cell>
        </row>
        <row r="70">
          <cell r="A70" t="str">
            <v>Gas Distribution 374-387 GD AA 3055</v>
          </cell>
        </row>
        <row r="71">
          <cell r="A71" t="str">
            <v>Gas Distribution 374-387 GD AA 3057</v>
          </cell>
        </row>
        <row r="72">
          <cell r="A72" t="str">
            <v>Gas Distribution 374-387 GD AA 3117</v>
          </cell>
        </row>
        <row r="73">
          <cell r="A73" t="str">
            <v>Gas Distribution 374-387 ED ID</v>
          </cell>
        </row>
        <row r="74">
          <cell r="A74" t="str">
            <v>Elec Distribution 360-373 ED AN 1000</v>
          </cell>
        </row>
        <row r="75">
          <cell r="A75" t="str">
            <v>Elec Distribution 360-373 ED AN 1002</v>
          </cell>
        </row>
        <row r="76">
          <cell r="A76" t="str">
            <v>Elec Distribution 360-373 ED AN 1003</v>
          </cell>
        </row>
        <row r="77">
          <cell r="A77" t="str">
            <v>Elec Distribution 360-373 ED AN 1004</v>
          </cell>
        </row>
        <row r="78">
          <cell r="A78" t="str">
            <v>Elec Distribution 360-373 ED AN 1005</v>
          </cell>
        </row>
        <row r="79">
          <cell r="A79" t="str">
            <v>Elec Distribution 360-373 ED AN 1006</v>
          </cell>
        </row>
        <row r="80">
          <cell r="A80" t="str">
            <v>Elec Distribution 360-373 ED AN 2054</v>
          </cell>
        </row>
        <row r="81">
          <cell r="A81" t="str">
            <v>Elec Distribution 360-373 ED AN 2055</v>
          </cell>
        </row>
        <row r="82">
          <cell r="A82" t="str">
            <v>Elec Distribution 360-373 ED AN 2056</v>
          </cell>
        </row>
        <row r="83">
          <cell r="A83" t="str">
            <v>Elec Distribution 360-373 ED AN 2059</v>
          </cell>
        </row>
        <row r="84">
          <cell r="A84" t="str">
            <v>Elec Distribution 360-373 ED AN 2060</v>
          </cell>
        </row>
        <row r="85">
          <cell r="A85" t="str">
            <v>Elec Distribution 360-373 ED AN 2204</v>
          </cell>
        </row>
        <row r="86">
          <cell r="A86" t="str">
            <v>Elec Distribution 360-373 ED AN 2414</v>
          </cell>
        </row>
        <row r="87">
          <cell r="A87" t="str">
            <v>Elec Distribution 360-373 ED AN 2423</v>
          </cell>
        </row>
        <row r="88">
          <cell r="A88" t="str">
            <v>Elec Distribution 360-373 ED AN 2470</v>
          </cell>
        </row>
        <row r="89">
          <cell r="A89" t="str">
            <v>Elec Distribution 360-373 ED AN 2516</v>
          </cell>
        </row>
        <row r="90">
          <cell r="A90" t="str">
            <v>Elec Distribution 360-373 ED AN 2535</v>
          </cell>
        </row>
        <row r="91">
          <cell r="A91" t="str">
            <v>Elec Distribution 360-373 ED AN 2584</v>
          </cell>
        </row>
        <row r="92">
          <cell r="A92" t="str">
            <v>Elec Distribution 360-373 ED AN 2599</v>
          </cell>
        </row>
        <row r="93">
          <cell r="A93" t="str">
            <v>Elec Distribution 360-373 ED AN 6000</v>
          </cell>
        </row>
        <row r="94">
          <cell r="A94" t="str">
            <v>Elec Distribution 360-373 CD WA 2586</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as12_04"/>
      <sheetName val="IDGas12_04"/>
      <sheetName val="PFRstmtSheet"/>
      <sheetName val="SYSGas12_04"/>
      <sheetName val="ResultSumGas"/>
      <sheetName val="DFITWaGas"/>
      <sheetName val="DFITIdGas"/>
      <sheetName val="BldGain"/>
      <sheetName val="GasInv"/>
      <sheetName val="WznDSM"/>
      <sheetName val="CustAdv"/>
      <sheetName val="WeatherGas"/>
      <sheetName val="RevenueNorm"/>
      <sheetName val="BandO"/>
      <sheetName val="PropTax"/>
      <sheetName val="UncollExp"/>
      <sheetName val="RegExp"/>
      <sheetName val="InjDam"/>
      <sheetName val="FIT"/>
      <sheetName val="DebtInt"/>
      <sheetName val="PayClear"/>
      <sheetName val="Unbilled"/>
      <sheetName val="SIT"/>
      <sheetName val="ElimAR"/>
      <sheetName val="SubSpace"/>
      <sheetName val="XFranchTax"/>
      <sheetName val="BldgLease"/>
      <sheetName val="Depr"/>
      <sheetName val="Incent"/>
      <sheetName val="Inputs"/>
      <sheetName val="CompWA"/>
      <sheetName val="CompID"/>
      <sheetName val="DebtCalc"/>
      <sheetName val="CWIPAlloc"/>
      <sheetName val="PFPension"/>
      <sheetName val="PF Ins"/>
      <sheetName val="PFLabor"/>
      <sheetName val="PFExec"/>
      <sheetName val="PFGasProc"/>
      <sheetName val="PFAlloc"/>
      <sheetName val="PFHamilton"/>
      <sheetName val="Proposed Rates"/>
      <sheetName val="RevReqEx"/>
      <sheetName val="ConverFac_Exh"/>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COMPARISON -SETTLEMENT"/>
      <sheetName val="RETAIL REVENUE CREDIT"/>
    </sheetNames>
    <sheetDataSet>
      <sheetData sheetId="0"/>
      <sheetData sheetId="1">
        <row r="10">
          <cell r="M10">
            <v>3.1800000000000002E-2</v>
          </cell>
        </row>
      </sheetData>
      <sheetData sheetId="2"/>
      <sheetData sheetId="3">
        <row r="1">
          <cell r="A1" t="str">
            <v xml:space="preserve"> </v>
          </cell>
        </row>
      </sheetData>
      <sheetData sheetId="4">
        <row r="10">
          <cell r="AA10">
            <v>2.1799999999999962</v>
          </cell>
        </row>
      </sheetData>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 factor (2)"/>
      <sheetName val="K factor"/>
      <sheetName val="Cost Trends"/>
      <sheetName val="Summary"/>
      <sheetName val="ROR"/>
      <sheetName val="Attrition 12.2016 to 04.2019"/>
      <sheetName val="Weighted Revenue Growth"/>
      <sheetName val="12.2016 Revenue Model"/>
      <sheetName val="Forecast Bill Determinants"/>
      <sheetName val="Riders and Gas Cost Revenue"/>
      <sheetName val="Reg Amort and Other RB"/>
    </sheetNames>
    <sheetDataSet>
      <sheetData sheetId="0"/>
      <sheetData sheetId="1"/>
      <sheetData sheetId="2"/>
      <sheetData sheetId="3"/>
      <sheetData sheetId="4">
        <row r="12">
          <cell r="N12">
            <v>4.8269999999999997E-3</v>
          </cell>
        </row>
        <row r="14">
          <cell r="N14">
            <v>2E-3</v>
          </cell>
        </row>
        <row r="16">
          <cell r="N16">
            <v>3.8334E-2</v>
          </cell>
        </row>
        <row r="20">
          <cell r="N20">
            <v>0.95483899999999999</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view="pageBreakPreview" topLeftCell="A22" zoomScale="130" zoomScaleNormal="100" zoomScaleSheetLayoutView="130" workbookViewId="0">
      <selection activeCell="F44" activeCellId="1" sqref="F39 F44"/>
    </sheetView>
  </sheetViews>
  <sheetFormatPr defaultRowHeight="12.75"/>
  <cols>
    <col min="1" max="1" width="7.28515625" style="388" customWidth="1"/>
    <col min="2" max="2" width="1.42578125" style="388" customWidth="1"/>
    <col min="3" max="3" width="47.28515625" style="388" customWidth="1"/>
    <col min="4" max="4" width="1.140625" style="388" customWidth="1"/>
    <col min="5" max="5" width="0.5703125" style="388" customWidth="1"/>
    <col min="6" max="6" width="13.7109375" style="388" customWidth="1"/>
    <col min="7" max="7" width="12" style="388" customWidth="1"/>
    <col min="8" max="8" width="14.5703125" style="388" customWidth="1"/>
    <col min="9" max="9" width="3.42578125" style="391" hidden="1" customWidth="1"/>
    <col min="10" max="10" width="12.5703125" style="388" hidden="1" customWidth="1"/>
    <col min="11" max="11" width="3.28515625" style="388" hidden="1" customWidth="1"/>
    <col min="12" max="12" width="11.28515625" style="388" hidden="1" customWidth="1"/>
    <col min="13" max="13" width="14.28515625" style="388" hidden="1" customWidth="1"/>
    <col min="14" max="14" width="14.85546875" style="388" hidden="1" customWidth="1"/>
    <col min="15" max="15" width="14.85546875" style="388" customWidth="1"/>
    <col min="16" max="16" width="14" style="388" customWidth="1"/>
    <col min="17" max="17" width="9.28515625" customWidth="1"/>
  </cols>
  <sheetData>
    <row r="1" spans="1:35">
      <c r="A1" s="924" t="s">
        <v>103</v>
      </c>
      <c r="B1" s="924"/>
      <c r="C1" s="924"/>
      <c r="D1" s="924"/>
      <c r="E1" s="924"/>
      <c r="F1" s="924"/>
      <c r="G1" s="53"/>
      <c r="H1" s="53"/>
      <c r="I1" s="265"/>
      <c r="J1" s="910" t="s">
        <v>103</v>
      </c>
      <c r="K1" s="910"/>
      <c r="L1" s="910"/>
      <c r="M1" s="910"/>
      <c r="N1" s="910"/>
      <c r="O1" s="83"/>
      <c r="P1" s="83"/>
      <c r="Q1" s="388"/>
    </row>
    <row r="2" spans="1:35">
      <c r="A2" s="924" t="s">
        <v>674</v>
      </c>
      <c r="B2" s="924"/>
      <c r="C2" s="924"/>
      <c r="D2" s="924"/>
      <c r="E2" s="924"/>
      <c r="F2" s="924"/>
      <c r="G2" s="53"/>
      <c r="H2" s="53"/>
      <c r="J2" s="910" t="s">
        <v>675</v>
      </c>
      <c r="K2" s="910"/>
      <c r="L2" s="910"/>
      <c r="M2" s="910"/>
      <c r="N2" s="910"/>
      <c r="O2" s="264"/>
      <c r="P2" s="264"/>
      <c r="Q2" s="388"/>
    </row>
    <row r="3" spans="1:35">
      <c r="A3" s="910" t="s">
        <v>408</v>
      </c>
      <c r="B3" s="910"/>
      <c r="C3" s="910"/>
      <c r="D3" s="910"/>
      <c r="E3" s="910"/>
      <c r="F3" s="910"/>
      <c r="G3" s="850"/>
      <c r="H3" s="850"/>
      <c r="I3" s="265"/>
      <c r="J3" s="910" t="s">
        <v>408</v>
      </c>
      <c r="K3" s="910"/>
      <c r="L3" s="910"/>
      <c r="M3" s="910"/>
      <c r="N3" s="910"/>
      <c r="O3" s="83"/>
      <c r="P3" s="83"/>
      <c r="Q3" s="388"/>
    </row>
    <row r="4" spans="1:35">
      <c r="A4" s="913" t="str">
        <f>'[10]PROP0SED RATES-2018'!A5</f>
        <v>TWELVE MONTHS ENDED DECEMBER 31, 2016</v>
      </c>
      <c r="B4" s="913"/>
      <c r="C4" s="913"/>
      <c r="D4" s="913"/>
      <c r="E4" s="913"/>
      <c r="F4" s="913"/>
      <c r="G4" s="852"/>
      <c r="H4" s="852"/>
      <c r="J4" s="914"/>
      <c r="K4" s="914"/>
      <c r="L4" s="914"/>
      <c r="M4" s="914"/>
      <c r="N4" s="914"/>
      <c r="O4" s="397"/>
      <c r="P4" s="398"/>
    </row>
    <row r="5" spans="1:35" ht="16.5" thickBot="1">
      <c r="A5" s="910"/>
      <c r="B5" s="910"/>
      <c r="C5" s="910"/>
      <c r="D5" s="910"/>
      <c r="E5" s="910"/>
      <c r="F5" s="910"/>
      <c r="G5" s="853"/>
      <c r="H5" s="853"/>
      <c r="I5" s="85"/>
      <c r="J5" s="85"/>
      <c r="K5" s="85"/>
      <c r="L5" s="85"/>
      <c r="M5" s="85"/>
      <c r="N5" s="85"/>
      <c r="O5" s="85"/>
      <c r="P5" s="85"/>
      <c r="S5" s="75"/>
      <c r="T5" s="75"/>
      <c r="X5" s="75"/>
      <c r="Y5" s="75"/>
      <c r="Z5" s="75"/>
      <c r="AA5" s="75"/>
      <c r="AB5" s="75"/>
      <c r="AC5" s="75"/>
      <c r="AD5" s="75"/>
      <c r="AE5" s="75"/>
      <c r="AF5" s="75"/>
      <c r="AG5" s="75"/>
      <c r="AH5" s="75"/>
      <c r="AI5" s="75"/>
    </row>
    <row r="6" spans="1:35" ht="15.75">
      <c r="C6" s="431"/>
      <c r="D6" s="431"/>
      <c r="F6" s="684"/>
      <c r="G6" s="853"/>
      <c r="H6" s="853"/>
      <c r="I6" s="85"/>
      <c r="J6" s="429" t="s">
        <v>676</v>
      </c>
      <c r="K6" s="362"/>
      <c r="L6" s="362"/>
      <c r="M6" s="362"/>
      <c r="N6" s="363"/>
      <c r="O6" s="143"/>
      <c r="P6" s="143"/>
    </row>
    <row r="7" spans="1:35" ht="15.75">
      <c r="A7" s="334"/>
      <c r="B7" s="334"/>
      <c r="C7" s="334"/>
      <c r="D7" s="334"/>
      <c r="E7" s="334"/>
      <c r="F7" s="925" t="s">
        <v>677</v>
      </c>
      <c r="G7" s="926"/>
      <c r="H7" s="926"/>
      <c r="I7" s="927"/>
      <c r="J7" s="364"/>
      <c r="K7" s="88"/>
      <c r="L7" s="91"/>
      <c r="M7" s="92"/>
      <c r="N7" s="373"/>
      <c r="O7" s="87"/>
      <c r="P7" s="144"/>
    </row>
    <row r="8" spans="1:35" ht="15.75" customHeight="1">
      <c r="A8" s="928" t="s">
        <v>120</v>
      </c>
      <c r="B8" s="38"/>
      <c r="C8" s="929" t="s">
        <v>63</v>
      </c>
      <c r="D8" s="930"/>
      <c r="E8" s="851"/>
      <c r="F8" s="931" t="s">
        <v>678</v>
      </c>
      <c r="G8" s="932"/>
      <c r="H8" s="932"/>
      <c r="I8" s="927"/>
      <c r="J8" s="365"/>
      <c r="K8" s="87"/>
      <c r="L8" s="87" t="s">
        <v>121</v>
      </c>
      <c r="M8" s="87"/>
      <c r="N8" s="373" t="s">
        <v>122</v>
      </c>
      <c r="O8" s="87"/>
      <c r="P8" s="144"/>
    </row>
    <row r="9" spans="1:35" ht="15.75">
      <c r="A9" s="933" t="s">
        <v>15</v>
      </c>
      <c r="B9" s="38"/>
      <c r="C9" s="934"/>
      <c r="D9" s="935"/>
      <c r="E9" s="851"/>
      <c r="F9" s="936"/>
      <c r="G9" s="932"/>
      <c r="H9" s="932"/>
      <c r="I9" s="927"/>
      <c r="J9" s="366" t="s">
        <v>123</v>
      </c>
      <c r="K9" s="87"/>
      <c r="L9" s="367" t="s">
        <v>124</v>
      </c>
      <c r="M9" s="367" t="s">
        <v>125</v>
      </c>
      <c r="N9" s="374" t="s">
        <v>125</v>
      </c>
      <c r="O9" s="87"/>
      <c r="P9" s="144"/>
    </row>
    <row r="10" spans="1:35" ht="15.75">
      <c r="A10" s="334"/>
      <c r="B10" s="334"/>
      <c r="C10" s="334"/>
      <c r="D10" s="334"/>
      <c r="E10" s="55"/>
      <c r="G10" s="391"/>
      <c r="H10" s="391"/>
      <c r="I10" s="927"/>
      <c r="J10" s="364"/>
      <c r="K10" s="88"/>
      <c r="L10" s="88"/>
      <c r="M10" s="88"/>
      <c r="N10" s="375"/>
      <c r="O10" s="88"/>
      <c r="P10" s="144"/>
    </row>
    <row r="11" spans="1:35" ht="15.75">
      <c r="A11" s="849">
        <v>1</v>
      </c>
      <c r="B11" s="334"/>
      <c r="C11" s="334" t="s">
        <v>679</v>
      </c>
      <c r="D11" s="334"/>
      <c r="E11" s="334"/>
      <c r="F11" s="937">
        <v>318427</v>
      </c>
      <c r="G11" s="937"/>
      <c r="H11" s="937"/>
      <c r="I11" s="927"/>
      <c r="J11" s="269"/>
      <c r="K11" s="341"/>
      <c r="L11" s="341"/>
      <c r="M11" s="341"/>
      <c r="N11" s="270"/>
      <c r="O11" s="341"/>
      <c r="P11" s="144"/>
      <c r="Q11" s="75"/>
    </row>
    <row r="12" spans="1:35" ht="15.75">
      <c r="A12" s="849"/>
      <c r="B12" s="334"/>
      <c r="C12" s="334"/>
      <c r="D12" s="334"/>
      <c r="E12" s="334"/>
      <c r="F12" s="938"/>
      <c r="G12" s="938"/>
      <c r="H12" s="938"/>
      <c r="I12" s="927"/>
      <c r="J12" s="368" t="s">
        <v>396</v>
      </c>
      <c r="K12" s="89"/>
      <c r="L12" s="369">
        <f>100%-L14</f>
        <v>0.5</v>
      </c>
      <c r="M12" s="141">
        <v>5.62E-2</v>
      </c>
      <c r="N12" s="376">
        <f>ROUND(L12*M12,4)</f>
        <v>2.81E-2</v>
      </c>
      <c r="O12" s="141"/>
      <c r="P12" s="145"/>
    </row>
    <row r="13" spans="1:35" ht="15.75">
      <c r="A13" s="849">
        <v>2</v>
      </c>
      <c r="B13" s="334"/>
      <c r="C13" s="334" t="s">
        <v>680</v>
      </c>
      <c r="D13" s="334"/>
      <c r="E13" s="334"/>
      <c r="F13" s="939">
        <v>7.7600000000000002E-2</v>
      </c>
      <c r="G13" s="751"/>
      <c r="H13" s="751"/>
      <c r="I13" s="927"/>
      <c r="J13" s="368"/>
      <c r="K13" s="89"/>
      <c r="L13" s="369"/>
      <c r="M13" s="141"/>
      <c r="N13" s="376"/>
      <c r="O13" s="141"/>
      <c r="P13" s="142"/>
    </row>
    <row r="14" spans="1:35" ht="15.75">
      <c r="A14" s="849"/>
      <c r="B14" s="334"/>
      <c r="C14" s="334"/>
      <c r="D14" s="334"/>
      <c r="E14" s="334"/>
      <c r="F14" s="940"/>
      <c r="G14" s="940"/>
      <c r="H14" s="940"/>
      <c r="I14" s="927"/>
      <c r="J14" s="368" t="s">
        <v>146</v>
      </c>
      <c r="K14" s="89"/>
      <c r="L14" s="369">
        <v>0.5</v>
      </c>
      <c r="M14" s="141">
        <v>9.9000000000000005E-2</v>
      </c>
      <c r="N14" s="376">
        <f>ROUND(L14*M14,4)</f>
        <v>4.9500000000000002E-2</v>
      </c>
      <c r="O14" s="141"/>
      <c r="P14" s="144"/>
      <c r="Q14" s="75"/>
    </row>
    <row r="15" spans="1:35" ht="15.75">
      <c r="A15" s="849">
        <v>3</v>
      </c>
      <c r="B15" s="334"/>
      <c r="C15" s="334" t="s">
        <v>681</v>
      </c>
      <c r="D15" s="334"/>
      <c r="E15" s="334"/>
      <c r="F15" s="938">
        <f>ROUND(F11*F13,0)</f>
        <v>24710</v>
      </c>
      <c r="G15" s="938"/>
      <c r="H15" s="938"/>
      <c r="I15" s="927"/>
      <c r="J15" s="269"/>
      <c r="K15" s="341"/>
      <c r="L15" s="341"/>
      <c r="M15" s="341"/>
      <c r="N15" s="270"/>
      <c r="O15" s="341"/>
      <c r="P15" s="144"/>
    </row>
    <row r="16" spans="1:35" ht="16.5" thickBot="1">
      <c r="A16" s="849"/>
      <c r="B16" s="334"/>
      <c r="C16" s="334"/>
      <c r="D16" s="334"/>
      <c r="E16" s="334"/>
      <c r="F16" s="938"/>
      <c r="G16" s="938"/>
      <c r="H16" s="938"/>
      <c r="I16" s="927"/>
      <c r="J16" s="368" t="s">
        <v>25</v>
      </c>
      <c r="K16" s="90"/>
      <c r="L16" s="370">
        <f>SUM(L12:L14)</f>
        <v>1</v>
      </c>
      <c r="M16" s="142"/>
      <c r="N16" s="377">
        <f>SUM(N12:N14)</f>
        <v>7.7600000000000002E-2</v>
      </c>
      <c r="O16" s="142"/>
      <c r="P16" s="144"/>
    </row>
    <row r="17" spans="1:17" ht="17.25" thickTop="1" thickBot="1">
      <c r="A17" s="849">
        <v>4</v>
      </c>
      <c r="B17" s="334"/>
      <c r="C17" s="334" t="s">
        <v>682</v>
      </c>
      <c r="D17" s="334"/>
      <c r="E17" s="334"/>
      <c r="F17" s="941">
        <v>24128.465306666665</v>
      </c>
      <c r="G17" s="262"/>
      <c r="H17" s="262"/>
      <c r="I17" s="927"/>
      <c r="J17" s="371"/>
      <c r="K17" s="372"/>
      <c r="L17" s="372"/>
      <c r="M17" s="372"/>
      <c r="N17" s="378"/>
      <c r="O17" s="143"/>
      <c r="P17" s="144"/>
    </row>
    <row r="18" spans="1:17" ht="15.75">
      <c r="A18" s="849"/>
      <c r="B18" s="334"/>
      <c r="C18" s="334"/>
      <c r="D18" s="334"/>
      <c r="E18" s="334"/>
      <c r="F18" s="334"/>
      <c r="G18" s="334"/>
      <c r="H18" s="334"/>
      <c r="I18" s="927"/>
      <c r="J18" s="428" t="s">
        <v>683</v>
      </c>
      <c r="K18" s="391"/>
      <c r="L18" s="391"/>
      <c r="M18" s="391"/>
      <c r="N18" s="391"/>
      <c r="O18" s="341"/>
      <c r="P18" s="399"/>
    </row>
    <row r="19" spans="1:17" ht="15.75">
      <c r="A19" s="849">
        <v>5</v>
      </c>
      <c r="B19" s="334"/>
      <c r="C19" s="334" t="s">
        <v>684</v>
      </c>
      <c r="D19" s="334"/>
      <c r="E19" s="334"/>
      <c r="F19" s="938">
        <f>F15-F17</f>
        <v>581.53469333333487</v>
      </c>
      <c r="G19" s="938"/>
      <c r="H19" s="938"/>
      <c r="I19" s="927"/>
      <c r="J19" s="341"/>
      <c r="K19" s="341"/>
      <c r="L19" s="341"/>
      <c r="M19" s="341"/>
      <c r="N19" s="341"/>
      <c r="O19" s="341"/>
      <c r="P19" s="341"/>
    </row>
    <row r="20" spans="1:17" ht="15.75">
      <c r="A20" s="849"/>
      <c r="B20" s="334"/>
      <c r="C20" s="334"/>
      <c r="D20" s="334"/>
      <c r="E20" s="334"/>
      <c r="F20" s="334"/>
      <c r="G20" s="334"/>
      <c r="H20" s="334"/>
      <c r="I20" s="942"/>
      <c r="J20" s="143"/>
      <c r="K20" s="143"/>
      <c r="L20" s="143"/>
      <c r="M20" s="143"/>
      <c r="N20" s="143"/>
      <c r="O20" s="143"/>
      <c r="P20" s="143"/>
    </row>
    <row r="21" spans="1:17" ht="15.75">
      <c r="A21" s="849">
        <v>6</v>
      </c>
      <c r="B21" s="334"/>
      <c r="C21" s="334" t="s">
        <v>126</v>
      </c>
      <c r="D21" s="334"/>
      <c r="E21" s="334"/>
      <c r="F21" s="943">
        <f>[10]CF!E60</f>
        <v>0.75329299999999999</v>
      </c>
      <c r="G21" s="943"/>
      <c r="H21" s="943"/>
      <c r="I21" s="942"/>
      <c r="J21" s="88"/>
      <c r="K21" s="88"/>
      <c r="L21" s="91"/>
      <c r="M21" s="92"/>
      <c r="N21" s="87"/>
      <c r="O21" s="87"/>
      <c r="P21" s="144"/>
      <c r="Q21" s="944"/>
    </row>
    <row r="22" spans="1:17" ht="16.5" thickBot="1">
      <c r="A22" s="849"/>
      <c r="B22" s="334"/>
      <c r="C22" s="334"/>
      <c r="D22" s="334"/>
      <c r="E22" s="334"/>
      <c r="F22" s="334"/>
      <c r="G22" s="334"/>
      <c r="H22" s="334"/>
      <c r="I22" s="942"/>
      <c r="L22" s="87"/>
      <c r="M22" s="87"/>
      <c r="N22" s="87"/>
      <c r="O22" s="87"/>
      <c r="P22" s="144"/>
      <c r="Q22" s="944"/>
    </row>
    <row r="23" spans="1:17" ht="16.5" thickBot="1">
      <c r="A23" s="849">
        <v>7</v>
      </c>
      <c r="B23" s="334"/>
      <c r="C23" s="334" t="s">
        <v>685</v>
      </c>
      <c r="D23" s="334"/>
      <c r="E23" s="79"/>
      <c r="F23" s="442">
        <f>ROUND(F19/F21,0)</f>
        <v>772</v>
      </c>
      <c r="G23" s="945" t="s">
        <v>686</v>
      </c>
      <c r="H23" s="946"/>
      <c r="I23" s="942"/>
      <c r="N23" s="87"/>
      <c r="O23" s="87"/>
      <c r="P23" s="144"/>
      <c r="Q23" s="944"/>
    </row>
    <row r="24" spans="1:17" ht="15.75">
      <c r="A24" s="334"/>
      <c r="B24" s="334"/>
      <c r="C24" s="334"/>
      <c r="D24" s="334"/>
      <c r="E24" s="79"/>
      <c r="F24" s="334"/>
      <c r="G24" s="334"/>
      <c r="H24" s="334"/>
      <c r="I24" s="942"/>
      <c r="J24" s="947"/>
      <c r="K24" s="947"/>
      <c r="L24" s="336"/>
      <c r="N24" s="88"/>
      <c r="O24" s="88"/>
      <c r="P24" s="144"/>
      <c r="Q24" s="944"/>
    </row>
    <row r="25" spans="1:17" ht="15.75">
      <c r="A25" s="849">
        <v>8</v>
      </c>
      <c r="B25" s="334"/>
      <c r="C25" s="334" t="s">
        <v>429</v>
      </c>
      <c r="D25" s="334"/>
      <c r="E25" s="334"/>
      <c r="F25" s="262">
        <f>'[10]PROP0SED RATES-2018'!H16+'[10]PROP0SED RATES-2018'!H17-1</f>
        <v>88831</v>
      </c>
      <c r="G25" s="262"/>
      <c r="H25" s="262"/>
      <c r="I25" s="942"/>
      <c r="J25" s="947"/>
      <c r="K25" s="947"/>
      <c r="L25" s="336"/>
      <c r="N25" s="336"/>
      <c r="O25" s="336"/>
      <c r="P25" s="144"/>
      <c r="Q25" s="944"/>
    </row>
    <row r="26" spans="1:17" ht="15.75">
      <c r="A26" s="334"/>
      <c r="B26" s="334"/>
      <c r="C26" s="334"/>
      <c r="D26" s="334"/>
      <c r="E26" s="334"/>
      <c r="F26" s="334"/>
      <c r="G26" s="334"/>
      <c r="H26" s="334"/>
      <c r="I26" s="942"/>
      <c r="J26" s="947"/>
      <c r="K26" s="947"/>
      <c r="L26" s="947"/>
      <c r="N26" s="141"/>
      <c r="O26" s="141"/>
      <c r="P26" s="145"/>
      <c r="Q26" s="944"/>
    </row>
    <row r="27" spans="1:17" ht="16.5" thickBot="1">
      <c r="A27" s="849">
        <v>9</v>
      </c>
      <c r="B27" s="334"/>
      <c r="C27" s="334" t="s">
        <v>432</v>
      </c>
      <c r="D27" s="334"/>
      <c r="E27" s="334"/>
      <c r="F27" s="276">
        <f>ROUND(F23/F25,4)</f>
        <v>8.6999999999999994E-3</v>
      </c>
      <c r="G27" s="948"/>
      <c r="H27" s="948"/>
      <c r="J27" s="947"/>
      <c r="K27" s="947"/>
      <c r="N27" s="141"/>
      <c r="O27" s="141"/>
      <c r="P27" s="142"/>
      <c r="Q27" s="944"/>
    </row>
    <row r="28" spans="1:17" ht="9.75" customHeight="1" thickTop="1">
      <c r="B28" s="334"/>
      <c r="C28" s="54"/>
      <c r="D28" s="54"/>
      <c r="E28" s="54"/>
      <c r="F28" s="54"/>
      <c r="G28" s="54"/>
      <c r="H28" s="54"/>
      <c r="J28" s="143"/>
      <c r="K28" s="949"/>
      <c r="L28" s="950"/>
      <c r="M28" s="950"/>
      <c r="N28" s="951"/>
      <c r="O28" s="951"/>
      <c r="P28" s="144"/>
      <c r="Q28" s="944"/>
    </row>
    <row r="29" spans="1:17" ht="15.75">
      <c r="A29" s="849">
        <v>10</v>
      </c>
      <c r="C29" s="388" t="s">
        <v>430</v>
      </c>
      <c r="F29" s="425">
        <v>152089</v>
      </c>
      <c r="G29" s="425"/>
      <c r="H29" s="425"/>
      <c r="I29" s="899" t="s">
        <v>687</v>
      </c>
      <c r="J29" s="909"/>
      <c r="K29" s="909"/>
      <c r="L29" s="141"/>
      <c r="M29" s="141"/>
      <c r="N29" s="141"/>
      <c r="O29" s="141"/>
      <c r="P29" s="144"/>
      <c r="Q29" s="944"/>
    </row>
    <row r="30" spans="1:17" ht="9" customHeight="1">
      <c r="J30" s="143"/>
      <c r="K30" s="949"/>
      <c r="L30" s="950"/>
      <c r="M30" s="950"/>
      <c r="N30" s="951"/>
      <c r="O30" s="951"/>
      <c r="P30" s="144"/>
      <c r="Q30" s="944"/>
    </row>
    <row r="31" spans="1:17" ht="15.75" customHeight="1" thickBot="1">
      <c r="A31" s="849">
        <v>11</v>
      </c>
      <c r="C31" s="388" t="s">
        <v>431</v>
      </c>
      <c r="F31" s="276">
        <f>ROUND(F23/F29,4)</f>
        <v>5.1000000000000004E-3</v>
      </c>
      <c r="G31" s="948"/>
      <c r="H31" s="948"/>
      <c r="J31" s="336"/>
      <c r="K31" s="336"/>
      <c r="L31" s="336"/>
      <c r="M31" s="336"/>
      <c r="N31" s="336"/>
      <c r="O31" s="336"/>
      <c r="P31" s="144"/>
      <c r="Q31" s="944"/>
    </row>
    <row r="32" spans="1:17" ht="16.5" thickTop="1">
      <c r="A32" s="334" t="s">
        <v>407</v>
      </c>
      <c r="J32" s="143"/>
      <c r="K32" s="90"/>
      <c r="L32" s="142"/>
      <c r="M32" s="142"/>
      <c r="N32" s="142"/>
      <c r="O32" s="142"/>
      <c r="P32" s="144"/>
      <c r="Q32" s="944"/>
    </row>
    <row r="33" spans="1:17" ht="8.25" customHeight="1">
      <c r="A33" s="334"/>
      <c r="J33" s="143"/>
      <c r="K33" s="90"/>
      <c r="L33" s="142"/>
      <c r="M33" s="142"/>
      <c r="N33" s="142"/>
      <c r="O33" s="142"/>
      <c r="P33" s="144"/>
      <c r="Q33" s="944"/>
    </row>
    <row r="34" spans="1:17">
      <c r="C34" s="952" t="s">
        <v>688</v>
      </c>
      <c r="D34" s="952"/>
      <c r="E34" s="952"/>
      <c r="F34" s="952"/>
      <c r="G34" s="953"/>
      <c r="H34" s="953"/>
      <c r="I34" s="75"/>
      <c r="J34"/>
      <c r="K34"/>
      <c r="L34"/>
      <c r="M34"/>
      <c r="N34"/>
      <c r="O34"/>
      <c r="P34"/>
    </row>
    <row r="35" spans="1:17">
      <c r="A35" s="854">
        <v>12</v>
      </c>
      <c r="C35" s="954" t="s">
        <v>689</v>
      </c>
      <c r="F35" s="977">
        <v>4.5499999999999999E-2</v>
      </c>
      <c r="G35" s="978" t="s">
        <v>703</v>
      </c>
      <c r="H35" s="979"/>
      <c r="I35" s="75"/>
      <c r="J35"/>
      <c r="K35"/>
      <c r="L35"/>
      <c r="M35"/>
      <c r="N35"/>
      <c r="O35"/>
      <c r="P35"/>
    </row>
    <row r="36" spans="1:17">
      <c r="A36" s="854">
        <v>13</v>
      </c>
      <c r="C36" s="954" t="s">
        <v>690</v>
      </c>
      <c r="F36" s="955">
        <f>F46+F47</f>
        <v>80655</v>
      </c>
      <c r="G36" s="956"/>
      <c r="H36" s="956"/>
      <c r="I36" s="75"/>
      <c r="J36"/>
      <c r="K36"/>
      <c r="L36"/>
      <c r="M36"/>
      <c r="N36"/>
      <c r="O36"/>
      <c r="P36"/>
    </row>
    <row r="37" spans="1:17">
      <c r="C37" s="957" t="s">
        <v>691</v>
      </c>
      <c r="F37" s="958"/>
      <c r="G37" s="958"/>
      <c r="H37" s="958"/>
      <c r="I37" s="75"/>
      <c r="J37"/>
      <c r="K37"/>
      <c r="L37"/>
      <c r="M37"/>
      <c r="N37"/>
      <c r="O37"/>
      <c r="P37"/>
    </row>
    <row r="38" spans="1:17" ht="26.25" thickBot="1">
      <c r="C38" s="959"/>
      <c r="F38" s="960" t="s">
        <v>692</v>
      </c>
      <c r="G38" s="961" t="s">
        <v>693</v>
      </c>
      <c r="H38" s="961" t="s">
        <v>694</v>
      </c>
      <c r="I38" s="75"/>
      <c r="J38" s="962"/>
      <c r="K38"/>
      <c r="L38" s="963"/>
      <c r="M38"/>
      <c r="N38"/>
      <c r="O38"/>
      <c r="P38"/>
    </row>
    <row r="39" spans="1:17" ht="13.5" thickBot="1">
      <c r="A39" s="854">
        <v>14</v>
      </c>
      <c r="C39" s="964" t="s">
        <v>695</v>
      </c>
      <c r="F39" s="980">
        <f>F36*F35</f>
        <v>3669.8024999999998</v>
      </c>
      <c r="G39" s="965">
        <f>F39/(F25+F23)</f>
        <v>4.0956245884624397E-2</v>
      </c>
      <c r="H39" s="966">
        <f>F39/(F29+F23)</f>
        <v>2.4007447942902375E-2</v>
      </c>
      <c r="I39" s="75"/>
      <c r="J39" s="967"/>
      <c r="K39"/>
      <c r="L39" s="967"/>
      <c r="M39"/>
      <c r="N39"/>
      <c r="O39"/>
      <c r="P39"/>
    </row>
    <row r="40" spans="1:17">
      <c r="A40" s="854"/>
      <c r="C40" s="959"/>
      <c r="F40" s="968"/>
      <c r="G40" s="968"/>
      <c r="H40" s="969"/>
      <c r="I40" s="75"/>
      <c r="J40" s="391"/>
      <c r="K40" s="391"/>
      <c r="L40" s="391"/>
      <c r="M40" s="391"/>
      <c r="N40" s="391"/>
      <c r="O40" s="391"/>
      <c r="P40" s="391"/>
    </row>
    <row r="41" spans="1:17">
      <c r="A41" s="854">
        <v>15</v>
      </c>
      <c r="C41" s="964" t="s">
        <v>696</v>
      </c>
      <c r="F41" s="955">
        <f>F36+F39</f>
        <v>84324.802500000005</v>
      </c>
      <c r="G41" s="956"/>
      <c r="H41" s="956"/>
      <c r="I41" s="75"/>
      <c r="J41" s="391"/>
      <c r="K41" s="391"/>
      <c r="L41" s="391"/>
      <c r="M41" s="391"/>
      <c r="N41" s="391"/>
      <c r="O41" s="391"/>
      <c r="P41" s="391"/>
    </row>
    <row r="42" spans="1:17">
      <c r="C42" s="957" t="s">
        <v>697</v>
      </c>
      <c r="F42" s="968"/>
      <c r="G42" s="968"/>
      <c r="H42" s="969"/>
      <c r="J42" s="391"/>
      <c r="K42" s="391"/>
      <c r="L42" s="391"/>
      <c r="M42" s="391"/>
      <c r="N42" s="391"/>
      <c r="O42" s="391"/>
      <c r="P42" s="391"/>
      <c r="Q42" s="75"/>
    </row>
    <row r="43" spans="1:17" ht="9" customHeight="1" thickBot="1">
      <c r="C43" s="957"/>
      <c r="F43" s="968"/>
      <c r="G43" s="968"/>
      <c r="H43" s="969"/>
      <c r="J43" s="391"/>
      <c r="K43" s="391"/>
      <c r="L43" s="391"/>
      <c r="M43" s="391"/>
      <c r="N43" s="391"/>
      <c r="O43" s="391"/>
      <c r="P43" s="391"/>
      <c r="Q43" s="75"/>
    </row>
    <row r="44" spans="1:17" ht="13.5" thickBot="1">
      <c r="A44" s="854">
        <v>16</v>
      </c>
      <c r="C44" s="964" t="s">
        <v>698</v>
      </c>
      <c r="F44" s="980">
        <f>F41*F35</f>
        <v>3836.77851375</v>
      </c>
      <c r="G44" s="965">
        <f>F44/(F25+F23+F39)</f>
        <v>4.1135019115030876E-2</v>
      </c>
      <c r="H44" s="966">
        <f>F44/(F23+F29+F39)</f>
        <v>2.4511332290333081E-2</v>
      </c>
      <c r="J44" s="967"/>
      <c r="L44" s="967"/>
      <c r="Q44" s="75"/>
    </row>
    <row r="45" spans="1:17">
      <c r="F45" s="391"/>
      <c r="G45" s="341"/>
      <c r="H45" s="265"/>
      <c r="Q45" s="75"/>
    </row>
    <row r="46" spans="1:17">
      <c r="B46" s="959" t="s">
        <v>699</v>
      </c>
      <c r="C46" s="970" t="s">
        <v>700</v>
      </c>
      <c r="D46" s="336"/>
      <c r="F46" s="971">
        <v>79883</v>
      </c>
      <c r="G46" s="972" t="s">
        <v>701</v>
      </c>
      <c r="H46" s="973"/>
      <c r="J46" s="48"/>
    </row>
    <row r="47" spans="1:17" ht="12.75" customHeight="1">
      <c r="C47" s="686" t="s">
        <v>702</v>
      </c>
      <c r="D47" s="686"/>
      <c r="F47" s="974">
        <f>F23</f>
        <v>772</v>
      </c>
      <c r="G47" s="975"/>
      <c r="H47" s="975"/>
    </row>
    <row r="48" spans="1:17" ht="14.25" customHeight="1">
      <c r="F48" s="976">
        <f>F46+F47</f>
        <v>80655</v>
      </c>
    </row>
    <row r="71" spans="28:28">
      <c r="AB71">
        <f>AB77</f>
        <v>0</v>
      </c>
    </row>
  </sheetData>
  <mergeCells count="13">
    <mergeCell ref="C34:F34"/>
    <mergeCell ref="A4:F4"/>
    <mergeCell ref="J4:N4"/>
    <mergeCell ref="A5:F5"/>
    <mergeCell ref="C8:D9"/>
    <mergeCell ref="F8:F9"/>
    <mergeCell ref="I29:K29"/>
    <mergeCell ref="A1:F1"/>
    <mergeCell ref="J1:N1"/>
    <mergeCell ref="A2:F2"/>
    <mergeCell ref="J2:N2"/>
    <mergeCell ref="A3:F3"/>
    <mergeCell ref="J3:N3"/>
  </mergeCells>
  <pageMargins left="0.75" right="0.5" top="0.97" bottom="0.84" header="0.5" footer="0.5"/>
  <pageSetup scale="96" orientation="portrait" r:id="rId1"/>
  <headerFooter scaleWithDoc="0" alignWithMargins="0">
    <oddHeader xml:space="preserve">&amp;RREVISED Exh. EMA-12
</oddHeader>
    <oddFooter>&amp;LBenc Request 9&amp;RPage &amp;P of &amp;N</oddFooter>
  </headerFooter>
  <rowBreaks count="1" manualBreakCount="1">
    <brk id="48" max="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O302"/>
  <sheetViews>
    <sheetView zoomScaleNormal="100" zoomScaleSheetLayoutView="100" workbookViewId="0">
      <pane xSplit="1" ySplit="9" topLeftCell="B91" activePane="bottomRight" state="frozen"/>
      <selection activeCell="U26" sqref="U26"/>
      <selection pane="topRight" activeCell="U26" sqref="U26"/>
      <selection pane="bottomLeft" activeCell="U26" sqref="U26"/>
      <selection pane="bottomRight" activeCell="B4" sqref="B4"/>
    </sheetView>
  </sheetViews>
  <sheetFormatPr defaultColWidth="9.140625" defaultRowHeight="11.1" customHeight="1"/>
  <cols>
    <col min="1" max="1" width="8.28515625" style="8" customWidth="1"/>
    <col min="2" max="2" width="26.140625" style="8" customWidth="1"/>
    <col min="3" max="3" width="12.42578125" style="8" customWidth="1"/>
    <col min="4" max="4" width="6.7109375" style="8" customWidth="1"/>
    <col min="5" max="5" width="12.42578125" style="28" customWidth="1"/>
    <col min="6" max="6" width="12.42578125" style="29" customWidth="1"/>
    <col min="7" max="7" width="12.42578125" style="28" customWidth="1"/>
    <col min="8" max="8" width="12.85546875" style="8" bestFit="1" customWidth="1"/>
    <col min="9" max="9" width="12.140625" style="8" bestFit="1" customWidth="1"/>
    <col min="10" max="16384" width="9.140625" style="8"/>
  </cols>
  <sheetData>
    <row r="1" spans="1:8" ht="16.5" customHeight="1">
      <c r="F1" s="273"/>
    </row>
    <row r="2" spans="1:8" ht="4.5" customHeight="1"/>
    <row r="3" spans="1:8" ht="12">
      <c r="A3" s="907" t="s">
        <v>103</v>
      </c>
      <c r="B3" s="907"/>
      <c r="C3" s="907"/>
      <c r="E3" s="9"/>
      <c r="F3" s="10"/>
      <c r="G3" s="9"/>
    </row>
    <row r="4" spans="1:8" ht="12">
      <c r="A4" s="7" t="s">
        <v>169</v>
      </c>
      <c r="B4" s="7"/>
      <c r="C4" s="7"/>
      <c r="E4" s="11" t="s">
        <v>67</v>
      </c>
      <c r="F4" s="11"/>
      <c r="G4" s="11"/>
    </row>
    <row r="5" spans="1:8" ht="12">
      <c r="A5" s="908" t="s">
        <v>436</v>
      </c>
      <c r="B5" s="907"/>
      <c r="C5" s="907"/>
      <c r="E5" s="11" t="s">
        <v>68</v>
      </c>
      <c r="F5" s="11"/>
      <c r="G5" s="11"/>
    </row>
    <row r="6" spans="1:8" ht="12">
      <c r="A6" s="7" t="s">
        <v>69</v>
      </c>
      <c r="B6" s="7"/>
      <c r="C6" s="7"/>
      <c r="E6" s="12"/>
      <c r="F6" s="13" t="s">
        <v>70</v>
      </c>
      <c r="G6" s="12"/>
    </row>
    <row r="7" spans="1:8" ht="12">
      <c r="A7" s="14" t="s">
        <v>7</v>
      </c>
      <c r="E7" s="9"/>
      <c r="F7" s="15"/>
      <c r="G7" s="9"/>
    </row>
    <row r="8" spans="1:8" ht="12">
      <c r="A8" s="16" t="s">
        <v>15</v>
      </c>
      <c r="B8" s="17" t="s">
        <v>63</v>
      </c>
      <c r="C8" s="17"/>
      <c r="E8" s="18" t="s">
        <v>71</v>
      </c>
      <c r="F8" s="19" t="s">
        <v>72</v>
      </c>
      <c r="G8" s="18" t="s">
        <v>73</v>
      </c>
      <c r="H8" s="20" t="s">
        <v>74</v>
      </c>
    </row>
    <row r="9" spans="1:8" ht="12">
      <c r="A9" s="14"/>
      <c r="B9" s="8" t="s">
        <v>26</v>
      </c>
      <c r="E9" s="21"/>
      <c r="F9" s="15"/>
      <c r="G9" s="21"/>
    </row>
    <row r="10" spans="1:8" ht="12">
      <c r="A10" s="14"/>
      <c r="B10" s="103"/>
      <c r="E10" s="102"/>
      <c r="F10" s="101"/>
      <c r="G10" s="101"/>
    </row>
    <row r="11" spans="1:8" ht="12">
      <c r="A11" s="14"/>
      <c r="B11" s="103"/>
      <c r="E11" s="102"/>
      <c r="F11" s="101"/>
      <c r="G11" s="101"/>
    </row>
    <row r="12" spans="1:8" ht="12">
      <c r="A12" s="14"/>
      <c r="E12" s="21"/>
      <c r="F12" s="15"/>
      <c r="G12" s="15"/>
    </row>
    <row r="13" spans="1:8" ht="5.25" customHeight="1">
      <c r="A13" s="148"/>
      <c r="E13" s="21"/>
      <c r="F13" s="15"/>
      <c r="G13" s="15"/>
    </row>
    <row r="14" spans="1:8" ht="12">
      <c r="A14" s="148"/>
      <c r="E14" s="21"/>
      <c r="F14" s="15"/>
      <c r="G14" s="15"/>
    </row>
    <row r="15" spans="1:8" ht="12">
      <c r="A15" s="14">
        <v>1</v>
      </c>
      <c r="B15" s="8" t="s">
        <v>75</v>
      </c>
      <c r="E15" s="22">
        <f>F15+G15</f>
        <v>146098</v>
      </c>
      <c r="F15" s="97">
        <f>F94</f>
        <v>146098</v>
      </c>
      <c r="G15" s="97">
        <f>G94</f>
        <v>0</v>
      </c>
      <c r="H15" s="23" t="str">
        <f>IF(E15=F15+G15," ","ERROR")</f>
        <v xml:space="preserve"> </v>
      </c>
    </row>
    <row r="16" spans="1:8" ht="12">
      <c r="A16" s="14">
        <v>2</v>
      </c>
      <c r="B16" s="8" t="s">
        <v>76</v>
      </c>
      <c r="E16" s="24">
        <f>F16+G16</f>
        <v>4595</v>
      </c>
      <c r="F16" s="98">
        <f>F99</f>
        <v>4595</v>
      </c>
      <c r="G16" s="98">
        <f>G99</f>
        <v>0</v>
      </c>
      <c r="H16" s="23" t="str">
        <f>IF(E16=F16+G16," ","ERROR")</f>
        <v xml:space="preserve"> </v>
      </c>
    </row>
    <row r="17" spans="1:8" ht="12">
      <c r="A17" s="14">
        <v>3</v>
      </c>
      <c r="B17" s="8" t="s">
        <v>29</v>
      </c>
      <c r="E17" s="25">
        <f>F17+G17</f>
        <v>69723</v>
      </c>
      <c r="F17" s="99">
        <f>F103-F99</f>
        <v>69723</v>
      </c>
      <c r="G17" s="99">
        <f>G103-G99</f>
        <v>0</v>
      </c>
      <c r="H17" s="23" t="str">
        <f>IF(E17=F17+G17," ","ERROR")</f>
        <v xml:space="preserve"> </v>
      </c>
    </row>
    <row r="18" spans="1:8" ht="12">
      <c r="A18" s="14">
        <v>4</v>
      </c>
      <c r="B18" s="8" t="s">
        <v>77</v>
      </c>
      <c r="E18" s="24">
        <f>SUM(E15:E17)</f>
        <v>220416</v>
      </c>
      <c r="F18" s="24">
        <f>SUM(F15:F17)</f>
        <v>220416</v>
      </c>
      <c r="G18" s="24">
        <f>SUM(G15:G17)</f>
        <v>0</v>
      </c>
      <c r="H18" s="23" t="str">
        <f>IF(E18=F18+G18," ","ERROR")</f>
        <v xml:space="preserve"> </v>
      </c>
    </row>
    <row r="19" spans="1:8" ht="12">
      <c r="A19" s="14"/>
      <c r="E19" s="24"/>
      <c r="F19" s="24"/>
      <c r="G19" s="24"/>
      <c r="H19" s="23"/>
    </row>
    <row r="20" spans="1:8" ht="12">
      <c r="A20" s="14"/>
      <c r="B20" s="8" t="s">
        <v>31</v>
      </c>
      <c r="E20" s="24"/>
      <c r="F20" s="24"/>
      <c r="G20" s="24"/>
      <c r="H20" s="23"/>
    </row>
    <row r="21" spans="1:8" ht="12">
      <c r="A21" s="14"/>
      <c r="B21" s="8" t="s">
        <v>172</v>
      </c>
      <c r="E21" s="24"/>
      <c r="F21" s="98"/>
      <c r="G21" s="98"/>
      <c r="H21" s="100" t="str">
        <f>IF(E21=F21+G21," ","ERROR")</f>
        <v xml:space="preserve"> </v>
      </c>
    </row>
    <row r="22" spans="1:8" ht="12">
      <c r="A22" s="14">
        <v>5</v>
      </c>
      <c r="B22" s="8" t="s">
        <v>78</v>
      </c>
      <c r="E22" s="24">
        <f>F22+G22</f>
        <v>112605</v>
      </c>
      <c r="F22" s="98">
        <f>F107</f>
        <v>112605</v>
      </c>
      <c r="G22" s="98">
        <f>G107</f>
        <v>0</v>
      </c>
      <c r="H22" s="23" t="str">
        <f>IF(E22=F22+G22," ","ERROR")</f>
        <v xml:space="preserve"> </v>
      </c>
    </row>
    <row r="23" spans="1:8" ht="12">
      <c r="A23" s="14">
        <v>6</v>
      </c>
      <c r="B23" s="8" t="s">
        <v>79</v>
      </c>
      <c r="E23" s="24">
        <f>F23+G23</f>
        <v>988</v>
      </c>
      <c r="F23" s="98">
        <f>F110+F111</f>
        <v>988</v>
      </c>
      <c r="G23" s="98">
        <f>G109+G110+G111</f>
        <v>0</v>
      </c>
      <c r="H23" s="23" t="str">
        <f>IF(E23=F23+G23," ","ERROR")</f>
        <v xml:space="preserve"> </v>
      </c>
    </row>
    <row r="24" spans="1:8" ht="12">
      <c r="A24" s="14">
        <v>7</v>
      </c>
      <c r="B24" s="8" t="s">
        <v>80</v>
      </c>
      <c r="E24" s="25">
        <f>F24+G24</f>
        <v>2932</v>
      </c>
      <c r="F24" s="99">
        <f>F108+F109-1</f>
        <v>2932</v>
      </c>
      <c r="G24" s="99">
        <f>G108</f>
        <v>0</v>
      </c>
      <c r="H24" s="23" t="str">
        <f>IF(E24=F24+G24," ","ERROR")</f>
        <v xml:space="preserve"> </v>
      </c>
    </row>
    <row r="25" spans="1:8" ht="12">
      <c r="A25" s="14">
        <v>8</v>
      </c>
      <c r="B25" s="8" t="s">
        <v>81</v>
      </c>
      <c r="E25" s="24">
        <f>SUM(E22:E24)</f>
        <v>116525</v>
      </c>
      <c r="F25" s="24">
        <f>SUM(F22:F24)</f>
        <v>116525</v>
      </c>
      <c r="G25" s="24">
        <f>SUM(G22:G24)</f>
        <v>0</v>
      </c>
      <c r="H25" s="23" t="str">
        <f>IF(E25=F25+G25," ","ERROR")</f>
        <v xml:space="preserve"> </v>
      </c>
    </row>
    <row r="26" spans="1:8" ht="12">
      <c r="A26" s="148"/>
      <c r="E26" s="24"/>
      <c r="F26" s="24"/>
      <c r="G26" s="24"/>
      <c r="H26" s="23"/>
    </row>
    <row r="27" spans="1:8" ht="12">
      <c r="A27" s="14"/>
      <c r="B27" s="8" t="s">
        <v>36</v>
      </c>
      <c r="E27" s="24"/>
      <c r="F27" s="24"/>
      <c r="G27" s="24"/>
      <c r="H27" s="23"/>
    </row>
    <row r="28" spans="1:8" ht="12">
      <c r="A28" s="14">
        <v>9</v>
      </c>
      <c r="B28" s="8" t="s">
        <v>82</v>
      </c>
      <c r="E28" s="24">
        <f>F28+G28</f>
        <v>974</v>
      </c>
      <c r="F28" s="98">
        <f>F118</f>
        <v>974</v>
      </c>
      <c r="G28" s="98">
        <f>G118</f>
        <v>0</v>
      </c>
      <c r="H28" s="23" t="str">
        <f>IF(E28=F28+G28," ","ERROR")</f>
        <v xml:space="preserve"> </v>
      </c>
    </row>
    <row r="29" spans="1:8" ht="12">
      <c r="A29" s="14">
        <v>10</v>
      </c>
      <c r="B29" s="8" t="s">
        <v>83</v>
      </c>
      <c r="E29" s="24">
        <f>F29+G29</f>
        <v>492</v>
      </c>
      <c r="F29" s="98">
        <f>F120+F121</f>
        <v>492</v>
      </c>
      <c r="G29" s="98">
        <f>G120+G121</f>
        <v>0</v>
      </c>
      <c r="H29" s="23" t="str">
        <f>IF(E29=F29+G29," ","ERROR")</f>
        <v xml:space="preserve"> </v>
      </c>
    </row>
    <row r="30" spans="1:8" ht="12">
      <c r="A30" s="14">
        <v>11</v>
      </c>
      <c r="B30" s="8" t="s">
        <v>84</v>
      </c>
      <c r="E30" s="25">
        <f>F30+G30</f>
        <v>210</v>
      </c>
      <c r="F30" s="99">
        <f>F122</f>
        <v>210</v>
      </c>
      <c r="G30" s="99">
        <f>G122</f>
        <v>0</v>
      </c>
      <c r="H30" s="23" t="str">
        <f>IF(E30=F30+G30," ","ERROR")</f>
        <v xml:space="preserve"> </v>
      </c>
    </row>
    <row r="31" spans="1:8" ht="12">
      <c r="A31" s="254">
        <v>12</v>
      </c>
      <c r="B31" s="8" t="s">
        <v>85</v>
      </c>
      <c r="E31" s="24">
        <f>SUM(E28:E30)</f>
        <v>1676</v>
      </c>
      <c r="F31" s="98">
        <f>SUM(F28:F30)</f>
        <v>1676</v>
      </c>
      <c r="G31" s="98">
        <f>SUM(G28:G30)</f>
        <v>0</v>
      </c>
      <c r="H31" s="23" t="str">
        <f>IF(E31=F31+G31," ","ERROR")</f>
        <v xml:space="preserve"> </v>
      </c>
    </row>
    <row r="32" spans="1:8" ht="12">
      <c r="A32" s="148"/>
      <c r="E32" s="24"/>
      <c r="F32" s="98"/>
      <c r="G32" s="98"/>
      <c r="H32" s="23"/>
    </row>
    <row r="33" spans="1:10" ht="12">
      <c r="A33" s="14"/>
      <c r="B33" s="8" t="s">
        <v>40</v>
      </c>
      <c r="E33" s="24"/>
      <c r="F33" s="98"/>
      <c r="G33" s="98"/>
      <c r="H33" s="23"/>
    </row>
    <row r="34" spans="1:10" ht="12">
      <c r="A34" s="14">
        <v>13</v>
      </c>
      <c r="B34" s="8" t="s">
        <v>82</v>
      </c>
      <c r="E34" s="24">
        <f>F34+G34</f>
        <v>12049</v>
      </c>
      <c r="F34" s="98">
        <f>F149</f>
        <v>12049</v>
      </c>
      <c r="G34" s="98">
        <f>G149</f>
        <v>0</v>
      </c>
      <c r="H34" s="23" t="str">
        <f t="shared" ref="H34:H41" si="0">IF(E34=F34+G34," ","ERROR")</f>
        <v xml:space="preserve"> </v>
      </c>
    </row>
    <row r="35" spans="1:10" ht="12">
      <c r="A35" s="14">
        <v>14</v>
      </c>
      <c r="B35" s="8" t="s">
        <v>83</v>
      </c>
      <c r="E35" s="24">
        <f>F35+G35</f>
        <v>9866</v>
      </c>
      <c r="F35" s="98">
        <f>F151</f>
        <v>9866</v>
      </c>
      <c r="G35" s="98">
        <f>G151</f>
        <v>0</v>
      </c>
      <c r="H35" s="23" t="str">
        <f t="shared" si="0"/>
        <v xml:space="preserve"> </v>
      </c>
    </row>
    <row r="36" spans="1:10" ht="12">
      <c r="A36" s="14">
        <v>15</v>
      </c>
      <c r="B36" s="8" t="s">
        <v>84</v>
      </c>
      <c r="E36" s="25">
        <f>F36+G36</f>
        <v>12807</v>
      </c>
      <c r="F36" s="99">
        <f>F152</f>
        <v>12807</v>
      </c>
      <c r="G36" s="99">
        <f>G152</f>
        <v>0</v>
      </c>
      <c r="H36" s="23" t="str">
        <f t="shared" si="0"/>
        <v xml:space="preserve"> </v>
      </c>
    </row>
    <row r="37" spans="1:10" ht="12" customHeight="1">
      <c r="A37" s="14">
        <v>16</v>
      </c>
      <c r="B37" s="8" t="s">
        <v>86</v>
      </c>
      <c r="E37" s="24">
        <f>SUM(E34:E36)</f>
        <v>34722</v>
      </c>
      <c r="F37" s="24">
        <f>SUM(F34:F36)</f>
        <v>34722</v>
      </c>
      <c r="G37" s="24">
        <f>SUM(G34:G36)</f>
        <v>0</v>
      </c>
      <c r="H37" s="23" t="str">
        <f t="shared" si="0"/>
        <v xml:space="preserve"> </v>
      </c>
    </row>
    <row r="38" spans="1:10" ht="12" customHeight="1">
      <c r="A38" s="14"/>
      <c r="E38" s="24"/>
      <c r="F38" s="24"/>
      <c r="G38" s="24"/>
      <c r="H38" s="23"/>
    </row>
    <row r="39" spans="1:10" ht="12" customHeight="1">
      <c r="A39" s="14">
        <v>17</v>
      </c>
      <c r="B39" s="8" t="s">
        <v>42</v>
      </c>
      <c r="E39" s="24">
        <f>F39+G39</f>
        <v>7352</v>
      </c>
      <c r="F39" s="98">
        <f>F163</f>
        <v>7352</v>
      </c>
      <c r="G39" s="98">
        <f>G163</f>
        <v>0</v>
      </c>
      <c r="H39" s="23" t="str">
        <f t="shared" si="0"/>
        <v xml:space="preserve"> </v>
      </c>
    </row>
    <row r="40" spans="1:10" ht="12">
      <c r="A40" s="14">
        <v>18</v>
      </c>
      <c r="B40" s="8" t="s">
        <v>43</v>
      </c>
      <c r="E40" s="24">
        <f>F40+G40</f>
        <v>7595</v>
      </c>
      <c r="F40" s="98">
        <f>F169-1</f>
        <v>7595</v>
      </c>
      <c r="G40" s="98">
        <f>G169</f>
        <v>0</v>
      </c>
      <c r="H40" s="23" t="str">
        <f t="shared" si="0"/>
        <v xml:space="preserve"> </v>
      </c>
    </row>
    <row r="41" spans="1:10" ht="12">
      <c r="A41" s="14">
        <v>19</v>
      </c>
      <c r="B41" s="8" t="s">
        <v>87</v>
      </c>
      <c r="E41" s="24">
        <f>F41+G41</f>
        <v>0</v>
      </c>
      <c r="F41" s="98">
        <f>F175</f>
        <v>0</v>
      </c>
      <c r="G41" s="98">
        <f>G175</f>
        <v>0</v>
      </c>
      <c r="H41" s="23" t="str">
        <f t="shared" si="0"/>
        <v xml:space="preserve"> </v>
      </c>
    </row>
    <row r="42" spans="1:10" ht="12">
      <c r="A42" s="148"/>
      <c r="E42" s="24"/>
      <c r="F42" s="98"/>
      <c r="G42" s="98"/>
      <c r="H42" s="23"/>
    </row>
    <row r="43" spans="1:10" ht="12">
      <c r="A43" s="14"/>
      <c r="B43" s="8" t="s">
        <v>88</v>
      </c>
      <c r="E43" s="24"/>
      <c r="F43" s="98"/>
      <c r="G43" s="98"/>
      <c r="H43" s="23"/>
    </row>
    <row r="44" spans="1:10" ht="12">
      <c r="A44" s="14">
        <v>20</v>
      </c>
      <c r="B44" s="8" t="s">
        <v>82</v>
      </c>
      <c r="E44" s="24">
        <f>F44+G44</f>
        <v>13763</v>
      </c>
      <c r="F44" s="98">
        <f>F189</f>
        <v>13763</v>
      </c>
      <c r="G44" s="98">
        <f>G189</f>
        <v>0</v>
      </c>
      <c r="H44" s="23" t="str">
        <f>IF(E44=F44+G44," ","ERROR")</f>
        <v xml:space="preserve"> </v>
      </c>
    </row>
    <row r="45" spans="1:10" ht="12">
      <c r="A45" s="14">
        <v>21</v>
      </c>
      <c r="B45" s="8" t="s">
        <v>380</v>
      </c>
      <c r="E45" s="24">
        <f>F45+G45</f>
        <v>6260</v>
      </c>
      <c r="F45" s="98">
        <f>F191+F192+F193+F194</f>
        <v>6260</v>
      </c>
      <c r="G45" s="98">
        <f>G191+G192+G193+G194</f>
        <v>0</v>
      </c>
      <c r="H45" s="23" t="str">
        <f>IF(E45=F45+G45," ","ERROR")</f>
        <v xml:space="preserve"> </v>
      </c>
      <c r="J45" s="24"/>
    </row>
    <row r="46" spans="1:10" ht="12">
      <c r="A46" s="217">
        <v>22</v>
      </c>
      <c r="B46" s="8" t="s">
        <v>378</v>
      </c>
      <c r="E46" s="24">
        <f>F46+G46</f>
        <v>0</v>
      </c>
      <c r="F46" s="98">
        <f>F195+F197+F198+F199+F200</f>
        <v>0</v>
      </c>
      <c r="G46" s="98">
        <f>G195+G197+G198+G199+G200</f>
        <v>0</v>
      </c>
      <c r="H46" s="23"/>
      <c r="J46" s="24"/>
    </row>
    <row r="47" spans="1:10" ht="12">
      <c r="A47" s="14">
        <v>23</v>
      </c>
      <c r="B47" s="8" t="s">
        <v>84</v>
      </c>
      <c r="E47" s="25">
        <f>F47+G47</f>
        <v>0</v>
      </c>
      <c r="F47" s="99">
        <v>0</v>
      </c>
      <c r="G47" s="99">
        <v>0</v>
      </c>
      <c r="H47" s="23" t="str">
        <f>IF(E47=F47+G47," ","ERROR")</f>
        <v xml:space="preserve"> </v>
      </c>
    </row>
    <row r="48" spans="1:10" ht="12">
      <c r="A48" s="14">
        <v>24</v>
      </c>
      <c r="B48" s="8" t="s">
        <v>89</v>
      </c>
      <c r="E48" s="25">
        <f>SUM(E44:E47)</f>
        <v>20023</v>
      </c>
      <c r="F48" s="25">
        <f>SUM(F44:F47)</f>
        <v>20023</v>
      </c>
      <c r="G48" s="25">
        <f>SUM(G44:G47)</f>
        <v>0</v>
      </c>
      <c r="H48" s="23" t="str">
        <f>IF(E48=F48+G48," ","ERROR")</f>
        <v xml:space="preserve"> </v>
      </c>
    </row>
    <row r="49" spans="1:8" ht="12">
      <c r="A49" s="14">
        <v>25</v>
      </c>
      <c r="B49" s="8" t="s">
        <v>47</v>
      </c>
      <c r="E49" s="25">
        <f>E25+E31+E37+E39+E40+E41+E48+E21</f>
        <v>187893</v>
      </c>
      <c r="F49" s="25">
        <f>F25+F31+F37+F39+F40+F41+F48+F21</f>
        <v>187893</v>
      </c>
      <c r="G49" s="25">
        <f>G25+G31+G37+G39+G40+G41+G48+G21</f>
        <v>0</v>
      </c>
      <c r="H49" s="23" t="str">
        <f>IF(E49=F49+G49," ","ERROR")</f>
        <v xml:space="preserve"> </v>
      </c>
    </row>
    <row r="50" spans="1:8" ht="12">
      <c r="A50" s="14"/>
      <c r="E50" s="24"/>
      <c r="F50" s="24"/>
      <c r="G50" s="24"/>
      <c r="H50" s="23"/>
    </row>
    <row r="51" spans="1:8" ht="12">
      <c r="A51" s="14">
        <v>26</v>
      </c>
      <c r="B51" s="8" t="s">
        <v>90</v>
      </c>
      <c r="E51" s="33">
        <f>E18-E49</f>
        <v>32523</v>
      </c>
      <c r="F51" s="33">
        <f>F18-F49</f>
        <v>32523</v>
      </c>
      <c r="G51" s="33">
        <f>G18-G49</f>
        <v>0</v>
      </c>
      <c r="H51" s="23" t="str">
        <f>IF(E51=F51+G51," ","ERROR")</f>
        <v xml:space="preserve"> </v>
      </c>
    </row>
    <row r="52" spans="1:8" ht="12" customHeight="1">
      <c r="A52" s="14"/>
      <c r="E52" s="33"/>
      <c r="F52" s="33"/>
      <c r="G52" s="33"/>
      <c r="H52" s="23"/>
    </row>
    <row r="53" spans="1:8" ht="12" customHeight="1">
      <c r="A53" s="14"/>
      <c r="B53" s="8" t="s">
        <v>91</v>
      </c>
      <c r="E53" s="24"/>
      <c r="F53" s="24"/>
      <c r="G53" s="24"/>
      <c r="H53" s="23"/>
    </row>
    <row r="54" spans="1:8" ht="12">
      <c r="A54" s="14">
        <v>27</v>
      </c>
      <c r="B54" s="26" t="s">
        <v>92</v>
      </c>
      <c r="D54" s="27">
        <v>0.35</v>
      </c>
      <c r="E54" s="24">
        <f>F54+G54</f>
        <v>-841</v>
      </c>
      <c r="F54" s="98">
        <f>F209</f>
        <v>-841</v>
      </c>
      <c r="G54" s="98">
        <f>G209</f>
        <v>0</v>
      </c>
      <c r="H54" s="23" t="str">
        <f>IF(E54=F54+G54," ","ERROR")</f>
        <v xml:space="preserve"> </v>
      </c>
    </row>
    <row r="55" spans="1:8" ht="12">
      <c r="A55" s="148">
        <v>28</v>
      </c>
      <c r="B55" s="26" t="s">
        <v>206</v>
      </c>
      <c r="D55" s="27"/>
      <c r="E55" s="24"/>
      <c r="F55" s="98"/>
      <c r="G55" s="98"/>
      <c r="H55" s="23"/>
    </row>
    <row r="56" spans="1:8" ht="12">
      <c r="A56" s="14">
        <v>29</v>
      </c>
      <c r="B56" s="8" t="s">
        <v>93</v>
      </c>
      <c r="E56" s="24">
        <f>F56+G56</f>
        <v>9923</v>
      </c>
      <c r="F56" s="98">
        <f>F210</f>
        <v>9923</v>
      </c>
      <c r="G56" s="98">
        <f>G210</f>
        <v>0</v>
      </c>
      <c r="H56" s="23" t="str">
        <f>IF(E56=F56+G56," ","ERROR")</f>
        <v xml:space="preserve"> </v>
      </c>
    </row>
    <row r="57" spans="1:8" ht="12">
      <c r="A57" s="14">
        <v>30</v>
      </c>
      <c r="B57" s="8" t="s">
        <v>94</v>
      </c>
      <c r="E57" s="25">
        <f>F57+G57</f>
        <v>-17</v>
      </c>
      <c r="F57" s="99">
        <f>F211</f>
        <v>-17</v>
      </c>
      <c r="G57" s="99">
        <f>G211</f>
        <v>0</v>
      </c>
      <c r="H57" s="23" t="str">
        <f>IF(E57=F57+G57," ","ERROR")</f>
        <v xml:space="preserve"> </v>
      </c>
    </row>
    <row r="58" spans="1:8" ht="12">
      <c r="A58" s="14"/>
      <c r="G58" s="29"/>
      <c r="H58" s="23"/>
    </row>
    <row r="59" spans="1:8" ht="12.75" thickBot="1">
      <c r="A59" s="14">
        <v>31</v>
      </c>
      <c r="B59" s="30" t="s">
        <v>53</v>
      </c>
      <c r="E59" s="34">
        <f>E51-(+E54+E56+E57)</f>
        <v>23458</v>
      </c>
      <c r="F59" s="34">
        <f>F51-(F54+F56+F57)</f>
        <v>23458</v>
      </c>
      <c r="G59" s="34">
        <f>G51-(G54+G56+G57)</f>
        <v>0</v>
      </c>
      <c r="H59" s="23" t="str">
        <f>IF(E59=F59+G59," ","ERROR")</f>
        <v xml:space="preserve"> </v>
      </c>
    </row>
    <row r="60" spans="1:8" ht="12.75" thickTop="1">
      <c r="A60" s="14"/>
      <c r="E60" s="15"/>
      <c r="F60" s="15"/>
      <c r="G60" s="15"/>
      <c r="H60" s="23"/>
    </row>
    <row r="61" spans="1:8" ht="12">
      <c r="A61" s="14"/>
      <c r="B61" s="26" t="s">
        <v>95</v>
      </c>
      <c r="G61" s="29"/>
      <c r="H61" s="23"/>
    </row>
    <row r="62" spans="1:8" ht="12">
      <c r="A62" s="14"/>
      <c r="B62" s="26" t="s">
        <v>96</v>
      </c>
      <c r="G62" s="29"/>
      <c r="H62" s="23"/>
    </row>
    <row r="63" spans="1:8" ht="12">
      <c r="A63" s="14">
        <v>32</v>
      </c>
      <c r="B63" s="8" t="s">
        <v>97</v>
      </c>
      <c r="E63" s="22">
        <f>F63+G63</f>
        <v>26868</v>
      </c>
      <c r="F63" s="97">
        <f>F229</f>
        <v>26868</v>
      </c>
      <c r="G63" s="97">
        <f>G229</f>
        <v>0</v>
      </c>
      <c r="H63" s="23" t="str">
        <f t="shared" ref="H63:H76" si="1">IF(E63=F63+G63," ","ERROR")</f>
        <v xml:space="preserve"> </v>
      </c>
    </row>
    <row r="64" spans="1:8" ht="12">
      <c r="A64" s="14">
        <v>33</v>
      </c>
      <c r="B64" s="8" t="s">
        <v>98</v>
      </c>
      <c r="E64" s="24">
        <f>F64+G64</f>
        <v>390508</v>
      </c>
      <c r="F64" s="98">
        <f>F245</f>
        <v>390508</v>
      </c>
      <c r="G64" s="98">
        <f>G245</f>
        <v>0</v>
      </c>
      <c r="H64" s="23" t="str">
        <f t="shared" si="1"/>
        <v xml:space="preserve"> </v>
      </c>
    </row>
    <row r="65" spans="1:8" ht="12">
      <c r="A65" s="14">
        <v>34</v>
      </c>
      <c r="B65" s="8" t="s">
        <v>99</v>
      </c>
      <c r="E65" s="25">
        <f>F65+G65</f>
        <v>82624</v>
      </c>
      <c r="F65" s="99">
        <f>F258+F218</f>
        <v>82624</v>
      </c>
      <c r="G65" s="99">
        <f>G258+G218</f>
        <v>0</v>
      </c>
      <c r="H65" s="23" t="str">
        <f t="shared" si="1"/>
        <v xml:space="preserve"> </v>
      </c>
    </row>
    <row r="66" spans="1:8" ht="12">
      <c r="A66" s="14">
        <v>35</v>
      </c>
      <c r="B66" s="8" t="s">
        <v>100</v>
      </c>
      <c r="E66" s="24">
        <f>SUM(E63:E65)</f>
        <v>500000</v>
      </c>
      <c r="F66" s="98">
        <f>SUM(F63:F65)</f>
        <v>500000</v>
      </c>
      <c r="G66" s="98">
        <f>SUM(G63:G65)</f>
        <v>0</v>
      </c>
      <c r="H66" s="23" t="str">
        <f t="shared" si="1"/>
        <v xml:space="preserve"> </v>
      </c>
    </row>
    <row r="67" spans="1:8" ht="12">
      <c r="A67" s="148"/>
      <c r="E67" s="24"/>
      <c r="F67" s="98"/>
      <c r="G67" s="98"/>
      <c r="H67" s="23"/>
    </row>
    <row r="68" spans="1:8" ht="12">
      <c r="A68" s="14"/>
      <c r="B68" s="8" t="s">
        <v>381</v>
      </c>
      <c r="E68" s="24"/>
      <c r="F68" s="98"/>
      <c r="G68" s="98"/>
      <c r="H68" s="23" t="str">
        <f t="shared" si="1"/>
        <v xml:space="preserve"> </v>
      </c>
    </row>
    <row r="69" spans="1:8" ht="12">
      <c r="A69" s="14">
        <v>36</v>
      </c>
      <c r="B69" s="8" t="s">
        <v>97</v>
      </c>
      <c r="E69" s="24">
        <f>F69+G69</f>
        <v>-10317</v>
      </c>
      <c r="F69" s="98">
        <f>F264+F272</f>
        <v>-10317</v>
      </c>
      <c r="G69" s="98">
        <f>G264+G272</f>
        <v>0</v>
      </c>
      <c r="H69" s="23" t="str">
        <f t="shared" si="1"/>
        <v xml:space="preserve"> </v>
      </c>
    </row>
    <row r="70" spans="1:8" ht="12">
      <c r="A70" s="14">
        <v>37</v>
      </c>
      <c r="B70" s="8" t="s">
        <v>98</v>
      </c>
      <c r="E70" s="24">
        <f>F70+G70</f>
        <v>-129098</v>
      </c>
      <c r="F70" s="98">
        <f>F265</f>
        <v>-129098</v>
      </c>
      <c r="G70" s="98">
        <f>G265</f>
        <v>0</v>
      </c>
      <c r="H70" s="23" t="str">
        <f t="shared" si="1"/>
        <v xml:space="preserve"> </v>
      </c>
    </row>
    <row r="71" spans="1:8" ht="12">
      <c r="A71" s="14">
        <v>38</v>
      </c>
      <c r="B71" s="8" t="s">
        <v>99</v>
      </c>
      <c r="E71" s="25">
        <f>F71+G71</f>
        <v>-23473</v>
      </c>
      <c r="F71" s="99">
        <f>F266+F270+F271+F273</f>
        <v>-23473</v>
      </c>
      <c r="G71" s="99">
        <f>G266+G270+G271+G273</f>
        <v>0</v>
      </c>
      <c r="H71" s="23" t="str">
        <f t="shared" si="1"/>
        <v xml:space="preserve"> </v>
      </c>
    </row>
    <row r="72" spans="1:8" ht="12">
      <c r="A72" s="14">
        <v>39</v>
      </c>
      <c r="B72" s="8" t="s">
        <v>382</v>
      </c>
      <c r="E72" s="220">
        <f>SUM(E69:E71)</f>
        <v>-162888</v>
      </c>
      <c r="F72" s="220">
        <f>SUM(F69:F71)</f>
        <v>-162888</v>
      </c>
      <c r="G72" s="220">
        <f>SUM(G69:G71)</f>
        <v>0</v>
      </c>
      <c r="H72" s="23" t="str">
        <f t="shared" si="1"/>
        <v xml:space="preserve"> </v>
      </c>
    </row>
    <row r="73" spans="1:8" ht="12">
      <c r="A73" s="148">
        <v>40</v>
      </c>
      <c r="B73" s="8" t="s">
        <v>147</v>
      </c>
      <c r="E73" s="24">
        <f>E66+E72</f>
        <v>337112</v>
      </c>
      <c r="F73" s="24">
        <f>F66+F72</f>
        <v>337112</v>
      </c>
      <c r="G73" s="24">
        <f>G66+G72</f>
        <v>0</v>
      </c>
      <c r="H73" s="23"/>
    </row>
    <row r="74" spans="1:8" ht="12">
      <c r="A74" s="14">
        <v>41</v>
      </c>
      <c r="B74" s="26" t="s">
        <v>101</v>
      </c>
      <c r="E74" s="221">
        <f>F74+G74</f>
        <v>-73856</v>
      </c>
      <c r="F74" s="221">
        <f>F285</f>
        <v>-73856</v>
      </c>
      <c r="G74" s="221">
        <f>G285</f>
        <v>0</v>
      </c>
      <c r="H74" s="23" t="str">
        <f t="shared" si="1"/>
        <v xml:space="preserve"> </v>
      </c>
    </row>
    <row r="75" spans="1:8" ht="12">
      <c r="A75" s="148">
        <v>42</v>
      </c>
      <c r="B75" s="136" t="s">
        <v>171</v>
      </c>
      <c r="E75" s="24">
        <f>E73+E74</f>
        <v>263256</v>
      </c>
      <c r="F75" s="24">
        <f>F73+F74</f>
        <v>263256</v>
      </c>
      <c r="G75" s="24">
        <f>G73+G74</f>
        <v>0</v>
      </c>
      <c r="H75" s="23"/>
    </row>
    <row r="76" spans="1:8" ht="12">
      <c r="A76" s="14">
        <v>43</v>
      </c>
      <c r="B76" s="8" t="s">
        <v>58</v>
      </c>
      <c r="E76" s="24">
        <f>F76+G76</f>
        <v>9116</v>
      </c>
      <c r="F76" s="24">
        <f>F292+F293</f>
        <v>9116</v>
      </c>
      <c r="G76" s="24">
        <f>G292+G293</f>
        <v>0</v>
      </c>
      <c r="H76" s="23" t="str">
        <f t="shared" si="1"/>
        <v xml:space="preserve"> </v>
      </c>
    </row>
    <row r="77" spans="1:8" ht="12">
      <c r="A77" s="14">
        <v>44</v>
      </c>
      <c r="B77" s="26" t="s">
        <v>59</v>
      </c>
      <c r="E77" s="24">
        <f>F77+G77</f>
        <v>0</v>
      </c>
      <c r="F77" s="29">
        <f>F290+F291</f>
        <v>0</v>
      </c>
      <c r="G77" s="29">
        <f>G290+G291</f>
        <v>0</v>
      </c>
      <c r="H77" s="23" t="str">
        <f>IF(E79=F79+G79," ","ERROR")</f>
        <v xml:space="preserve"> </v>
      </c>
    </row>
    <row r="78" spans="1:8" ht="12">
      <c r="A78" s="217">
        <v>45</v>
      </c>
      <c r="B78" s="26" t="s">
        <v>384</v>
      </c>
      <c r="E78" s="24">
        <f>F78+G78</f>
        <v>-249</v>
      </c>
      <c r="F78" s="29">
        <f>F294+F295+F296+F297</f>
        <v>-249</v>
      </c>
      <c r="G78" s="29">
        <f>G294+G295</f>
        <v>0</v>
      </c>
      <c r="H78" s="23"/>
    </row>
    <row r="79" spans="1:8" ht="12">
      <c r="A79" s="14">
        <v>46</v>
      </c>
      <c r="B79" s="37" t="s">
        <v>150</v>
      </c>
      <c r="E79" s="25">
        <f>F79+G79</f>
        <v>15664</v>
      </c>
      <c r="F79" s="25">
        <f>F298</f>
        <v>15664</v>
      </c>
      <c r="G79" s="25">
        <f>G298</f>
        <v>0</v>
      </c>
      <c r="H79" s="23"/>
    </row>
    <row r="80" spans="1:8" ht="11.1" customHeight="1">
      <c r="G80" s="29"/>
    </row>
    <row r="81" spans="1:10" ht="9" customHeight="1">
      <c r="A81" s="14"/>
      <c r="B81" s="8" t="s">
        <v>102</v>
      </c>
      <c r="G81" s="29"/>
      <c r="H81" s="23"/>
    </row>
    <row r="82" spans="1:10" ht="12.75" thickBot="1">
      <c r="A82" s="14">
        <v>47</v>
      </c>
      <c r="B82" s="30" t="s">
        <v>60</v>
      </c>
      <c r="E82" s="31">
        <f>E75+E76+E79+E77+E78</f>
        <v>287787</v>
      </c>
      <c r="F82" s="31">
        <f>F75+F76+F79+F77+F78</f>
        <v>287787</v>
      </c>
      <c r="G82" s="31">
        <f>G75+G76+G79+G77+G78</f>
        <v>0</v>
      </c>
      <c r="H82" s="23" t="str">
        <f>IF(E82=F82+G82," ","ERROR")</f>
        <v xml:space="preserve"> </v>
      </c>
    </row>
    <row r="83" spans="1:10" ht="11.1" customHeight="1" thickTop="1">
      <c r="E83" s="15"/>
      <c r="F83" s="15"/>
      <c r="G83" s="15"/>
    </row>
    <row r="84" spans="1:10" ht="11.1" customHeight="1">
      <c r="E84" s="32">
        <f>E59/E82</f>
        <v>8.1511673564129028E-2</v>
      </c>
      <c r="F84" s="32">
        <f>F59/F82</f>
        <v>8.1511673564129028E-2</v>
      </c>
      <c r="G84" s="32"/>
    </row>
    <row r="86" spans="1:10" ht="11.1" customHeight="1">
      <c r="A86" s="227"/>
      <c r="B86" s="228" t="s">
        <v>26</v>
      </c>
      <c r="J86" s="379"/>
    </row>
    <row r="87" spans="1:10" ht="11.1" customHeight="1">
      <c r="A87" s="227"/>
      <c r="B87" s="229" t="s">
        <v>207</v>
      </c>
      <c r="J87" s="380"/>
    </row>
    <row r="88" spans="1:10" ht="11.1" customHeight="1">
      <c r="A88" s="230">
        <v>480000</v>
      </c>
      <c r="B88" s="229" t="s">
        <v>208</v>
      </c>
      <c r="F88" s="29">
        <f>ROUND(H88/1000,0)</f>
        <v>94233</v>
      </c>
      <c r="H88" s="102">
        <v>94232728</v>
      </c>
      <c r="I88" s="102"/>
      <c r="J88" s="380"/>
    </row>
    <row r="89" spans="1:10" ht="11.1" customHeight="1">
      <c r="A89" s="230" t="s">
        <v>209</v>
      </c>
      <c r="B89" s="229" t="s">
        <v>210</v>
      </c>
      <c r="F89" s="29">
        <f t="shared" ref="F89:F153" si="2">ROUND(H89/1000,0)</f>
        <v>46087</v>
      </c>
      <c r="H89" s="102">
        <v>46086954</v>
      </c>
      <c r="I89" s="102"/>
      <c r="J89" s="380"/>
    </row>
    <row r="90" spans="1:10" ht="11.1" customHeight="1">
      <c r="A90" s="230" t="s">
        <v>211</v>
      </c>
      <c r="B90" s="229" t="s">
        <v>212</v>
      </c>
      <c r="F90" s="29">
        <f t="shared" si="2"/>
        <v>1792</v>
      </c>
      <c r="H90" s="102">
        <v>1791920</v>
      </c>
      <c r="I90" s="102"/>
      <c r="J90" s="380"/>
    </row>
    <row r="91" spans="1:10" ht="11.1" customHeight="1">
      <c r="A91" s="230">
        <v>481400</v>
      </c>
      <c r="B91" s="229" t="s">
        <v>213</v>
      </c>
      <c r="F91" s="29">
        <f t="shared" si="2"/>
        <v>0</v>
      </c>
      <c r="H91" s="102">
        <v>0</v>
      </c>
      <c r="I91" s="102"/>
      <c r="J91" s="380"/>
    </row>
    <row r="92" spans="1:10" ht="11.1" customHeight="1">
      <c r="A92" s="230">
        <v>484000</v>
      </c>
      <c r="B92" s="229" t="s">
        <v>216</v>
      </c>
      <c r="F92" s="29">
        <f t="shared" si="2"/>
        <v>245</v>
      </c>
      <c r="H92" s="102">
        <v>244681</v>
      </c>
      <c r="I92" s="102"/>
      <c r="J92" s="380"/>
    </row>
    <row r="93" spans="1:10" ht="11.1" customHeight="1">
      <c r="A93" s="227" t="s">
        <v>214</v>
      </c>
      <c r="B93" s="229" t="s">
        <v>215</v>
      </c>
      <c r="F93" s="29">
        <f t="shared" si="2"/>
        <v>3741</v>
      </c>
      <c r="H93" s="102">
        <v>3741237</v>
      </c>
      <c r="I93" s="102"/>
      <c r="J93" s="380"/>
    </row>
    <row r="94" spans="1:10" ht="11.1" customHeight="1">
      <c r="A94" s="227"/>
      <c r="B94" s="229" t="s">
        <v>217</v>
      </c>
      <c r="F94" s="29">
        <f t="shared" si="2"/>
        <v>146098</v>
      </c>
      <c r="H94" s="102">
        <v>146097520</v>
      </c>
      <c r="I94" s="102"/>
      <c r="J94" s="380"/>
    </row>
    <row r="95" spans="1:10" ht="11.1" customHeight="1">
      <c r="A95" s="227"/>
      <c r="B95" s="229"/>
      <c r="F95" s="29">
        <f t="shared" si="2"/>
        <v>0</v>
      </c>
      <c r="H95" s="102"/>
      <c r="I95" s="102"/>
      <c r="J95" s="380"/>
    </row>
    <row r="96" spans="1:10" ht="11.1" customHeight="1">
      <c r="A96" s="227"/>
      <c r="B96" s="229" t="s">
        <v>218</v>
      </c>
      <c r="F96" s="29">
        <f t="shared" si="2"/>
        <v>0</v>
      </c>
      <c r="H96" s="102"/>
      <c r="I96" s="102"/>
      <c r="J96" s="380"/>
    </row>
    <row r="97" spans="1:10" ht="11.1" customHeight="1">
      <c r="A97" s="231">
        <v>483000</v>
      </c>
      <c r="B97" s="232" t="s">
        <v>219</v>
      </c>
      <c r="F97" s="29">
        <f t="shared" si="2"/>
        <v>61018</v>
      </c>
      <c r="H97" s="102">
        <v>61018231</v>
      </c>
      <c r="I97" s="102"/>
      <c r="J97" s="381"/>
    </row>
    <row r="98" spans="1:10" ht="11.1" customHeight="1">
      <c r="A98" s="230">
        <v>488000</v>
      </c>
      <c r="B98" s="229" t="s">
        <v>220</v>
      </c>
      <c r="F98" s="29">
        <f t="shared" si="2"/>
        <v>11</v>
      </c>
      <c r="H98" s="102">
        <v>10659</v>
      </c>
      <c r="I98" s="102"/>
      <c r="J98" s="380"/>
    </row>
    <row r="99" spans="1:10" ht="11.1" customHeight="1">
      <c r="A99" s="230">
        <v>489300</v>
      </c>
      <c r="B99" s="229" t="s">
        <v>221</v>
      </c>
      <c r="F99" s="29">
        <f t="shared" si="2"/>
        <v>4595</v>
      </c>
      <c r="H99" s="102">
        <v>4595206</v>
      </c>
      <c r="I99" s="102"/>
      <c r="J99" s="380"/>
    </row>
    <row r="100" spans="1:10" ht="11.1" customHeight="1">
      <c r="A100" s="230">
        <v>493000</v>
      </c>
      <c r="B100" s="229" t="s">
        <v>222</v>
      </c>
      <c r="F100" s="29">
        <f t="shared" si="2"/>
        <v>3</v>
      </c>
      <c r="H100" s="102">
        <v>2536</v>
      </c>
      <c r="I100" s="102"/>
      <c r="J100" s="380"/>
    </row>
    <row r="101" spans="1:10" ht="11.1" customHeight="1">
      <c r="A101" s="230">
        <v>495000</v>
      </c>
      <c r="B101" s="229" t="s">
        <v>223</v>
      </c>
      <c r="F101" s="29">
        <f t="shared" si="2"/>
        <v>11459</v>
      </c>
      <c r="H101" s="102">
        <v>11458921</v>
      </c>
      <c r="I101" s="102"/>
      <c r="J101" s="380"/>
    </row>
    <row r="102" spans="1:10" ht="11.1" customHeight="1">
      <c r="A102" s="230">
        <v>496100</v>
      </c>
      <c r="B102" s="229" t="s">
        <v>417</v>
      </c>
      <c r="F102" s="29">
        <f t="shared" si="2"/>
        <v>-2767</v>
      </c>
      <c r="H102" s="102">
        <v>-2767455</v>
      </c>
      <c r="I102" s="102"/>
      <c r="J102" s="380"/>
    </row>
    <row r="103" spans="1:10" ht="11.1" customHeight="1">
      <c r="A103" s="227"/>
      <c r="B103" s="229" t="s">
        <v>224</v>
      </c>
      <c r="F103" s="29">
        <f t="shared" si="2"/>
        <v>74318</v>
      </c>
      <c r="H103" s="102">
        <v>74318098</v>
      </c>
      <c r="I103" s="102"/>
      <c r="J103" s="380"/>
    </row>
    <row r="104" spans="1:10" ht="11.1" customHeight="1">
      <c r="A104" s="227"/>
      <c r="B104" s="229" t="s">
        <v>225</v>
      </c>
      <c r="F104" s="29">
        <f t="shared" si="2"/>
        <v>220416</v>
      </c>
      <c r="H104" s="102">
        <v>220415618</v>
      </c>
      <c r="I104" s="102"/>
      <c r="J104" s="380"/>
    </row>
    <row r="105" spans="1:10" ht="11.1" customHeight="1">
      <c r="A105" s="227"/>
      <c r="B105" s="229"/>
      <c r="F105" s="29">
        <f t="shared" si="2"/>
        <v>0</v>
      </c>
      <c r="H105" s="102"/>
      <c r="I105" s="102"/>
      <c r="J105" s="380"/>
    </row>
    <row r="106" spans="1:10" ht="11.1" customHeight="1">
      <c r="A106" s="227"/>
      <c r="B106" s="229" t="s">
        <v>226</v>
      </c>
      <c r="F106" s="29">
        <f t="shared" si="2"/>
        <v>0</v>
      </c>
      <c r="H106" s="102"/>
      <c r="I106" s="102"/>
      <c r="J106" s="380"/>
    </row>
    <row r="107" spans="1:10" ht="11.1" customHeight="1">
      <c r="A107" s="233" t="s">
        <v>227</v>
      </c>
      <c r="B107" s="229" t="s">
        <v>32</v>
      </c>
      <c r="F107" s="29">
        <f t="shared" si="2"/>
        <v>112605</v>
      </c>
      <c r="H107" s="102">
        <v>112604705</v>
      </c>
      <c r="I107" s="102"/>
      <c r="J107" s="380"/>
    </row>
    <row r="108" spans="1:10" ht="11.1" customHeight="1">
      <c r="A108" s="230" t="s">
        <v>228</v>
      </c>
      <c r="B108" s="229" t="s">
        <v>229</v>
      </c>
      <c r="F108" s="29">
        <f t="shared" si="2"/>
        <v>3202</v>
      </c>
      <c r="H108" s="102">
        <v>3201534</v>
      </c>
      <c r="I108" s="102"/>
      <c r="J108" s="380"/>
    </row>
    <row r="109" spans="1:10" ht="11.1" customHeight="1">
      <c r="A109" s="231">
        <v>811000</v>
      </c>
      <c r="B109" s="232" t="s">
        <v>230</v>
      </c>
      <c r="F109" s="29">
        <f t="shared" si="2"/>
        <v>-269</v>
      </c>
      <c r="H109" s="102">
        <v>-269320</v>
      </c>
      <c r="I109" s="102"/>
      <c r="J109" s="381"/>
    </row>
    <row r="110" spans="1:10" ht="11.1" customHeight="1">
      <c r="A110" s="230">
        <v>813000</v>
      </c>
      <c r="B110" s="229" t="s">
        <v>231</v>
      </c>
      <c r="F110" s="29">
        <f t="shared" si="2"/>
        <v>918</v>
      </c>
      <c r="H110" s="102">
        <v>918049</v>
      </c>
      <c r="I110" s="102"/>
      <c r="J110" s="380"/>
    </row>
    <row r="111" spans="1:10" ht="11.1" customHeight="1">
      <c r="A111" s="230">
        <v>813010</v>
      </c>
      <c r="B111" s="229" t="s">
        <v>232</v>
      </c>
      <c r="F111" s="29">
        <f t="shared" si="2"/>
        <v>70</v>
      </c>
      <c r="H111" s="102">
        <v>69651</v>
      </c>
      <c r="I111" s="102"/>
      <c r="J111" s="380"/>
    </row>
    <row r="112" spans="1:10" ht="11.1" customHeight="1">
      <c r="A112" s="227"/>
      <c r="B112" s="229" t="s">
        <v>233</v>
      </c>
      <c r="F112" s="29">
        <f t="shared" si="2"/>
        <v>116525</v>
      </c>
      <c r="H112" s="102">
        <v>116524619</v>
      </c>
      <c r="I112" s="102"/>
      <c r="J112" s="380"/>
    </row>
    <row r="113" spans="1:10" ht="11.1" customHeight="1">
      <c r="A113" s="227"/>
      <c r="B113" s="229"/>
      <c r="F113" s="29">
        <f t="shared" si="2"/>
        <v>0</v>
      </c>
      <c r="H113" s="102"/>
      <c r="I113" s="102"/>
      <c r="J113" s="380"/>
    </row>
    <row r="114" spans="1:10" ht="11.1" customHeight="1">
      <c r="A114" s="227"/>
      <c r="B114" s="229" t="s">
        <v>234</v>
      </c>
      <c r="F114" s="29">
        <f t="shared" si="2"/>
        <v>0</v>
      </c>
      <c r="H114" s="102"/>
      <c r="I114" s="102"/>
      <c r="J114" s="380"/>
    </row>
    <row r="115" spans="1:10" ht="11.1" customHeight="1">
      <c r="A115" s="230">
        <v>814000</v>
      </c>
      <c r="B115" s="229" t="s">
        <v>235</v>
      </c>
      <c r="F115" s="29">
        <f t="shared" si="2"/>
        <v>11</v>
      </c>
      <c r="H115" s="102">
        <v>11374</v>
      </c>
      <c r="I115" s="102"/>
      <c r="J115" s="380"/>
    </row>
    <row r="116" spans="1:10" ht="11.1" customHeight="1">
      <c r="A116" s="230">
        <v>824000</v>
      </c>
      <c r="B116" s="229" t="s">
        <v>236</v>
      </c>
      <c r="F116" s="29">
        <f t="shared" si="2"/>
        <v>450</v>
      </c>
      <c r="H116" s="102">
        <v>449822</v>
      </c>
      <c r="I116" s="102"/>
      <c r="J116" s="380"/>
    </row>
    <row r="117" spans="1:10" ht="11.1" customHeight="1">
      <c r="A117" s="230">
        <v>837000</v>
      </c>
      <c r="B117" s="229" t="s">
        <v>237</v>
      </c>
      <c r="F117" s="29">
        <f t="shared" si="2"/>
        <v>513</v>
      </c>
      <c r="H117" s="102">
        <v>512814</v>
      </c>
      <c r="I117" s="102"/>
      <c r="J117" s="380"/>
    </row>
    <row r="118" spans="1:10" ht="11.1" customHeight="1">
      <c r="A118" s="227"/>
      <c r="B118" s="229" t="s">
        <v>238</v>
      </c>
      <c r="F118" s="29">
        <f t="shared" si="2"/>
        <v>974</v>
      </c>
      <c r="H118" s="102">
        <v>974010</v>
      </c>
      <c r="I118" s="102"/>
      <c r="J118" s="380"/>
    </row>
    <row r="119" spans="1:10" ht="11.1" customHeight="1">
      <c r="A119" s="227"/>
      <c r="B119" s="229"/>
      <c r="F119" s="29">
        <f t="shared" si="2"/>
        <v>0</v>
      </c>
      <c r="H119" s="102"/>
      <c r="I119" s="102"/>
      <c r="J119" s="380"/>
    </row>
    <row r="120" spans="1:10" ht="11.1" customHeight="1">
      <c r="A120" s="228"/>
      <c r="B120" s="229" t="s">
        <v>239</v>
      </c>
      <c r="F120" s="29">
        <f t="shared" si="2"/>
        <v>492</v>
      </c>
      <c r="H120" s="102">
        <v>491895</v>
      </c>
      <c r="I120" s="102"/>
      <c r="J120" s="380"/>
    </row>
    <row r="121" spans="1:10" ht="11.1" customHeight="1">
      <c r="A121" s="228"/>
      <c r="B121" s="229" t="s">
        <v>240</v>
      </c>
      <c r="F121" s="29">
        <f t="shared" si="2"/>
        <v>0</v>
      </c>
      <c r="H121" s="102">
        <v>160</v>
      </c>
      <c r="I121" s="102"/>
      <c r="J121" s="380"/>
    </row>
    <row r="122" spans="1:10" ht="11.1" customHeight="1">
      <c r="A122" s="227"/>
      <c r="B122" s="229" t="s">
        <v>241</v>
      </c>
      <c r="F122" s="29">
        <f t="shared" si="2"/>
        <v>210</v>
      </c>
      <c r="H122" s="102">
        <v>210427</v>
      </c>
      <c r="I122" s="102"/>
      <c r="J122" s="380"/>
    </row>
    <row r="123" spans="1:10" ht="11.1" customHeight="1">
      <c r="A123" s="227"/>
      <c r="B123" s="229" t="s">
        <v>242</v>
      </c>
      <c r="F123" s="29">
        <f t="shared" si="2"/>
        <v>702</v>
      </c>
      <c r="H123" s="102">
        <v>702482</v>
      </c>
      <c r="I123" s="102"/>
      <c r="J123" s="380"/>
    </row>
    <row r="124" spans="1:10" ht="11.1" customHeight="1">
      <c r="A124" s="227"/>
      <c r="B124" s="229"/>
      <c r="F124" s="29">
        <f t="shared" si="2"/>
        <v>0</v>
      </c>
      <c r="H124" s="102"/>
      <c r="I124" s="102"/>
      <c r="J124" s="380"/>
    </row>
    <row r="125" spans="1:10" ht="11.1" customHeight="1">
      <c r="A125" s="227"/>
      <c r="B125" s="229" t="s">
        <v>243</v>
      </c>
      <c r="F125" s="29">
        <f t="shared" si="2"/>
        <v>1676</v>
      </c>
      <c r="H125" s="102">
        <v>1676492</v>
      </c>
      <c r="I125" s="102"/>
      <c r="J125" s="380"/>
    </row>
    <row r="126" spans="1:10" ht="11.1" customHeight="1">
      <c r="A126" s="227"/>
      <c r="B126" s="229"/>
      <c r="F126" s="29">
        <f t="shared" si="2"/>
        <v>0</v>
      </c>
      <c r="H126" s="102"/>
      <c r="I126" s="102"/>
      <c r="J126" s="380"/>
    </row>
    <row r="127" spans="1:10" ht="11.1" customHeight="1">
      <c r="A127" s="227"/>
      <c r="B127" s="229" t="s">
        <v>244</v>
      </c>
      <c r="F127" s="29">
        <f t="shared" si="2"/>
        <v>0</v>
      </c>
      <c r="H127" s="102"/>
      <c r="I127" s="102"/>
      <c r="J127" s="380"/>
    </row>
    <row r="128" spans="1:10" ht="11.1" customHeight="1">
      <c r="A128" s="227"/>
      <c r="B128" s="229" t="s">
        <v>245</v>
      </c>
      <c r="F128" s="29">
        <f t="shared" si="2"/>
        <v>0</v>
      </c>
      <c r="H128" s="102"/>
      <c r="I128" s="102"/>
      <c r="J128" s="380"/>
    </row>
    <row r="129" spans="1:15" ht="11.1" customHeight="1">
      <c r="A129" s="230">
        <v>870000</v>
      </c>
      <c r="B129" s="229" t="s">
        <v>235</v>
      </c>
      <c r="F129" s="29">
        <f t="shared" si="2"/>
        <v>1174</v>
      </c>
      <c r="H129" s="102">
        <v>1174413</v>
      </c>
      <c r="I129" s="102"/>
      <c r="J129" s="380"/>
    </row>
    <row r="130" spans="1:15" ht="11.1" customHeight="1">
      <c r="A130" s="230">
        <v>871000</v>
      </c>
      <c r="B130" s="229" t="s">
        <v>246</v>
      </c>
      <c r="F130" s="29">
        <f t="shared" si="2"/>
        <v>0</v>
      </c>
      <c r="H130" s="102">
        <v>0</v>
      </c>
      <c r="I130" s="102"/>
      <c r="J130" s="380"/>
    </row>
    <row r="131" spans="1:15" ht="11.1" customHeight="1">
      <c r="A131" s="230">
        <v>874000</v>
      </c>
      <c r="B131" s="229" t="s">
        <v>247</v>
      </c>
      <c r="F131" s="29">
        <f t="shared" si="2"/>
        <v>3100</v>
      </c>
      <c r="H131" s="102">
        <v>3100362</v>
      </c>
      <c r="I131" s="102"/>
      <c r="J131" s="380"/>
      <c r="N131" s="94"/>
    </row>
    <row r="132" spans="1:15" ht="11.1" customHeight="1" thickBot="1">
      <c r="A132" s="230">
        <v>875000</v>
      </c>
      <c r="B132" s="229" t="s">
        <v>248</v>
      </c>
      <c r="F132" s="29">
        <f t="shared" si="2"/>
        <v>59</v>
      </c>
      <c r="H132" s="102">
        <v>58765</v>
      </c>
      <c r="I132" s="102"/>
      <c r="J132" s="380"/>
      <c r="N132" s="95"/>
      <c r="O132" s="96"/>
    </row>
    <row r="133" spans="1:15" ht="11.1" customHeight="1" thickTop="1">
      <c r="A133" s="230">
        <v>876000</v>
      </c>
      <c r="B133" s="229" t="s">
        <v>249</v>
      </c>
      <c r="F133" s="29">
        <f t="shared" si="2"/>
        <v>3</v>
      </c>
      <c r="H133" s="102">
        <v>3066</v>
      </c>
      <c r="I133" s="102"/>
      <c r="J133" s="380"/>
    </row>
    <row r="134" spans="1:15" ht="11.1" customHeight="1">
      <c r="A134" s="230">
        <v>877000</v>
      </c>
      <c r="B134" s="229" t="s">
        <v>250</v>
      </c>
      <c r="F134" s="29">
        <f t="shared" si="2"/>
        <v>68</v>
      </c>
      <c r="H134" s="102">
        <v>67670</v>
      </c>
      <c r="I134" s="102"/>
      <c r="J134" s="380"/>
    </row>
    <row r="135" spans="1:15" ht="11.1" customHeight="1">
      <c r="A135" s="230">
        <v>878000</v>
      </c>
      <c r="B135" s="229" t="s">
        <v>251</v>
      </c>
      <c r="F135" s="29">
        <f t="shared" si="2"/>
        <v>395</v>
      </c>
      <c r="H135" s="102">
        <v>394645</v>
      </c>
      <c r="I135" s="102"/>
      <c r="J135" s="380"/>
    </row>
    <row r="136" spans="1:15" ht="11.1" customHeight="1">
      <c r="A136" s="230">
        <v>879000</v>
      </c>
      <c r="B136" s="229" t="s">
        <v>252</v>
      </c>
      <c r="F136" s="29">
        <f t="shared" si="2"/>
        <v>1244</v>
      </c>
      <c r="H136" s="102">
        <v>1244036</v>
      </c>
      <c r="I136" s="102"/>
      <c r="J136" s="380"/>
    </row>
    <row r="137" spans="1:15" ht="11.1" customHeight="1">
      <c r="A137" s="230">
        <v>880000</v>
      </c>
      <c r="B137" s="229" t="s">
        <v>236</v>
      </c>
      <c r="F137" s="29">
        <f t="shared" si="2"/>
        <v>1689</v>
      </c>
      <c r="H137" s="102">
        <v>1688634</v>
      </c>
      <c r="I137" s="102"/>
      <c r="J137" s="380"/>
    </row>
    <row r="138" spans="1:15" ht="11.1" customHeight="1">
      <c r="A138" s="230">
        <v>881000</v>
      </c>
      <c r="B138" s="229" t="s">
        <v>253</v>
      </c>
      <c r="F138" s="29">
        <f t="shared" si="2"/>
        <v>28</v>
      </c>
      <c r="H138" s="102">
        <v>28173</v>
      </c>
      <c r="I138" s="102"/>
      <c r="J138" s="380"/>
    </row>
    <row r="139" spans="1:15" ht="11.1" customHeight="1">
      <c r="A139" s="227"/>
      <c r="B139" s="229"/>
      <c r="F139" s="29">
        <f t="shared" si="2"/>
        <v>0</v>
      </c>
      <c r="H139" s="102"/>
      <c r="I139" s="102"/>
      <c r="J139" s="380"/>
    </row>
    <row r="140" spans="1:15" ht="11.1" customHeight="1">
      <c r="A140" s="227"/>
      <c r="B140" s="229" t="s">
        <v>254</v>
      </c>
      <c r="F140" s="29">
        <f t="shared" si="2"/>
        <v>0</v>
      </c>
      <c r="H140" s="102"/>
      <c r="I140" s="102"/>
      <c r="J140" s="380"/>
    </row>
    <row r="141" spans="1:15" ht="11.1" customHeight="1">
      <c r="A141" s="230">
        <v>885000</v>
      </c>
      <c r="B141" s="229" t="s">
        <v>235</v>
      </c>
      <c r="F141" s="29">
        <f t="shared" si="2"/>
        <v>81</v>
      </c>
      <c r="H141" s="102">
        <v>80585</v>
      </c>
      <c r="I141" s="102"/>
      <c r="J141" s="380"/>
    </row>
    <row r="142" spans="1:15" ht="11.1" customHeight="1">
      <c r="A142" s="230">
        <v>887000</v>
      </c>
      <c r="B142" s="229" t="s">
        <v>255</v>
      </c>
      <c r="F142" s="29">
        <f t="shared" si="2"/>
        <v>793</v>
      </c>
      <c r="H142" s="102">
        <v>792936</v>
      </c>
      <c r="I142" s="102"/>
      <c r="J142" s="380"/>
    </row>
    <row r="143" spans="1:15" ht="11.1" customHeight="1">
      <c r="A143" s="230">
        <v>889000</v>
      </c>
      <c r="B143" s="229" t="s">
        <v>248</v>
      </c>
      <c r="F143" s="29">
        <f t="shared" si="2"/>
        <v>163</v>
      </c>
      <c r="H143" s="102">
        <v>162663</v>
      </c>
      <c r="I143" s="102"/>
      <c r="J143" s="380"/>
    </row>
    <row r="144" spans="1:15" ht="11.1" customHeight="1">
      <c r="A144" s="230">
        <v>890000</v>
      </c>
      <c r="B144" s="229" t="s">
        <v>249</v>
      </c>
      <c r="F144" s="29">
        <f t="shared" si="2"/>
        <v>203</v>
      </c>
      <c r="H144" s="102">
        <v>202738</v>
      </c>
      <c r="I144" s="102"/>
      <c r="J144" s="380"/>
    </row>
    <row r="145" spans="1:10" ht="11.1" customHeight="1">
      <c r="A145" s="230">
        <v>891000</v>
      </c>
      <c r="B145" s="229" t="s">
        <v>250</v>
      </c>
      <c r="F145" s="29">
        <f t="shared" si="2"/>
        <v>45</v>
      </c>
      <c r="H145" s="102">
        <v>45268</v>
      </c>
      <c r="I145" s="102"/>
      <c r="J145" s="380"/>
    </row>
    <row r="146" spans="1:10" ht="11.1" customHeight="1">
      <c r="A146" s="230">
        <v>892000</v>
      </c>
      <c r="B146" s="229" t="s">
        <v>256</v>
      </c>
      <c r="F146" s="29">
        <f t="shared" si="2"/>
        <v>1524</v>
      </c>
      <c r="H146" s="102">
        <v>1524381</v>
      </c>
      <c r="I146" s="102"/>
      <c r="J146" s="380"/>
    </row>
    <row r="147" spans="1:10" ht="11.1" customHeight="1">
      <c r="A147" s="230">
        <v>893000</v>
      </c>
      <c r="B147" s="229" t="s">
        <v>257</v>
      </c>
      <c r="F147" s="29">
        <f t="shared" si="2"/>
        <v>1339</v>
      </c>
      <c r="H147" s="102">
        <v>1338868</v>
      </c>
      <c r="I147" s="102"/>
      <c r="J147" s="380"/>
    </row>
    <row r="148" spans="1:10" ht="11.1" customHeight="1">
      <c r="A148" s="230">
        <v>894000</v>
      </c>
      <c r="B148" s="229" t="s">
        <v>237</v>
      </c>
      <c r="F148" s="29">
        <f t="shared" si="2"/>
        <v>142</v>
      </c>
      <c r="H148" s="102">
        <v>141563</v>
      </c>
      <c r="I148" s="102"/>
      <c r="J148" s="380"/>
    </row>
    <row r="149" spans="1:10" ht="11.1" customHeight="1">
      <c r="A149" s="227"/>
      <c r="B149" s="229" t="s">
        <v>258</v>
      </c>
      <c r="F149" s="29">
        <f t="shared" si="2"/>
        <v>12049</v>
      </c>
      <c r="H149" s="102">
        <v>12048766</v>
      </c>
      <c r="I149" s="102"/>
      <c r="J149" s="380"/>
    </row>
    <row r="150" spans="1:10" ht="11.1" customHeight="1">
      <c r="A150" s="227"/>
      <c r="B150" s="229"/>
      <c r="F150" s="29">
        <f t="shared" si="2"/>
        <v>0</v>
      </c>
      <c r="H150" s="102"/>
      <c r="I150" s="102"/>
      <c r="J150" s="380"/>
    </row>
    <row r="151" spans="1:10" ht="11.1" customHeight="1">
      <c r="A151" s="227"/>
      <c r="B151" s="229" t="s">
        <v>259</v>
      </c>
      <c r="F151" s="29">
        <f t="shared" si="2"/>
        <v>9866</v>
      </c>
      <c r="H151" s="102">
        <v>9865836</v>
      </c>
      <c r="I151" s="102"/>
      <c r="J151" s="380"/>
    </row>
    <row r="152" spans="1:10" ht="11.1" customHeight="1">
      <c r="A152" s="227"/>
      <c r="B152" s="229" t="s">
        <v>241</v>
      </c>
      <c r="F152" s="29">
        <f t="shared" si="2"/>
        <v>12807</v>
      </c>
      <c r="H152" s="102">
        <v>12806578</v>
      </c>
      <c r="I152" s="102"/>
      <c r="J152" s="380"/>
    </row>
    <row r="153" spans="1:10" ht="11.1" customHeight="1">
      <c r="A153" s="227"/>
      <c r="B153" s="229" t="s">
        <v>260</v>
      </c>
      <c r="F153" s="29">
        <f t="shared" si="2"/>
        <v>22672</v>
      </c>
      <c r="H153" s="102">
        <v>22672414</v>
      </c>
      <c r="I153" s="102"/>
      <c r="J153" s="380"/>
    </row>
    <row r="154" spans="1:10" ht="11.1" customHeight="1">
      <c r="A154" s="227"/>
      <c r="B154" s="229"/>
      <c r="F154" s="29">
        <f t="shared" ref="F154:F218" si="3">ROUND(H154/1000,0)</f>
        <v>0</v>
      </c>
      <c r="H154" s="102"/>
      <c r="I154" s="102"/>
      <c r="J154" s="380"/>
    </row>
    <row r="155" spans="1:10" ht="11.1" customHeight="1">
      <c r="A155" s="227"/>
      <c r="B155" s="229" t="s">
        <v>261</v>
      </c>
      <c r="F155" s="29">
        <f t="shared" si="3"/>
        <v>34721</v>
      </c>
      <c r="H155" s="102">
        <v>34721180</v>
      </c>
      <c r="I155" s="102"/>
      <c r="J155" s="380"/>
    </row>
    <row r="156" spans="1:10" ht="11.1" customHeight="1">
      <c r="A156" s="227"/>
      <c r="B156" s="229"/>
      <c r="F156" s="29">
        <f t="shared" si="3"/>
        <v>0</v>
      </c>
      <c r="H156" s="102"/>
      <c r="I156" s="102"/>
      <c r="J156" s="380"/>
    </row>
    <row r="157" spans="1:10" ht="11.1" customHeight="1">
      <c r="A157" s="227"/>
      <c r="B157" s="229" t="s">
        <v>262</v>
      </c>
      <c r="F157" s="29">
        <f t="shared" si="3"/>
        <v>0</v>
      </c>
      <c r="H157" s="102"/>
      <c r="I157" s="102"/>
      <c r="J157" s="380"/>
    </row>
    <row r="158" spans="1:10" ht="11.1" customHeight="1">
      <c r="A158" s="230">
        <v>901000</v>
      </c>
      <c r="B158" s="229" t="s">
        <v>263</v>
      </c>
      <c r="F158" s="29">
        <f t="shared" si="3"/>
        <v>141</v>
      </c>
      <c r="H158" s="102">
        <v>140786</v>
      </c>
      <c r="I158" s="102"/>
      <c r="J158" s="380"/>
    </row>
    <row r="159" spans="1:10" ht="11.1" customHeight="1">
      <c r="A159" s="230">
        <v>902000</v>
      </c>
      <c r="B159" s="229" t="s">
        <v>264</v>
      </c>
      <c r="F159" s="29">
        <f t="shared" si="3"/>
        <v>1861</v>
      </c>
      <c r="H159" s="102">
        <v>1860956</v>
      </c>
      <c r="I159" s="102"/>
      <c r="J159" s="380"/>
    </row>
    <row r="160" spans="1:10" ht="11.1" customHeight="1">
      <c r="A160" s="230" t="s">
        <v>265</v>
      </c>
      <c r="B160" s="229" t="s">
        <v>266</v>
      </c>
      <c r="F160" s="29">
        <f t="shared" si="3"/>
        <v>3931</v>
      </c>
      <c r="H160" s="102">
        <v>3931206</v>
      </c>
      <c r="I160" s="102"/>
      <c r="J160" s="380"/>
    </row>
    <row r="161" spans="1:10" ht="11.1" customHeight="1">
      <c r="A161" s="230">
        <v>904000</v>
      </c>
      <c r="B161" s="229" t="s">
        <v>267</v>
      </c>
      <c r="F161" s="29">
        <f t="shared" si="3"/>
        <v>1317</v>
      </c>
      <c r="H161" s="102">
        <v>1317433</v>
      </c>
      <c r="I161" s="102"/>
      <c r="J161" s="380"/>
    </row>
    <row r="162" spans="1:10" ht="11.1" customHeight="1">
      <c r="A162" s="230">
        <v>905000</v>
      </c>
      <c r="B162" s="229" t="s">
        <v>268</v>
      </c>
      <c r="F162" s="29">
        <f t="shared" si="3"/>
        <v>102</v>
      </c>
      <c r="H162" s="102">
        <v>101858</v>
      </c>
      <c r="I162" s="102"/>
      <c r="J162" s="380"/>
    </row>
    <row r="163" spans="1:10" ht="11.1" customHeight="1">
      <c r="A163" s="227"/>
      <c r="B163" s="229" t="s">
        <v>269</v>
      </c>
      <c r="F163" s="29">
        <f t="shared" si="3"/>
        <v>7352</v>
      </c>
      <c r="H163" s="102">
        <v>7352239</v>
      </c>
      <c r="I163" s="102"/>
      <c r="J163" s="380"/>
    </row>
    <row r="164" spans="1:10" ht="11.1" customHeight="1">
      <c r="A164" s="227"/>
      <c r="B164" s="229"/>
      <c r="F164" s="29">
        <f t="shared" si="3"/>
        <v>0</v>
      </c>
      <c r="H164" s="102"/>
      <c r="I164" s="102"/>
      <c r="J164" s="380"/>
    </row>
    <row r="165" spans="1:10" ht="11.1" customHeight="1">
      <c r="A165" s="227"/>
      <c r="B165" s="229" t="s">
        <v>270</v>
      </c>
      <c r="F165" s="29">
        <f t="shared" si="3"/>
        <v>0</v>
      </c>
      <c r="H165" s="102"/>
      <c r="I165" s="102"/>
      <c r="J165" s="380"/>
    </row>
    <row r="166" spans="1:10" ht="11.1" customHeight="1">
      <c r="A166" s="230" t="s">
        <v>271</v>
      </c>
      <c r="B166" s="229" t="s">
        <v>272</v>
      </c>
      <c r="F166" s="29">
        <f t="shared" si="3"/>
        <v>7041</v>
      </c>
      <c r="H166" s="102">
        <v>7041064</v>
      </c>
      <c r="I166" s="102"/>
      <c r="J166" s="380"/>
    </row>
    <row r="167" spans="1:10" ht="11.1" customHeight="1">
      <c r="A167" s="230">
        <v>909000</v>
      </c>
      <c r="B167" s="229" t="s">
        <v>273</v>
      </c>
      <c r="F167" s="29">
        <f t="shared" si="3"/>
        <v>457</v>
      </c>
      <c r="H167" s="102">
        <v>456768</v>
      </c>
      <c r="I167" s="102"/>
      <c r="J167" s="380"/>
    </row>
    <row r="168" spans="1:10" ht="11.1" customHeight="1">
      <c r="A168" s="230">
        <v>910000</v>
      </c>
      <c r="B168" s="229" t="s">
        <v>274</v>
      </c>
      <c r="F168" s="29">
        <f t="shared" si="3"/>
        <v>98</v>
      </c>
      <c r="H168" s="102">
        <v>98204</v>
      </c>
      <c r="I168" s="102"/>
      <c r="J168" s="380"/>
    </row>
    <row r="169" spans="1:10" ht="11.1" customHeight="1">
      <c r="A169" s="227"/>
      <c r="B169" s="229" t="s">
        <v>275</v>
      </c>
      <c r="F169" s="29">
        <f t="shared" si="3"/>
        <v>7596</v>
      </c>
      <c r="H169" s="102">
        <v>7596036</v>
      </c>
      <c r="I169" s="102"/>
      <c r="J169" s="380"/>
    </row>
    <row r="170" spans="1:10" ht="11.1" customHeight="1">
      <c r="A170" s="227"/>
      <c r="B170" s="229"/>
      <c r="F170" s="29">
        <f t="shared" si="3"/>
        <v>0</v>
      </c>
      <c r="H170" s="102"/>
      <c r="I170" s="102"/>
      <c r="J170" s="380"/>
    </row>
    <row r="171" spans="1:10" ht="11.1" customHeight="1">
      <c r="A171" s="227"/>
      <c r="B171" s="229" t="s">
        <v>276</v>
      </c>
      <c r="F171" s="29">
        <f t="shared" si="3"/>
        <v>0</v>
      </c>
      <c r="H171" s="102"/>
      <c r="I171" s="102"/>
      <c r="J171" s="380"/>
    </row>
    <row r="172" spans="1:10" ht="11.1" customHeight="1">
      <c r="A172" s="230">
        <v>912000</v>
      </c>
      <c r="B172" s="229" t="s">
        <v>277</v>
      </c>
      <c r="F172" s="29">
        <f t="shared" si="3"/>
        <v>0</v>
      </c>
      <c r="H172" s="102">
        <v>0</v>
      </c>
      <c r="I172" s="102"/>
      <c r="J172" s="380"/>
    </row>
    <row r="173" spans="1:10" ht="11.1" customHeight="1">
      <c r="A173" s="230">
        <v>913000</v>
      </c>
      <c r="B173" s="229" t="s">
        <v>273</v>
      </c>
      <c r="F173" s="29">
        <f t="shared" si="3"/>
        <v>0</v>
      </c>
      <c r="H173" s="102">
        <v>0</v>
      </c>
      <c r="I173" s="102"/>
      <c r="J173" s="380"/>
    </row>
    <row r="174" spans="1:10" ht="11.1" customHeight="1">
      <c r="A174" s="230">
        <v>916000</v>
      </c>
      <c r="B174" s="229" t="s">
        <v>278</v>
      </c>
      <c r="F174" s="29">
        <f t="shared" si="3"/>
        <v>0</v>
      </c>
      <c r="H174" s="102">
        <v>0</v>
      </c>
      <c r="I174" s="102"/>
      <c r="J174" s="380"/>
    </row>
    <row r="175" spans="1:10" ht="11.1" customHeight="1">
      <c r="A175" s="227"/>
      <c r="B175" s="229" t="s">
        <v>279</v>
      </c>
      <c r="F175" s="29">
        <f t="shared" si="3"/>
        <v>0</v>
      </c>
      <c r="H175" s="102">
        <v>0</v>
      </c>
      <c r="I175" s="102"/>
      <c r="J175" s="380"/>
    </row>
    <row r="176" spans="1:10" ht="11.1" customHeight="1">
      <c r="A176" s="227"/>
      <c r="B176" s="229"/>
      <c r="F176" s="29">
        <f t="shared" si="3"/>
        <v>0</v>
      </c>
      <c r="H176" s="102"/>
      <c r="I176" s="102"/>
      <c r="J176" s="380"/>
    </row>
    <row r="177" spans="1:10" ht="11.1" customHeight="1">
      <c r="A177" s="227"/>
      <c r="B177" s="229" t="s">
        <v>280</v>
      </c>
      <c r="F177" s="29">
        <f t="shared" si="3"/>
        <v>0</v>
      </c>
      <c r="H177" s="102"/>
      <c r="I177" s="102"/>
      <c r="J177" s="380"/>
    </row>
    <row r="178" spans="1:10" ht="11.1" customHeight="1">
      <c r="A178" s="230">
        <v>920000</v>
      </c>
      <c r="B178" s="229" t="s">
        <v>281</v>
      </c>
      <c r="F178" s="29">
        <f t="shared" si="3"/>
        <v>6393</v>
      </c>
      <c r="H178" s="102">
        <v>6393078</v>
      </c>
      <c r="I178" s="102"/>
      <c r="J178" s="380"/>
    </row>
    <row r="179" spans="1:10" ht="11.1" customHeight="1">
      <c r="A179" s="230">
        <v>921000</v>
      </c>
      <c r="B179" s="229" t="s">
        <v>282</v>
      </c>
      <c r="F179" s="29">
        <f t="shared" si="3"/>
        <v>830</v>
      </c>
      <c r="H179" s="102">
        <v>830279</v>
      </c>
      <c r="I179" s="102"/>
      <c r="J179" s="380"/>
    </row>
    <row r="180" spans="1:10" ht="11.1" customHeight="1">
      <c r="A180" s="230">
        <v>922000</v>
      </c>
      <c r="B180" s="229" t="s">
        <v>283</v>
      </c>
      <c r="F180" s="29">
        <f t="shared" si="3"/>
        <v>-14</v>
      </c>
      <c r="H180" s="102">
        <v>-13882</v>
      </c>
      <c r="I180" s="102"/>
      <c r="J180" s="380"/>
    </row>
    <row r="181" spans="1:10" ht="11.1" customHeight="1">
      <c r="A181" s="230">
        <v>923000</v>
      </c>
      <c r="B181" s="229" t="s">
        <v>284</v>
      </c>
      <c r="F181" s="29">
        <f t="shared" si="3"/>
        <v>1449</v>
      </c>
      <c r="H181" s="102">
        <v>1448640</v>
      </c>
      <c r="I181" s="102"/>
      <c r="J181" s="380"/>
    </row>
    <row r="182" spans="1:10" ht="11.1" customHeight="1">
      <c r="A182" s="230">
        <v>924000</v>
      </c>
      <c r="B182" s="229" t="s">
        <v>285</v>
      </c>
      <c r="F182" s="29">
        <f t="shared" si="3"/>
        <v>223</v>
      </c>
      <c r="H182" s="102">
        <v>223150</v>
      </c>
      <c r="I182" s="102"/>
      <c r="J182" s="380"/>
    </row>
    <row r="183" spans="1:10" ht="11.1" customHeight="1">
      <c r="A183" s="227" t="s">
        <v>286</v>
      </c>
      <c r="B183" s="229" t="s">
        <v>287</v>
      </c>
      <c r="F183" s="29">
        <f t="shared" si="3"/>
        <v>628</v>
      </c>
      <c r="H183" s="102">
        <v>628044</v>
      </c>
      <c r="I183" s="102"/>
      <c r="J183" s="380"/>
    </row>
    <row r="184" spans="1:10" ht="11.1" customHeight="1">
      <c r="A184" s="227" t="s">
        <v>288</v>
      </c>
      <c r="B184" s="229" t="s">
        <v>289</v>
      </c>
      <c r="F184" s="29">
        <f t="shared" si="3"/>
        <v>304</v>
      </c>
      <c r="H184" s="102">
        <v>304098</v>
      </c>
      <c r="I184" s="102"/>
      <c r="J184" s="380"/>
    </row>
    <row r="185" spans="1:10" ht="11.1" customHeight="1">
      <c r="A185" s="230">
        <v>928000</v>
      </c>
      <c r="B185" s="229" t="s">
        <v>290</v>
      </c>
      <c r="F185" s="29">
        <f t="shared" si="3"/>
        <v>829</v>
      </c>
      <c r="H185" s="102">
        <v>829023</v>
      </c>
      <c r="I185" s="102"/>
      <c r="J185" s="380"/>
    </row>
    <row r="186" spans="1:10" ht="11.1" customHeight="1">
      <c r="A186" s="230">
        <v>930000</v>
      </c>
      <c r="B186" s="229" t="s">
        <v>291</v>
      </c>
      <c r="F186" s="29">
        <f t="shared" si="3"/>
        <v>821</v>
      </c>
      <c r="H186" s="102">
        <v>821435</v>
      </c>
      <c r="I186" s="102"/>
      <c r="J186" s="380"/>
    </row>
    <row r="187" spans="1:10" ht="11.1" customHeight="1">
      <c r="A187" s="230">
        <v>931000</v>
      </c>
      <c r="B187" s="229" t="s">
        <v>253</v>
      </c>
      <c r="F187" s="29">
        <f t="shared" si="3"/>
        <v>211</v>
      </c>
      <c r="H187" s="102">
        <v>210752</v>
      </c>
      <c r="I187" s="102"/>
      <c r="J187" s="380"/>
    </row>
    <row r="188" spans="1:10" ht="11.1" customHeight="1">
      <c r="A188" s="230">
        <v>935000</v>
      </c>
      <c r="B188" s="229" t="s">
        <v>292</v>
      </c>
      <c r="F188" s="29">
        <f t="shared" si="3"/>
        <v>2088</v>
      </c>
      <c r="H188" s="102">
        <v>2088143</v>
      </c>
      <c r="I188" s="102"/>
      <c r="J188" s="380"/>
    </row>
    <row r="189" spans="1:10" ht="11.1" customHeight="1">
      <c r="A189" s="227"/>
      <c r="B189" s="229" t="s">
        <v>293</v>
      </c>
      <c r="F189" s="29">
        <f t="shared" si="3"/>
        <v>13763</v>
      </c>
      <c r="H189" s="102">
        <v>13762760</v>
      </c>
      <c r="I189" s="102"/>
      <c r="J189" s="380"/>
    </row>
    <row r="190" spans="1:10" ht="11.1" customHeight="1">
      <c r="A190" s="227"/>
      <c r="B190" s="229"/>
      <c r="F190" s="29">
        <f t="shared" si="3"/>
        <v>0</v>
      </c>
      <c r="H190" s="102"/>
      <c r="I190" s="102"/>
      <c r="J190" s="380"/>
    </row>
    <row r="191" spans="1:10" ht="11.1" customHeight="1">
      <c r="A191" s="227"/>
      <c r="B191" s="229" t="s">
        <v>294</v>
      </c>
      <c r="F191" s="29">
        <f t="shared" si="3"/>
        <v>3159</v>
      </c>
      <c r="H191" s="102">
        <v>3159114</v>
      </c>
      <c r="I191" s="102"/>
      <c r="J191" s="380"/>
    </row>
    <row r="192" spans="1:10" ht="11.1" customHeight="1">
      <c r="A192" s="227"/>
      <c r="B192" s="229" t="s">
        <v>295</v>
      </c>
      <c r="F192" s="29">
        <f t="shared" si="3"/>
        <v>110</v>
      </c>
      <c r="H192" s="102">
        <v>110345</v>
      </c>
      <c r="I192" s="102"/>
      <c r="J192" s="380"/>
    </row>
    <row r="193" spans="1:10" ht="11.1" customHeight="1">
      <c r="A193" s="227"/>
      <c r="B193" s="229" t="s">
        <v>296</v>
      </c>
      <c r="F193" s="29">
        <f t="shared" si="3"/>
        <v>2988</v>
      </c>
      <c r="H193" s="102">
        <v>2987894</v>
      </c>
      <c r="I193" s="102"/>
      <c r="J193" s="380"/>
    </row>
    <row r="194" spans="1:10" ht="11.1" customHeight="1">
      <c r="A194" s="228"/>
      <c r="B194" s="229" t="s">
        <v>297</v>
      </c>
      <c r="F194" s="29">
        <f t="shared" si="3"/>
        <v>3</v>
      </c>
      <c r="H194" s="102">
        <v>2802</v>
      </c>
      <c r="I194" s="102"/>
      <c r="J194" s="380"/>
    </row>
    <row r="195" spans="1:10" ht="11.1" customHeight="1">
      <c r="A195" s="234">
        <v>407025</v>
      </c>
      <c r="B195" s="229" t="s">
        <v>298</v>
      </c>
      <c r="F195" s="29">
        <f t="shared" si="3"/>
        <v>0</v>
      </c>
      <c r="H195" s="102">
        <v>0</v>
      </c>
      <c r="I195" s="102"/>
      <c r="J195" s="380"/>
    </row>
    <row r="196" spans="1:10" ht="11.1" customHeight="1">
      <c r="A196" s="230">
        <v>407229</v>
      </c>
      <c r="B196" s="229" t="s">
        <v>418</v>
      </c>
      <c r="F196" s="29">
        <f>ROUND(H196/1000,0)</f>
        <v>0</v>
      </c>
      <c r="H196" s="102">
        <v>0</v>
      </c>
      <c r="I196" s="102"/>
      <c r="J196" s="380"/>
    </row>
    <row r="197" spans="1:10" ht="11.1" customHeight="1">
      <c r="A197" s="230">
        <v>407329</v>
      </c>
      <c r="B197" s="229" t="s">
        <v>299</v>
      </c>
      <c r="F197" s="29">
        <f t="shared" si="3"/>
        <v>0</v>
      </c>
      <c r="H197" s="102">
        <v>0</v>
      </c>
      <c r="I197" s="102"/>
      <c r="J197" s="380"/>
    </row>
    <row r="198" spans="1:10" ht="11.1" customHeight="1">
      <c r="A198" s="231">
        <v>407335</v>
      </c>
      <c r="B198" s="347" t="s">
        <v>300</v>
      </c>
      <c r="F198" s="29">
        <f t="shared" si="3"/>
        <v>0</v>
      </c>
      <c r="H198" s="102">
        <v>0</v>
      </c>
      <c r="I198" s="102"/>
      <c r="J198" s="381"/>
    </row>
    <row r="199" spans="1:10" ht="11.1" customHeight="1">
      <c r="A199" s="234" t="s">
        <v>301</v>
      </c>
      <c r="B199" s="229" t="s">
        <v>302</v>
      </c>
      <c r="F199" s="29">
        <f t="shared" si="3"/>
        <v>0</v>
      </c>
      <c r="H199" s="102">
        <v>0</v>
      </c>
      <c r="I199" s="102"/>
      <c r="J199" s="380"/>
    </row>
    <row r="200" spans="1:10" ht="16.149999999999999" customHeight="1">
      <c r="A200" s="382" t="s">
        <v>420</v>
      </c>
      <c r="B200" s="380" t="s">
        <v>419</v>
      </c>
      <c r="F200" s="29">
        <f t="shared" si="3"/>
        <v>0</v>
      </c>
      <c r="H200" s="102">
        <v>0</v>
      </c>
      <c r="I200" s="102"/>
      <c r="J200" s="380"/>
    </row>
    <row r="201" spans="1:10" ht="11.1" customHeight="1">
      <c r="A201" s="227"/>
      <c r="B201" s="229" t="s">
        <v>303</v>
      </c>
      <c r="F201" s="29">
        <f t="shared" si="3"/>
        <v>6260</v>
      </c>
      <c r="H201" s="102">
        <v>6260155</v>
      </c>
      <c r="I201" s="102"/>
      <c r="J201" s="380"/>
    </row>
    <row r="202" spans="1:10" ht="11.1" customHeight="1">
      <c r="A202" s="227"/>
      <c r="B202" s="229"/>
      <c r="F202" s="29">
        <f t="shared" si="3"/>
        <v>0</v>
      </c>
      <c r="H202" s="102"/>
      <c r="I202" s="102"/>
      <c r="J202" s="380"/>
    </row>
    <row r="203" spans="1:10" ht="11.1" customHeight="1">
      <c r="A203" s="230"/>
      <c r="B203" s="229" t="s">
        <v>304</v>
      </c>
      <c r="F203" s="29">
        <f t="shared" si="3"/>
        <v>20023</v>
      </c>
      <c r="H203" s="102">
        <v>20022915</v>
      </c>
      <c r="I203" s="102"/>
      <c r="J203" s="380"/>
    </row>
    <row r="204" spans="1:10" ht="11.1" customHeight="1">
      <c r="A204" s="230"/>
      <c r="B204" s="229"/>
      <c r="F204" s="29">
        <f t="shared" si="3"/>
        <v>0</v>
      </c>
      <c r="H204" s="102"/>
      <c r="I204" s="102"/>
      <c r="J204" s="380"/>
    </row>
    <row r="205" spans="1:10" ht="11.1" customHeight="1">
      <c r="A205" s="230"/>
      <c r="B205" s="229" t="s">
        <v>305</v>
      </c>
      <c r="F205" s="29">
        <f t="shared" si="3"/>
        <v>187893</v>
      </c>
      <c r="H205" s="102">
        <v>187893481</v>
      </c>
      <c r="I205" s="102"/>
      <c r="J205" s="380"/>
    </row>
    <row r="206" spans="1:10" ht="11.1" customHeight="1">
      <c r="A206" s="230"/>
      <c r="B206" s="229"/>
      <c r="F206" s="29">
        <f t="shared" si="3"/>
        <v>0</v>
      </c>
      <c r="H206" s="102"/>
      <c r="I206" s="102"/>
      <c r="J206" s="380"/>
    </row>
    <row r="207" spans="1:10" ht="11.1" customHeight="1">
      <c r="A207" s="230"/>
      <c r="B207" s="229" t="s">
        <v>306</v>
      </c>
      <c r="F207" s="29">
        <f t="shared" si="3"/>
        <v>32522</v>
      </c>
      <c r="H207" s="102">
        <v>32522137</v>
      </c>
      <c r="I207" s="102"/>
      <c r="J207" s="380"/>
    </row>
    <row r="208" spans="1:10" ht="11.1" customHeight="1">
      <c r="A208" s="230"/>
      <c r="B208" s="229"/>
      <c r="F208" s="29">
        <f t="shared" si="3"/>
        <v>0</v>
      </c>
      <c r="H208" s="102"/>
      <c r="I208" s="102"/>
      <c r="J208" s="380"/>
    </row>
    <row r="209" spans="1:10" ht="11.1" customHeight="1">
      <c r="A209" s="230"/>
      <c r="B209" s="229" t="s">
        <v>49</v>
      </c>
      <c r="F209" s="29">
        <f t="shared" si="3"/>
        <v>-841</v>
      </c>
      <c r="H209" s="102">
        <v>-840846</v>
      </c>
      <c r="I209" s="102"/>
      <c r="J209" s="380"/>
    </row>
    <row r="210" spans="1:10" ht="11.1" customHeight="1">
      <c r="A210" s="230"/>
      <c r="B210" s="229" t="s">
        <v>307</v>
      </c>
      <c r="F210" s="29">
        <f t="shared" si="3"/>
        <v>9923</v>
      </c>
      <c r="H210" s="102">
        <v>9922880</v>
      </c>
      <c r="I210" s="102"/>
      <c r="J210" s="380"/>
    </row>
    <row r="211" spans="1:10" ht="11.1" customHeight="1">
      <c r="A211" s="230"/>
      <c r="B211" s="229" t="s">
        <v>308</v>
      </c>
      <c r="F211" s="29">
        <f t="shared" si="3"/>
        <v>-17</v>
      </c>
      <c r="H211" s="102">
        <v>-17490</v>
      </c>
      <c r="I211" s="102"/>
      <c r="J211" s="380"/>
    </row>
    <row r="212" spans="1:10" ht="11.1" customHeight="1">
      <c r="A212" s="227"/>
      <c r="B212" s="229" t="s">
        <v>309</v>
      </c>
      <c r="F212" s="29">
        <f t="shared" si="3"/>
        <v>23458</v>
      </c>
      <c r="H212" s="102">
        <v>23457593</v>
      </c>
      <c r="I212" s="102"/>
      <c r="J212" s="380"/>
    </row>
    <row r="213" spans="1:10" ht="11.1" customHeight="1">
      <c r="F213" s="29">
        <f t="shared" si="3"/>
        <v>0</v>
      </c>
    </row>
    <row r="214" spans="1:10" ht="11.1" customHeight="1">
      <c r="A214" s="235"/>
      <c r="B214" s="236" t="s">
        <v>96</v>
      </c>
      <c r="F214" s="29">
        <f t="shared" si="3"/>
        <v>0</v>
      </c>
      <c r="J214" s="383"/>
    </row>
    <row r="215" spans="1:10" ht="11.1" customHeight="1">
      <c r="A215" s="235"/>
      <c r="B215" s="236" t="s">
        <v>310</v>
      </c>
      <c r="F215" s="29">
        <f t="shared" si="3"/>
        <v>0</v>
      </c>
      <c r="J215" s="383"/>
    </row>
    <row r="216" spans="1:10" ht="11.1" customHeight="1">
      <c r="A216" s="237">
        <v>303000</v>
      </c>
      <c r="B216" s="238" t="s">
        <v>311</v>
      </c>
      <c r="F216" s="29">
        <f t="shared" si="3"/>
        <v>2312</v>
      </c>
      <c r="H216" s="102">
        <v>2312129</v>
      </c>
      <c r="I216" s="102"/>
      <c r="J216" s="384"/>
    </row>
    <row r="217" spans="1:10" ht="11.1" customHeight="1">
      <c r="A217" s="239" t="s">
        <v>312</v>
      </c>
      <c r="B217" s="236" t="s">
        <v>313</v>
      </c>
      <c r="F217" s="29">
        <f t="shared" si="3"/>
        <v>23408</v>
      </c>
      <c r="H217" s="102">
        <v>23408267</v>
      </c>
      <c r="I217" s="102"/>
      <c r="J217" s="383"/>
    </row>
    <row r="218" spans="1:10" ht="11.1" customHeight="1">
      <c r="A218" s="240"/>
      <c r="B218" s="236" t="s">
        <v>314</v>
      </c>
      <c r="F218" s="29">
        <f t="shared" si="3"/>
        <v>25720</v>
      </c>
      <c r="H218" s="102">
        <v>25720396</v>
      </c>
      <c r="I218" s="102"/>
      <c r="J218" s="383"/>
    </row>
    <row r="219" spans="1:10" ht="11.1" customHeight="1">
      <c r="A219" s="240"/>
      <c r="B219" s="236"/>
      <c r="F219" s="29">
        <f t="shared" ref="F219:F283" si="4">ROUND(H219/1000,0)</f>
        <v>0</v>
      </c>
      <c r="H219" s="102"/>
      <c r="I219" s="102"/>
      <c r="J219" s="383"/>
    </row>
    <row r="220" spans="1:10" ht="11.1" customHeight="1">
      <c r="A220" s="240"/>
      <c r="B220" s="236" t="s">
        <v>315</v>
      </c>
      <c r="F220" s="29">
        <f t="shared" si="4"/>
        <v>0</v>
      </c>
      <c r="H220" s="102"/>
      <c r="I220" s="102"/>
      <c r="J220" s="383"/>
    </row>
    <row r="221" spans="1:10" ht="11.1" customHeight="1">
      <c r="A221" s="241" t="s">
        <v>316</v>
      </c>
      <c r="B221" s="236" t="s">
        <v>317</v>
      </c>
      <c r="F221" s="29">
        <f t="shared" si="4"/>
        <v>777</v>
      </c>
      <c r="H221" s="102">
        <v>777458</v>
      </c>
      <c r="I221" s="102"/>
      <c r="J221" s="383"/>
    </row>
    <row r="222" spans="1:10" ht="11.1" customHeight="1">
      <c r="A222" s="241" t="s">
        <v>318</v>
      </c>
      <c r="B222" s="236" t="s">
        <v>319</v>
      </c>
      <c r="F222" s="29">
        <f t="shared" si="4"/>
        <v>1359</v>
      </c>
      <c r="H222" s="102">
        <v>1358620</v>
      </c>
      <c r="I222" s="102"/>
      <c r="J222" s="383"/>
    </row>
    <row r="223" spans="1:10" ht="11.1" customHeight="1">
      <c r="A223" s="241" t="s">
        <v>320</v>
      </c>
      <c r="B223" s="236" t="s">
        <v>321</v>
      </c>
      <c r="F223" s="29">
        <f t="shared" si="4"/>
        <v>13272</v>
      </c>
      <c r="H223" s="102">
        <v>13271690</v>
      </c>
      <c r="I223" s="102"/>
      <c r="J223" s="383"/>
    </row>
    <row r="224" spans="1:10" ht="11.1" customHeight="1">
      <c r="A224" s="241">
        <v>353000</v>
      </c>
      <c r="B224" s="236" t="s">
        <v>322</v>
      </c>
      <c r="F224" s="29">
        <f t="shared" si="4"/>
        <v>737</v>
      </c>
      <c r="H224" s="102">
        <v>736670</v>
      </c>
      <c r="I224" s="102"/>
      <c r="J224" s="383"/>
    </row>
    <row r="225" spans="1:10" ht="11.1" customHeight="1">
      <c r="A225" s="241">
        <v>354000</v>
      </c>
      <c r="B225" s="236" t="s">
        <v>323</v>
      </c>
      <c r="F225" s="29">
        <f t="shared" si="4"/>
        <v>8499</v>
      </c>
      <c r="H225" s="102">
        <v>8498734</v>
      </c>
      <c r="I225" s="102"/>
      <c r="J225" s="383"/>
    </row>
    <row r="226" spans="1:10" ht="11.1" customHeight="1">
      <c r="A226" s="241">
        <v>355000</v>
      </c>
      <c r="B226" s="236" t="s">
        <v>324</v>
      </c>
      <c r="F226" s="29">
        <f t="shared" si="4"/>
        <v>508</v>
      </c>
      <c r="H226" s="102">
        <v>508218</v>
      </c>
      <c r="I226" s="102"/>
      <c r="J226" s="383"/>
    </row>
    <row r="227" spans="1:10" ht="11.1" customHeight="1">
      <c r="A227" s="241">
        <v>356000</v>
      </c>
      <c r="B227" s="236" t="s">
        <v>325</v>
      </c>
      <c r="F227" s="29">
        <f t="shared" si="4"/>
        <v>285</v>
      </c>
      <c r="H227" s="102">
        <v>284739</v>
      </c>
      <c r="I227" s="102"/>
      <c r="J227" s="383"/>
    </row>
    <row r="228" spans="1:10" ht="11.1" customHeight="1">
      <c r="A228" s="241">
        <v>357000</v>
      </c>
      <c r="B228" s="236" t="s">
        <v>237</v>
      </c>
      <c r="F228" s="29">
        <f t="shared" si="4"/>
        <v>1432</v>
      </c>
      <c r="H228" s="102">
        <v>1431546</v>
      </c>
      <c r="I228" s="102"/>
      <c r="J228" s="383"/>
    </row>
    <row r="229" spans="1:10" ht="11.1" customHeight="1">
      <c r="A229" s="241"/>
      <c r="B229" s="236" t="s">
        <v>326</v>
      </c>
      <c r="F229" s="29">
        <f t="shared" si="4"/>
        <v>26868</v>
      </c>
      <c r="H229" s="102">
        <v>26867675</v>
      </c>
      <c r="I229" s="102"/>
      <c r="J229" s="383"/>
    </row>
    <row r="230" spans="1:10" ht="11.1" customHeight="1">
      <c r="A230" s="241"/>
      <c r="B230" s="236"/>
      <c r="F230" s="29">
        <f t="shared" si="4"/>
        <v>0</v>
      </c>
      <c r="H230" s="102"/>
      <c r="I230" s="102"/>
      <c r="J230" s="383"/>
    </row>
    <row r="231" spans="1:10" ht="11.1" customHeight="1">
      <c r="A231" s="241"/>
      <c r="B231" s="236" t="s">
        <v>327</v>
      </c>
      <c r="F231" s="29">
        <f t="shared" si="4"/>
        <v>0</v>
      </c>
      <c r="H231" s="102"/>
      <c r="I231" s="102"/>
      <c r="J231" s="383"/>
    </row>
    <row r="232" spans="1:10" ht="11.1" customHeight="1">
      <c r="A232" s="241">
        <v>374200</v>
      </c>
      <c r="B232" s="236" t="s">
        <v>317</v>
      </c>
      <c r="F232" s="29">
        <f t="shared" si="4"/>
        <v>64</v>
      </c>
      <c r="H232" s="102">
        <v>63925</v>
      </c>
      <c r="I232" s="102"/>
      <c r="J232" s="383"/>
    </row>
    <row r="233" spans="1:10" ht="11.1" customHeight="1">
      <c r="A233" s="241">
        <v>374400</v>
      </c>
      <c r="B233" s="236" t="s">
        <v>317</v>
      </c>
      <c r="F233" s="29">
        <f t="shared" si="4"/>
        <v>123</v>
      </c>
      <c r="H233" s="102">
        <v>123263</v>
      </c>
      <c r="I233" s="102"/>
      <c r="J233" s="383"/>
    </row>
    <row r="234" spans="1:10" ht="11.1" customHeight="1">
      <c r="A234" s="241">
        <v>375000</v>
      </c>
      <c r="B234" s="236" t="s">
        <v>319</v>
      </c>
      <c r="F234" s="29">
        <f t="shared" si="4"/>
        <v>557</v>
      </c>
      <c r="H234" s="102">
        <v>557491</v>
      </c>
      <c r="I234" s="102"/>
      <c r="J234" s="383"/>
    </row>
    <row r="235" spans="1:10" ht="11.1" customHeight="1">
      <c r="A235" s="241">
        <v>376000</v>
      </c>
      <c r="B235" s="242" t="s">
        <v>255</v>
      </c>
      <c r="F235" s="29">
        <f t="shared" si="4"/>
        <v>192797</v>
      </c>
      <c r="H235" s="102">
        <v>192796710</v>
      </c>
      <c r="I235" s="102"/>
      <c r="J235" s="385"/>
    </row>
    <row r="236" spans="1:10" ht="11.1" customHeight="1">
      <c r="A236" s="241">
        <v>378000</v>
      </c>
      <c r="B236" s="236" t="s">
        <v>328</v>
      </c>
      <c r="F236" s="29">
        <f t="shared" si="4"/>
        <v>3470</v>
      </c>
      <c r="H236" s="102">
        <v>3470244</v>
      </c>
      <c r="I236" s="102"/>
      <c r="J236" s="383"/>
    </row>
    <row r="237" spans="1:10" ht="11.1" customHeight="1">
      <c r="A237" s="241">
        <v>379000</v>
      </c>
      <c r="B237" s="236" t="s">
        <v>329</v>
      </c>
      <c r="F237" s="29">
        <f t="shared" si="4"/>
        <v>2318</v>
      </c>
      <c r="H237" s="102">
        <v>2318264</v>
      </c>
      <c r="I237" s="102"/>
      <c r="J237" s="383"/>
    </row>
    <row r="238" spans="1:10" ht="11.1" customHeight="1">
      <c r="A238" s="241">
        <v>380000</v>
      </c>
      <c r="B238" s="236" t="s">
        <v>256</v>
      </c>
      <c r="F238" s="29">
        <f t="shared" si="4"/>
        <v>136966</v>
      </c>
      <c r="H238" s="102">
        <v>136965858</v>
      </c>
      <c r="I238" s="102"/>
      <c r="J238" s="383"/>
    </row>
    <row r="239" spans="1:10" ht="11.1" customHeight="1">
      <c r="A239" s="241">
        <v>381000</v>
      </c>
      <c r="B239" s="236" t="s">
        <v>330</v>
      </c>
      <c r="F239" s="29">
        <f t="shared" si="4"/>
        <v>51608</v>
      </c>
      <c r="H239" s="102">
        <v>51607604</v>
      </c>
      <c r="I239" s="102"/>
      <c r="J239" s="383"/>
    </row>
    <row r="240" spans="1:10" ht="11.1" customHeight="1">
      <c r="A240" s="241">
        <v>382000</v>
      </c>
      <c r="B240" s="236" t="s">
        <v>331</v>
      </c>
      <c r="F240" s="29">
        <f t="shared" si="4"/>
        <v>0</v>
      </c>
      <c r="H240" s="102">
        <v>0</v>
      </c>
      <c r="I240" s="102"/>
      <c r="J240" s="383"/>
    </row>
    <row r="241" spans="1:10" ht="11.1" customHeight="1">
      <c r="A241" s="241">
        <v>383000</v>
      </c>
      <c r="B241" s="236" t="s">
        <v>332</v>
      </c>
      <c r="F241" s="29">
        <f t="shared" si="4"/>
        <v>0</v>
      </c>
      <c r="H241" s="102">
        <v>0</v>
      </c>
      <c r="I241" s="102"/>
      <c r="J241" s="383"/>
    </row>
    <row r="242" spans="1:10" ht="11.1" customHeight="1">
      <c r="A242" s="241">
        <v>384000</v>
      </c>
      <c r="B242" s="236" t="s">
        <v>333</v>
      </c>
      <c r="F242" s="29">
        <f t="shared" si="4"/>
        <v>0</v>
      </c>
      <c r="H242" s="102">
        <v>0</v>
      </c>
      <c r="I242" s="102"/>
      <c r="J242" s="383"/>
    </row>
    <row r="243" spans="1:10" ht="11.1" customHeight="1">
      <c r="A243" s="241">
        <v>385000</v>
      </c>
      <c r="B243" s="236" t="s">
        <v>334</v>
      </c>
      <c r="F243" s="29">
        <f t="shared" si="4"/>
        <v>2605</v>
      </c>
      <c r="H243" s="102">
        <v>2604708</v>
      </c>
      <c r="I243" s="102"/>
      <c r="J243" s="383"/>
    </row>
    <row r="244" spans="1:10" ht="11.1" customHeight="1">
      <c r="A244" s="241">
        <v>387000</v>
      </c>
      <c r="B244" s="236" t="s">
        <v>237</v>
      </c>
      <c r="F244" s="29">
        <f t="shared" si="4"/>
        <v>0</v>
      </c>
      <c r="H244" s="102">
        <v>0</v>
      </c>
      <c r="I244" s="102"/>
      <c r="J244" s="383"/>
    </row>
    <row r="245" spans="1:10" ht="11.1" customHeight="1">
      <c r="A245" s="241"/>
      <c r="B245" s="236" t="s">
        <v>335</v>
      </c>
      <c r="F245" s="29">
        <f t="shared" si="4"/>
        <v>390508</v>
      </c>
      <c r="H245" s="102">
        <v>390508067</v>
      </c>
      <c r="I245" s="102"/>
      <c r="J245" s="383"/>
    </row>
    <row r="246" spans="1:10" ht="11.1" customHeight="1">
      <c r="A246" s="241"/>
      <c r="B246" s="236"/>
      <c r="F246" s="29">
        <f t="shared" si="4"/>
        <v>0</v>
      </c>
      <c r="H246" s="102"/>
      <c r="I246" s="102"/>
      <c r="J246" s="383"/>
    </row>
    <row r="247" spans="1:10" ht="11.1" customHeight="1">
      <c r="A247" s="241"/>
      <c r="B247" s="236" t="s">
        <v>336</v>
      </c>
      <c r="F247" s="29">
        <f t="shared" si="4"/>
        <v>0</v>
      </c>
      <c r="H247" s="102"/>
      <c r="I247" s="102"/>
      <c r="J247" s="383"/>
    </row>
    <row r="248" spans="1:10" ht="11.1" customHeight="1">
      <c r="A248" s="241" t="s">
        <v>337</v>
      </c>
      <c r="B248" s="236" t="s">
        <v>317</v>
      </c>
      <c r="F248" s="29">
        <f t="shared" si="4"/>
        <v>2160</v>
      </c>
      <c r="H248" s="102">
        <v>2160362</v>
      </c>
      <c r="I248" s="102"/>
      <c r="J248" s="383"/>
    </row>
    <row r="249" spans="1:10" ht="11.1" customHeight="1">
      <c r="A249" s="239" t="s">
        <v>338</v>
      </c>
      <c r="B249" s="236" t="s">
        <v>319</v>
      </c>
      <c r="F249" s="29">
        <f t="shared" si="4"/>
        <v>19009</v>
      </c>
      <c r="H249" s="102">
        <v>19008592</v>
      </c>
      <c r="I249" s="102"/>
      <c r="J249" s="383"/>
    </row>
    <row r="250" spans="1:10" ht="11.1" customHeight="1">
      <c r="A250" s="239" t="s">
        <v>339</v>
      </c>
      <c r="B250" s="236" t="s">
        <v>340</v>
      </c>
      <c r="F250" s="29">
        <f t="shared" si="4"/>
        <v>8906</v>
      </c>
      <c r="H250" s="102">
        <v>8905991</v>
      </c>
      <c r="I250" s="102"/>
      <c r="J250" s="383"/>
    </row>
    <row r="251" spans="1:10" ht="11.1" customHeight="1">
      <c r="A251" s="239" t="s">
        <v>341</v>
      </c>
      <c r="B251" s="236" t="s">
        <v>342</v>
      </c>
      <c r="F251" s="29">
        <f t="shared" si="4"/>
        <v>9099</v>
      </c>
      <c r="H251" s="102">
        <v>9098889</v>
      </c>
      <c r="I251" s="102"/>
      <c r="J251" s="383"/>
    </row>
    <row r="252" spans="1:10" ht="11.1" customHeight="1">
      <c r="A252" s="241">
        <v>393000</v>
      </c>
      <c r="B252" s="236" t="s">
        <v>343</v>
      </c>
      <c r="F252" s="29">
        <f t="shared" si="4"/>
        <v>653</v>
      </c>
      <c r="H252" s="102">
        <v>653060</v>
      </c>
      <c r="I252" s="102"/>
      <c r="J252" s="383"/>
    </row>
    <row r="253" spans="1:10" ht="11.1" customHeight="1">
      <c r="A253" s="241">
        <v>394000</v>
      </c>
      <c r="B253" s="236" t="s">
        <v>344</v>
      </c>
      <c r="F253" s="29">
        <f t="shared" si="4"/>
        <v>5392</v>
      </c>
      <c r="H253" s="102">
        <v>5392411</v>
      </c>
      <c r="I253" s="102"/>
      <c r="J253" s="383"/>
    </row>
    <row r="254" spans="1:10" ht="11.1" customHeight="1">
      <c r="A254" s="241">
        <v>395000</v>
      </c>
      <c r="B254" s="236" t="s">
        <v>345</v>
      </c>
      <c r="F254" s="29">
        <f t="shared" si="4"/>
        <v>262</v>
      </c>
      <c r="H254" s="102">
        <v>261993</v>
      </c>
      <c r="I254" s="102"/>
      <c r="J254" s="383"/>
    </row>
    <row r="255" spans="1:10" ht="11.1" customHeight="1">
      <c r="A255" s="241" t="s">
        <v>346</v>
      </c>
      <c r="B255" s="236" t="s">
        <v>347</v>
      </c>
      <c r="F255" s="29">
        <f t="shared" si="4"/>
        <v>3691</v>
      </c>
      <c r="H255" s="102">
        <v>3691203</v>
      </c>
      <c r="I255" s="102"/>
      <c r="J255" s="383"/>
    </row>
    <row r="256" spans="1:10" ht="11.1" customHeight="1">
      <c r="A256" s="241" t="s">
        <v>348</v>
      </c>
      <c r="B256" s="236" t="s">
        <v>349</v>
      </c>
      <c r="F256" s="29">
        <f t="shared" si="4"/>
        <v>7671</v>
      </c>
      <c r="H256" s="102">
        <v>7671362</v>
      </c>
      <c r="I256" s="102"/>
      <c r="J256" s="383"/>
    </row>
    <row r="257" spans="1:10" ht="11.1" customHeight="1">
      <c r="A257" s="241">
        <v>398000</v>
      </c>
      <c r="B257" s="236" t="s">
        <v>350</v>
      </c>
      <c r="F257" s="29">
        <f t="shared" si="4"/>
        <v>60</v>
      </c>
      <c r="H257" s="102">
        <v>60195</v>
      </c>
      <c r="I257" s="102"/>
      <c r="J257" s="383"/>
    </row>
    <row r="258" spans="1:10" ht="11.1" customHeight="1">
      <c r="A258" s="241"/>
      <c r="B258" s="236" t="s">
        <v>351</v>
      </c>
      <c r="F258" s="29">
        <f t="shared" si="4"/>
        <v>56904</v>
      </c>
      <c r="H258" s="102">
        <v>56904058</v>
      </c>
      <c r="I258" s="102"/>
      <c r="J258" s="383"/>
    </row>
    <row r="259" spans="1:10" ht="11.1" customHeight="1">
      <c r="A259" s="241"/>
      <c r="B259" s="236"/>
      <c r="F259" s="29">
        <f t="shared" si="4"/>
        <v>0</v>
      </c>
      <c r="H259" s="102"/>
      <c r="I259" s="102"/>
      <c r="J259" s="383"/>
    </row>
    <row r="260" spans="1:10" ht="11.1" customHeight="1">
      <c r="A260" s="241"/>
      <c r="B260" s="236" t="s">
        <v>352</v>
      </c>
      <c r="F260" s="29">
        <f t="shared" si="4"/>
        <v>500000</v>
      </c>
      <c r="H260" s="102">
        <v>500000196</v>
      </c>
      <c r="I260" s="102"/>
      <c r="J260" s="383"/>
    </row>
    <row r="261" spans="1:10" ht="11.1" customHeight="1">
      <c r="A261" s="241"/>
      <c r="B261" s="236"/>
      <c r="F261" s="29">
        <f t="shared" si="4"/>
        <v>0</v>
      </c>
      <c r="H261" s="102"/>
      <c r="I261" s="102"/>
      <c r="J261" s="383"/>
    </row>
    <row r="262" spans="1:10" ht="11.1" customHeight="1">
      <c r="A262" s="241"/>
      <c r="B262" s="236"/>
      <c r="F262" s="29">
        <f t="shared" si="4"/>
        <v>0</v>
      </c>
      <c r="H262" s="102"/>
      <c r="I262" s="102"/>
      <c r="J262" s="383"/>
    </row>
    <row r="263" spans="1:10" ht="11.1" customHeight="1">
      <c r="A263" s="239"/>
      <c r="B263" s="236" t="s">
        <v>57</v>
      </c>
      <c r="F263" s="29">
        <f t="shared" si="4"/>
        <v>0</v>
      </c>
      <c r="H263" s="102"/>
      <c r="I263" s="102"/>
      <c r="J263" s="383"/>
    </row>
    <row r="264" spans="1:10" ht="11.1" customHeight="1">
      <c r="A264" s="239"/>
      <c r="B264" s="236" t="s">
        <v>36</v>
      </c>
      <c r="F264" s="29">
        <f t="shared" si="4"/>
        <v>-10148</v>
      </c>
      <c r="H264" s="102">
        <v>-10148063</v>
      </c>
      <c r="I264" s="102"/>
      <c r="J264" s="383"/>
    </row>
    <row r="265" spans="1:10" ht="11.1" customHeight="1">
      <c r="A265" s="239"/>
      <c r="B265" s="236" t="s">
        <v>54</v>
      </c>
      <c r="F265" s="29">
        <f t="shared" si="4"/>
        <v>-129098</v>
      </c>
      <c r="H265" s="102">
        <v>-129098113</v>
      </c>
      <c r="I265" s="102"/>
      <c r="J265" s="383"/>
    </row>
    <row r="266" spans="1:10" ht="11.1" customHeight="1">
      <c r="A266" s="239"/>
      <c r="B266" s="236" t="s">
        <v>55</v>
      </c>
      <c r="F266" s="29">
        <f t="shared" si="4"/>
        <v>-16999</v>
      </c>
      <c r="H266" s="102">
        <v>-16998620</v>
      </c>
      <c r="I266" s="102"/>
      <c r="J266" s="383"/>
    </row>
    <row r="267" spans="1:10" ht="11.1" customHeight="1">
      <c r="A267" s="235"/>
      <c r="B267" s="236" t="s">
        <v>353</v>
      </c>
      <c r="F267" s="29">
        <f t="shared" si="4"/>
        <v>-156245</v>
      </c>
      <c r="H267" s="102">
        <v>-156244796</v>
      </c>
      <c r="I267" s="102"/>
      <c r="J267" s="383"/>
    </row>
    <row r="268" spans="1:10" ht="11.1" customHeight="1">
      <c r="A268" s="235"/>
      <c r="B268" s="236"/>
      <c r="F268" s="29">
        <f t="shared" si="4"/>
        <v>0</v>
      </c>
      <c r="H268" s="102"/>
      <c r="I268" s="102"/>
      <c r="J268" s="383"/>
    </row>
    <row r="269" spans="1:10" ht="11.1" customHeight="1">
      <c r="A269" s="235"/>
      <c r="B269" s="236" t="s">
        <v>354</v>
      </c>
      <c r="F269" s="29">
        <f t="shared" si="4"/>
        <v>0</v>
      </c>
      <c r="H269" s="102"/>
      <c r="I269" s="102"/>
      <c r="J269" s="383"/>
    </row>
    <row r="270" spans="1:10" ht="11.1" customHeight="1">
      <c r="A270" s="239"/>
      <c r="B270" s="236" t="s">
        <v>355</v>
      </c>
      <c r="F270" s="29">
        <f t="shared" si="4"/>
        <v>-392</v>
      </c>
      <c r="H270" s="102">
        <v>-392384</v>
      </c>
      <c r="I270" s="102"/>
      <c r="J270" s="383"/>
    </row>
    <row r="271" spans="1:10" ht="11.1" customHeight="1">
      <c r="A271" s="239"/>
      <c r="B271" s="236" t="s">
        <v>356</v>
      </c>
      <c r="F271" s="29">
        <f t="shared" si="4"/>
        <v>-6044</v>
      </c>
      <c r="H271" s="102">
        <v>-6044460</v>
      </c>
      <c r="I271" s="102"/>
      <c r="J271" s="383"/>
    </row>
    <row r="272" spans="1:10" ht="11.1" customHeight="1">
      <c r="A272" s="239"/>
      <c r="B272" s="236" t="s">
        <v>36</v>
      </c>
      <c r="F272" s="29">
        <f t="shared" si="4"/>
        <v>-169</v>
      </c>
      <c r="H272" s="102">
        <v>-169413</v>
      </c>
      <c r="I272" s="102"/>
      <c r="J272" s="383"/>
    </row>
    <row r="273" spans="1:10" ht="11.1" customHeight="1">
      <c r="A273" s="239"/>
      <c r="B273" s="236" t="s">
        <v>357</v>
      </c>
      <c r="F273" s="29">
        <f t="shared" si="4"/>
        <v>-38</v>
      </c>
      <c r="H273" s="102">
        <v>-38118</v>
      </c>
      <c r="I273" s="102"/>
      <c r="J273" s="383"/>
    </row>
    <row r="274" spans="1:10" ht="11.1" customHeight="1">
      <c r="A274" s="239"/>
      <c r="B274" s="236" t="s">
        <v>358</v>
      </c>
      <c r="F274" s="29">
        <f t="shared" si="4"/>
        <v>-6644</v>
      </c>
      <c r="H274" s="102">
        <v>-6644375</v>
      </c>
      <c r="I274" s="102"/>
      <c r="J274" s="383"/>
    </row>
    <row r="275" spans="1:10" ht="11.1" customHeight="1">
      <c r="A275" s="239"/>
      <c r="B275" s="236"/>
      <c r="F275" s="29">
        <f t="shared" si="4"/>
        <v>0</v>
      </c>
      <c r="H275" s="102"/>
      <c r="I275" s="102"/>
      <c r="J275" s="383"/>
    </row>
    <row r="276" spans="1:10" ht="11.1" customHeight="1">
      <c r="A276" s="239"/>
      <c r="B276" s="236" t="s">
        <v>359</v>
      </c>
      <c r="F276" s="29">
        <f t="shared" si="4"/>
        <v>-162889</v>
      </c>
      <c r="H276" s="102">
        <v>-162889171</v>
      </c>
      <c r="I276" s="102"/>
      <c r="J276" s="383"/>
    </row>
    <row r="277" spans="1:10" ht="11.1" customHeight="1">
      <c r="A277" s="239"/>
      <c r="B277" s="236"/>
      <c r="F277" s="29">
        <f t="shared" si="4"/>
        <v>0</v>
      </c>
      <c r="H277" s="102"/>
      <c r="I277" s="102"/>
      <c r="J277" s="383"/>
    </row>
    <row r="278" spans="1:10" ht="11.1" customHeight="1">
      <c r="A278" s="235"/>
      <c r="B278" s="236" t="s">
        <v>360</v>
      </c>
      <c r="F278" s="29">
        <f t="shared" si="4"/>
        <v>337111</v>
      </c>
      <c r="H278" s="102">
        <v>337111025</v>
      </c>
      <c r="I278" s="102"/>
      <c r="J278" s="383"/>
    </row>
    <row r="279" spans="1:10" ht="11.1" customHeight="1">
      <c r="A279" s="235"/>
      <c r="B279" s="236"/>
      <c r="F279" s="29">
        <f t="shared" si="4"/>
        <v>0</v>
      </c>
      <c r="H279" s="102"/>
      <c r="I279" s="102"/>
      <c r="J279" s="383"/>
    </row>
    <row r="280" spans="1:10" ht="11.1" customHeight="1">
      <c r="A280" s="243"/>
      <c r="B280" s="244" t="s">
        <v>361</v>
      </c>
      <c r="F280" s="29">
        <f t="shared" si="4"/>
        <v>0</v>
      </c>
      <c r="H280" s="102"/>
      <c r="I280" s="102"/>
      <c r="J280" s="386"/>
    </row>
    <row r="281" spans="1:10" ht="11.1" customHeight="1">
      <c r="A281" s="245">
        <v>282900</v>
      </c>
      <c r="B281" s="244" t="s">
        <v>362</v>
      </c>
      <c r="F281" s="29">
        <f t="shared" si="4"/>
        <v>-63730</v>
      </c>
      <c r="H281" s="102">
        <v>-63729945</v>
      </c>
      <c r="I281" s="102"/>
      <c r="J281" s="386"/>
    </row>
    <row r="282" spans="1:10" ht="11.1" customHeight="1">
      <c r="A282" s="245">
        <v>282900</v>
      </c>
      <c r="B282" s="244" t="s">
        <v>363</v>
      </c>
      <c r="F282" s="29">
        <f>ROUND(H282/1000,0)</f>
        <v>-9325</v>
      </c>
      <c r="H282" s="102">
        <v>-9325397</v>
      </c>
      <c r="I282" s="102"/>
      <c r="J282" s="386"/>
    </row>
    <row r="283" spans="1:10" ht="11.1" customHeight="1">
      <c r="A283" s="245">
        <v>283750</v>
      </c>
      <c r="B283" s="244" t="s">
        <v>404</v>
      </c>
      <c r="F283" s="29">
        <f t="shared" si="4"/>
        <v>-217</v>
      </c>
      <c r="H283" s="102">
        <v>-217030</v>
      </c>
      <c r="I283" s="102"/>
      <c r="J283" s="386"/>
    </row>
    <row r="284" spans="1:10" ht="11.1" customHeight="1">
      <c r="A284" s="245">
        <v>283850</v>
      </c>
      <c r="B284" s="244" t="s">
        <v>364</v>
      </c>
      <c r="F284" s="29">
        <f t="shared" ref="F284:F302" si="5">ROUND(H284/1000,0)</f>
        <v>-584</v>
      </c>
      <c r="H284" s="102">
        <v>-583946</v>
      </c>
      <c r="I284" s="102"/>
      <c r="J284" s="386"/>
    </row>
    <row r="285" spans="1:10" ht="11.1" customHeight="1">
      <c r="A285" s="239"/>
      <c r="B285" s="236" t="s">
        <v>365</v>
      </c>
      <c r="F285" s="29">
        <f t="shared" si="5"/>
        <v>-73856</v>
      </c>
      <c r="H285" s="102">
        <v>-73856318</v>
      </c>
      <c r="I285" s="102"/>
      <c r="J285" s="383"/>
    </row>
    <row r="286" spans="1:10" ht="11.1" customHeight="1">
      <c r="A286" s="235"/>
      <c r="B286" s="236"/>
      <c r="F286" s="29">
        <f t="shared" si="5"/>
        <v>0</v>
      </c>
      <c r="H286" s="102"/>
      <c r="I286" s="102"/>
      <c r="J286" s="383"/>
    </row>
    <row r="287" spans="1:10" ht="11.1" customHeight="1">
      <c r="A287" s="235"/>
      <c r="B287" s="236" t="s">
        <v>366</v>
      </c>
      <c r="F287" s="29">
        <f t="shared" si="5"/>
        <v>263255</v>
      </c>
      <c r="H287" s="102">
        <v>263254707</v>
      </c>
      <c r="I287" s="102"/>
      <c r="J287" s="383"/>
    </row>
    <row r="289" spans="1:10" ht="11.1" customHeight="1">
      <c r="A289" s="246"/>
      <c r="B289" s="247" t="s">
        <v>367</v>
      </c>
      <c r="F289" s="29">
        <f t="shared" si="5"/>
        <v>0</v>
      </c>
      <c r="J289" s="383"/>
    </row>
    <row r="290" spans="1:10" ht="11.1" customHeight="1">
      <c r="A290" s="248">
        <v>253850</v>
      </c>
      <c r="B290" s="247" t="s">
        <v>368</v>
      </c>
      <c r="F290" s="29">
        <f t="shared" si="5"/>
        <v>0</v>
      </c>
      <c r="H290" s="102">
        <v>0</v>
      </c>
      <c r="I290" s="102"/>
      <c r="J290" s="383"/>
    </row>
    <row r="291" spans="1:10" ht="11.1" customHeight="1">
      <c r="A291" s="248">
        <v>190850</v>
      </c>
      <c r="B291" s="247" t="s">
        <v>369</v>
      </c>
      <c r="F291" s="29">
        <f t="shared" si="5"/>
        <v>0</v>
      </c>
      <c r="H291" s="102">
        <v>0</v>
      </c>
      <c r="I291" s="102"/>
      <c r="J291" s="383"/>
    </row>
    <row r="292" spans="1:10" ht="11.1" customHeight="1">
      <c r="A292" s="249">
        <v>117100</v>
      </c>
      <c r="B292" s="250" t="s">
        <v>370</v>
      </c>
      <c r="F292" s="29">
        <f t="shared" si="5"/>
        <v>4042</v>
      </c>
      <c r="H292" s="102">
        <v>4042119</v>
      </c>
      <c r="I292" s="102"/>
      <c r="J292" s="386"/>
    </row>
    <row r="293" spans="1:10" ht="11.1" customHeight="1">
      <c r="A293" s="249">
        <v>164100</v>
      </c>
      <c r="B293" s="250" t="s">
        <v>371</v>
      </c>
      <c r="F293" s="29">
        <f t="shared" si="5"/>
        <v>5074</v>
      </c>
      <c r="H293" s="102">
        <v>5074110</v>
      </c>
      <c r="I293" s="102"/>
      <c r="J293" s="386"/>
    </row>
    <row r="294" spans="1:10" ht="11.1" customHeight="1">
      <c r="A294" s="249">
        <v>252000</v>
      </c>
      <c r="B294" s="251" t="s">
        <v>372</v>
      </c>
      <c r="F294" s="29">
        <f t="shared" si="5"/>
        <v>-12</v>
      </c>
      <c r="H294" s="102">
        <v>-11831</v>
      </c>
      <c r="I294" s="102"/>
      <c r="J294" s="387"/>
    </row>
    <row r="295" spans="1:10" ht="11.1" customHeight="1">
      <c r="A295" s="249">
        <v>235199</v>
      </c>
      <c r="B295" s="251" t="s">
        <v>373</v>
      </c>
      <c r="F295" s="29">
        <f t="shared" si="5"/>
        <v>-472</v>
      </c>
      <c r="H295" s="102">
        <v>-471646</v>
      </c>
      <c r="I295" s="102"/>
      <c r="J295" s="387"/>
    </row>
    <row r="296" spans="1:10" ht="11.1" customHeight="1">
      <c r="A296" s="446">
        <v>182302</v>
      </c>
      <c r="B296" s="387" t="s">
        <v>437</v>
      </c>
      <c r="F296" s="29">
        <f t="shared" si="5"/>
        <v>361</v>
      </c>
      <c r="H296" s="102">
        <v>360805</v>
      </c>
      <c r="I296" s="102"/>
      <c r="J296" s="387"/>
    </row>
    <row r="297" spans="1:10" ht="11.1" customHeight="1">
      <c r="A297" s="446">
        <v>283302</v>
      </c>
      <c r="B297" s="387" t="s">
        <v>438</v>
      </c>
      <c r="F297" s="29">
        <f t="shared" si="5"/>
        <v>-126</v>
      </c>
      <c r="H297" s="102">
        <v>-126282</v>
      </c>
      <c r="I297" s="102"/>
      <c r="J297" s="387"/>
    </row>
    <row r="298" spans="1:10" ht="11.1" customHeight="1">
      <c r="A298" s="252"/>
      <c r="B298" s="253" t="s">
        <v>374</v>
      </c>
      <c r="F298" s="29">
        <f t="shared" si="5"/>
        <v>15664</v>
      </c>
      <c r="H298" s="102">
        <v>15664179</v>
      </c>
      <c r="I298" s="102"/>
      <c r="J298" s="387"/>
    </row>
    <row r="299" spans="1:10" ht="11.1" customHeight="1">
      <c r="A299" s="249">
        <v>186710</v>
      </c>
      <c r="B299" s="250" t="s">
        <v>375</v>
      </c>
      <c r="F299" s="29">
        <f t="shared" si="5"/>
        <v>0</v>
      </c>
      <c r="H299" s="102">
        <v>0</v>
      </c>
      <c r="I299" s="102"/>
      <c r="J299" s="386"/>
    </row>
    <row r="300" spans="1:10" ht="11.1" customHeight="1">
      <c r="A300" s="251"/>
      <c r="B300" s="247" t="s">
        <v>376</v>
      </c>
      <c r="F300" s="29">
        <f t="shared" si="5"/>
        <v>24531</v>
      </c>
      <c r="H300" s="102">
        <v>24531454</v>
      </c>
      <c r="I300" s="102"/>
      <c r="J300" s="383"/>
    </row>
    <row r="301" spans="1:10" ht="11.1" customHeight="1">
      <c r="A301" s="251"/>
      <c r="B301" s="247"/>
      <c r="F301" s="29">
        <f t="shared" si="5"/>
        <v>0</v>
      </c>
      <c r="H301" s="102"/>
      <c r="I301" s="102"/>
      <c r="J301" s="383"/>
    </row>
    <row r="302" spans="1:10" ht="11.1" customHeight="1">
      <c r="A302" s="251"/>
      <c r="B302" s="247" t="s">
        <v>377</v>
      </c>
      <c r="F302" s="29">
        <f t="shared" si="5"/>
        <v>287786</v>
      </c>
      <c r="H302" s="102">
        <v>287786161</v>
      </c>
      <c r="I302" s="102"/>
      <c r="J302" s="383"/>
    </row>
  </sheetData>
  <customSheetViews>
    <customSheetView guid="{A15D1964-B049-11D2-8670-0000832CEEE8}" scale="75" showPageBreaks="1" printArea="1" showRuler="0">
      <selection activeCell="F8" sqref="F8:F63"/>
      <pageMargins left="1" right="1" top="0.5" bottom="0.5" header="0.5" footer="0.5"/>
      <printOptions horizontalCentered="1"/>
      <pageSetup scale="89" orientation="portrait" horizontalDpi="300" verticalDpi="300" r:id="rId1"/>
      <headerFooter alignWithMargins="0"/>
    </customSheetView>
    <customSheetView guid="{5BE913A1-B14F-11D2-B0DC-0000832CDFF0}" scale="75" showPageBreaks="1" printArea="1" showRuler="0">
      <pageMargins left="1" right="1" top="0.5" bottom="0.5" header="0.5" footer="0.5"/>
      <printOptions horizontalCentered="1"/>
      <pageSetup scale="89" orientation="portrait" horizontalDpi="300" verticalDpi="300" r:id="rId2"/>
      <headerFooter alignWithMargins="0"/>
    </customSheetView>
  </customSheetViews>
  <mergeCells count="2">
    <mergeCell ref="A3:C3"/>
    <mergeCell ref="A5:C5"/>
  </mergeCells>
  <phoneticPr fontId="0" type="noConversion"/>
  <printOptions horizontalCentered="1"/>
  <pageMargins left="1" right="1" top="0.5" bottom="0.5" header="0.5" footer="0.5"/>
  <pageSetup scale="77" orientation="portrait" horizontalDpi="300" verticalDpi="300" r:id="rId3"/>
  <headerFooter alignWithMargins="0"/>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I59"/>
  <sheetViews>
    <sheetView view="pageBreakPreview" topLeftCell="I1" zoomScale="115" zoomScaleNormal="100" zoomScaleSheetLayoutView="115" workbookViewId="0">
      <selection activeCell="Q15" sqref="Q15"/>
    </sheetView>
  </sheetViews>
  <sheetFormatPr defaultRowHeight="12.75"/>
  <cols>
    <col min="1" max="1" width="7.28515625" style="35" hidden="1" customWidth="1"/>
    <col min="2" max="2" width="1.42578125" style="35" hidden="1" customWidth="1"/>
    <col min="3" max="3" width="33.140625" style="35" hidden="1" customWidth="1"/>
    <col min="4" max="4" width="1.140625" style="35" hidden="1" customWidth="1"/>
    <col min="5" max="5" width="1.7109375" style="35" hidden="1" customWidth="1"/>
    <col min="6" max="6" width="21.7109375" style="35" hidden="1" customWidth="1"/>
    <col min="7" max="7" width="15.85546875" style="35" hidden="1" customWidth="1"/>
    <col min="8" max="8" width="18.42578125" style="35" hidden="1" customWidth="1"/>
    <col min="9" max="9" width="5.42578125" style="35" customWidth="1"/>
    <col min="10" max="10" width="13.85546875" style="35" customWidth="1"/>
    <col min="11" max="11" width="7.85546875" style="35" customWidth="1"/>
    <col min="12" max="12" width="11.42578125" style="35" customWidth="1"/>
    <col min="13" max="13" width="14.28515625" style="35" customWidth="1"/>
    <col min="14" max="14" width="14.85546875" style="35" customWidth="1"/>
    <col min="15" max="15" width="4.140625" style="388" customWidth="1"/>
    <col min="16" max="16" width="14" style="35" customWidth="1"/>
    <col min="17" max="17" width="9.28515625" customWidth="1"/>
  </cols>
  <sheetData>
    <row r="1" spans="1:35">
      <c r="A1" s="53" t="s">
        <v>103</v>
      </c>
      <c r="B1" s="53"/>
      <c r="C1" s="53"/>
      <c r="D1" s="53"/>
      <c r="E1" s="53"/>
      <c r="F1" s="53"/>
      <c r="G1" s="53"/>
      <c r="H1" s="53"/>
      <c r="I1" s="93"/>
      <c r="J1" s="910" t="s">
        <v>103</v>
      </c>
      <c r="K1" s="910"/>
      <c r="L1" s="910"/>
      <c r="M1" s="910"/>
      <c r="N1" s="910"/>
      <c r="O1" s="83"/>
      <c r="P1" s="83"/>
      <c r="Q1" s="35"/>
    </row>
    <row r="2" spans="1:35">
      <c r="A2" s="53" t="s">
        <v>598</v>
      </c>
      <c r="B2" s="53"/>
      <c r="C2" s="53"/>
      <c r="D2" s="53"/>
      <c r="E2" s="53"/>
      <c r="F2" s="53"/>
      <c r="G2" s="53"/>
      <c r="H2" s="53"/>
      <c r="J2" s="910" t="s">
        <v>638</v>
      </c>
      <c r="K2" s="910"/>
      <c r="L2" s="910"/>
      <c r="M2" s="910"/>
      <c r="N2" s="910"/>
      <c r="O2" s="264"/>
      <c r="P2" s="264"/>
      <c r="Q2" s="35"/>
    </row>
    <row r="3" spans="1:35">
      <c r="A3" s="910" t="s">
        <v>408</v>
      </c>
      <c r="B3" s="910"/>
      <c r="C3" s="910"/>
      <c r="D3" s="910"/>
      <c r="E3" s="910"/>
      <c r="F3" s="910"/>
      <c r="G3" s="910"/>
      <c r="H3" s="910"/>
      <c r="I3" s="93"/>
      <c r="J3" s="910" t="s">
        <v>408</v>
      </c>
      <c r="K3" s="910"/>
      <c r="L3" s="910"/>
      <c r="M3" s="910"/>
      <c r="N3" s="910"/>
      <c r="O3" s="83"/>
      <c r="P3" s="83"/>
      <c r="Q3" s="35"/>
    </row>
    <row r="4" spans="1:35">
      <c r="A4" s="913" t="str">
        <f>'ADJ DETAIL INPUT-Restated CB'!A5</f>
        <v>TWELVE MONTHS ENDED DECEMBER 31, 2016</v>
      </c>
      <c r="B4" s="913"/>
      <c r="C4" s="913"/>
      <c r="D4" s="913"/>
      <c r="E4" s="913"/>
      <c r="F4" s="913"/>
      <c r="G4" s="913"/>
      <c r="H4" s="913"/>
      <c r="J4" s="914"/>
      <c r="K4" s="914"/>
      <c r="L4" s="914"/>
      <c r="M4" s="914"/>
      <c r="N4" s="914"/>
      <c r="O4" s="397"/>
      <c r="P4" s="398"/>
    </row>
    <row r="5" spans="1:35" ht="16.5" thickBot="1">
      <c r="A5" s="910"/>
      <c r="B5" s="910"/>
      <c r="C5" s="910"/>
      <c r="D5" s="910"/>
      <c r="E5" s="910"/>
      <c r="F5" s="910"/>
      <c r="G5" s="910"/>
      <c r="H5" s="910"/>
      <c r="I5" s="84"/>
      <c r="J5" s="85"/>
      <c r="K5" s="85"/>
      <c r="L5" s="85"/>
      <c r="M5" s="85"/>
      <c r="N5" s="85"/>
      <c r="O5" s="85"/>
      <c r="P5" s="85"/>
      <c r="S5" s="75"/>
      <c r="T5" s="75"/>
      <c r="X5" s="75"/>
      <c r="Y5" s="75"/>
      <c r="Z5" s="75"/>
      <c r="AA5" s="75"/>
      <c r="AB5" s="75"/>
      <c r="AC5" s="75"/>
      <c r="AD5" s="75"/>
      <c r="AE5" s="75"/>
      <c r="AF5" s="75"/>
      <c r="AG5" s="75"/>
      <c r="AH5" s="75"/>
      <c r="AI5" s="75"/>
    </row>
    <row r="6" spans="1:35" ht="15.75" customHeight="1">
      <c r="A6" s="916" t="s">
        <v>617</v>
      </c>
      <c r="B6" s="916"/>
      <c r="C6" s="916"/>
      <c r="D6" s="916"/>
      <c r="E6" s="916"/>
      <c r="F6" s="916"/>
      <c r="G6" s="916"/>
      <c r="H6" s="916"/>
      <c r="I6" s="84"/>
      <c r="J6" s="429" t="s">
        <v>616</v>
      </c>
      <c r="K6" s="362"/>
      <c r="L6" s="362"/>
      <c r="M6" s="362"/>
      <c r="N6" s="363"/>
      <c r="O6" s="143"/>
      <c r="P6" s="143"/>
    </row>
    <row r="7" spans="1:35" ht="15.75">
      <c r="A7" s="916"/>
      <c r="B7" s="916"/>
      <c r="C7" s="916"/>
      <c r="D7" s="916"/>
      <c r="E7" s="916"/>
      <c r="F7" s="916"/>
      <c r="G7" s="916"/>
      <c r="H7" s="916"/>
      <c r="I7" s="86"/>
      <c r="J7" s="364"/>
      <c r="K7" s="88"/>
      <c r="L7" s="91"/>
      <c r="M7" s="92"/>
      <c r="N7" s="373"/>
      <c r="O7" s="87"/>
      <c r="P7" s="144"/>
    </row>
    <row r="8" spans="1:35" ht="15.75">
      <c r="A8" s="916"/>
      <c r="B8" s="916"/>
      <c r="C8" s="916"/>
      <c r="D8" s="916"/>
      <c r="E8" s="916"/>
      <c r="F8" s="916"/>
      <c r="G8" s="916"/>
      <c r="H8" s="916"/>
      <c r="I8" s="86"/>
      <c r="J8" s="365"/>
      <c r="K8" s="87"/>
      <c r="L8" s="87" t="s">
        <v>121</v>
      </c>
      <c r="M8" s="87"/>
      <c r="N8" s="373" t="s">
        <v>122</v>
      </c>
      <c r="O8" s="87"/>
      <c r="P8" s="144"/>
    </row>
    <row r="9" spans="1:35" ht="15.75">
      <c r="A9" s="916"/>
      <c r="B9" s="916"/>
      <c r="C9" s="916"/>
      <c r="D9" s="916"/>
      <c r="E9" s="916"/>
      <c r="F9" s="916"/>
      <c r="G9" s="916"/>
      <c r="H9" s="916"/>
      <c r="I9" s="86"/>
      <c r="J9" s="366" t="s">
        <v>123</v>
      </c>
      <c r="K9" s="87"/>
      <c r="L9" s="367" t="s">
        <v>124</v>
      </c>
      <c r="M9" s="367" t="s">
        <v>125</v>
      </c>
      <c r="N9" s="374" t="s">
        <v>125</v>
      </c>
      <c r="O9" s="87"/>
      <c r="P9" s="144"/>
    </row>
    <row r="10" spans="1:35" ht="15.75">
      <c r="A10" s="916"/>
      <c r="B10" s="916"/>
      <c r="C10" s="916"/>
      <c r="D10" s="916"/>
      <c r="E10" s="916"/>
      <c r="F10" s="916"/>
      <c r="G10" s="916"/>
      <c r="H10" s="916"/>
      <c r="I10" s="86"/>
      <c r="J10" s="364"/>
      <c r="K10" s="88"/>
      <c r="L10" s="88"/>
      <c r="M10" s="88"/>
      <c r="N10" s="375"/>
      <c r="O10" s="88"/>
      <c r="P10" s="144"/>
    </row>
    <row r="11" spans="1:35" ht="15.75">
      <c r="A11" s="916"/>
      <c r="B11" s="916"/>
      <c r="C11" s="916"/>
      <c r="D11" s="916"/>
      <c r="E11" s="916"/>
      <c r="F11" s="916"/>
      <c r="G11" s="916"/>
      <c r="H11" s="916"/>
      <c r="I11" s="86"/>
      <c r="J11" s="269"/>
      <c r="K11" s="341"/>
      <c r="L11" s="341"/>
      <c r="M11" s="341"/>
      <c r="N11" s="270"/>
      <c r="O11" s="341"/>
      <c r="P11" s="144"/>
      <c r="Q11" s="75"/>
    </row>
    <row r="12" spans="1:35" ht="15.75">
      <c r="A12" s="916"/>
      <c r="B12" s="916"/>
      <c r="C12" s="916"/>
      <c r="D12" s="916"/>
      <c r="E12" s="916"/>
      <c r="F12" s="916"/>
      <c r="G12" s="916"/>
      <c r="H12" s="916"/>
      <c r="I12" s="86"/>
      <c r="J12" s="368" t="s">
        <v>396</v>
      </c>
      <c r="K12" s="89"/>
      <c r="L12" s="369">
        <v>0.5</v>
      </c>
      <c r="M12" s="141">
        <v>5.62E-2</v>
      </c>
      <c r="N12" s="376">
        <f>ROUND(L12*M12,4)</f>
        <v>2.81E-2</v>
      </c>
      <c r="O12" s="141"/>
      <c r="P12" s="145" t="s">
        <v>140</v>
      </c>
    </row>
    <row r="13" spans="1:35" ht="15.75">
      <c r="A13" s="916"/>
      <c r="B13" s="916"/>
      <c r="C13" s="916"/>
      <c r="D13" s="916"/>
      <c r="E13" s="916"/>
      <c r="F13" s="916"/>
      <c r="G13" s="916"/>
      <c r="H13" s="916"/>
      <c r="I13" s="86"/>
      <c r="J13" s="368"/>
      <c r="K13" s="89"/>
      <c r="L13" s="369"/>
      <c r="M13" s="141"/>
      <c r="N13" s="376"/>
      <c r="O13" s="141"/>
      <c r="P13" s="142">
        <f>N12+N13</f>
        <v>2.81E-2</v>
      </c>
    </row>
    <row r="14" spans="1:35" ht="21.75" customHeight="1">
      <c r="C14" s="431"/>
      <c r="D14" s="431"/>
      <c r="F14" s="915" t="s">
        <v>597</v>
      </c>
      <c r="G14" s="915"/>
      <c r="H14" s="915"/>
      <c r="I14" s="465"/>
      <c r="J14" s="466" t="s">
        <v>146</v>
      </c>
      <c r="K14" s="467"/>
      <c r="L14" s="468">
        <v>0.5</v>
      </c>
      <c r="M14" s="469">
        <v>9.9000000000000005E-2</v>
      </c>
      <c r="N14" s="470">
        <f>ROUND(L14*M14,4)</f>
        <v>4.9500000000000002E-2</v>
      </c>
      <c r="O14" s="141"/>
      <c r="P14" s="144"/>
      <c r="Q14" s="75"/>
    </row>
    <row r="15" spans="1:35" ht="16.5" thickBot="1">
      <c r="A15" s="37"/>
      <c r="B15" s="37"/>
      <c r="C15" s="37"/>
      <c r="D15" s="37"/>
      <c r="E15" s="37"/>
      <c r="F15" s="684" t="s">
        <v>596</v>
      </c>
      <c r="G15" s="477" t="s">
        <v>462</v>
      </c>
      <c r="H15" s="684" t="s">
        <v>596</v>
      </c>
      <c r="I15" s="86"/>
      <c r="J15" s="368" t="s">
        <v>25</v>
      </c>
      <c r="K15" s="90"/>
      <c r="L15" s="370">
        <f>SUM(L12:L14)</f>
        <v>1</v>
      </c>
      <c r="M15" s="142"/>
      <c r="N15" s="377">
        <f>SUM(N12:N14)</f>
        <v>7.7600000000000002E-2</v>
      </c>
      <c r="O15" s="341"/>
      <c r="P15" s="144"/>
    </row>
    <row r="16" spans="1:35" ht="17.25" thickTop="1" thickBot="1">
      <c r="A16" s="39" t="s">
        <v>120</v>
      </c>
      <c r="B16" s="39"/>
      <c r="C16" s="911" t="s">
        <v>63</v>
      </c>
      <c r="D16" s="911"/>
      <c r="E16" s="39"/>
      <c r="F16" s="685">
        <v>43221</v>
      </c>
      <c r="G16" s="104" t="s">
        <v>108</v>
      </c>
      <c r="H16" s="685">
        <v>43221</v>
      </c>
      <c r="I16" s="86"/>
      <c r="J16" s="371"/>
      <c r="K16" s="372"/>
      <c r="L16" s="372"/>
      <c r="M16" s="372"/>
      <c r="N16" s="378"/>
      <c r="O16" s="142"/>
      <c r="P16" s="144"/>
    </row>
    <row r="17" spans="1:17" ht="15.75">
      <c r="A17" s="40" t="s">
        <v>15</v>
      </c>
      <c r="B17" s="40"/>
      <c r="C17" s="912"/>
      <c r="D17" s="912"/>
      <c r="E17" s="39"/>
      <c r="F17" s="917" t="s">
        <v>603</v>
      </c>
      <c r="G17" s="917"/>
      <c r="H17" s="917"/>
      <c r="I17" s="86"/>
      <c r="J17" s="428"/>
      <c r="K17" s="78"/>
      <c r="L17" s="78"/>
      <c r="M17" s="78"/>
      <c r="N17" s="78"/>
      <c r="O17" s="143"/>
      <c r="P17" s="144"/>
    </row>
    <row r="18" spans="1:17" ht="15.75">
      <c r="A18" s="39"/>
      <c r="B18" s="38"/>
      <c r="C18" s="39"/>
      <c r="D18" s="39"/>
      <c r="E18" s="39"/>
      <c r="F18" s="697"/>
      <c r="G18" s="697"/>
      <c r="H18" s="697"/>
      <c r="I18" s="86"/>
      <c r="J18" s="428"/>
      <c r="K18" s="391"/>
      <c r="L18" s="391"/>
      <c r="M18" s="391"/>
      <c r="N18" s="391"/>
      <c r="O18" s="143"/>
      <c r="P18" s="144"/>
    </row>
    <row r="19" spans="1:17" ht="16.5" thickBot="1">
      <c r="A19" s="37"/>
      <c r="B19" s="37"/>
      <c r="C19" s="37"/>
      <c r="D19" s="37"/>
      <c r="E19" s="55"/>
      <c r="F19" s="698" t="s">
        <v>604</v>
      </c>
      <c r="G19" s="712" t="s">
        <v>605</v>
      </c>
      <c r="H19" s="712" t="s">
        <v>606</v>
      </c>
      <c r="I19" s="86"/>
      <c r="J19" s="76"/>
      <c r="K19" s="76"/>
      <c r="L19" s="76"/>
      <c r="M19" s="341"/>
      <c r="N19" s="341"/>
      <c r="O19" s="341"/>
      <c r="P19" s="399"/>
    </row>
    <row r="20" spans="1:17" ht="32.25" customHeight="1" thickBot="1">
      <c r="A20" s="41">
        <v>1</v>
      </c>
      <c r="B20" s="37"/>
      <c r="C20" s="686" t="s">
        <v>599</v>
      </c>
      <c r="D20" s="37"/>
      <c r="E20" s="79"/>
      <c r="F20" s="442">
        <f>'ADJ DETAIL INPUT-Restated CB'!Y84</f>
        <v>-1109.9765324783045</v>
      </c>
      <c r="G20" s="687">
        <f>'ADJ DETAIL INPUT-Restated CB'!AD84-'ADJ DETAIL INPUT-Restated CB'!Z84</f>
        <v>0</v>
      </c>
      <c r="H20" s="691">
        <f>SUM(F20:G20)</f>
        <v>-1109.9765324783045</v>
      </c>
      <c r="J20" s="143"/>
      <c r="K20" s="90"/>
      <c r="L20" s="142"/>
      <c r="M20" s="142"/>
      <c r="N20" s="142"/>
      <c r="O20" s="336"/>
      <c r="P20" s="144"/>
      <c r="Q20" s="80"/>
    </row>
    <row r="21" spans="1:17" ht="15.75">
      <c r="A21" s="37"/>
      <c r="B21" s="37"/>
      <c r="C21" s="37"/>
      <c r="D21" s="37"/>
      <c r="E21" s="79"/>
      <c r="F21" s="37"/>
      <c r="G21" s="690"/>
      <c r="H21" s="427"/>
      <c r="I21" s="388"/>
      <c r="J21" s="143"/>
      <c r="K21" s="90"/>
      <c r="L21" s="142"/>
      <c r="M21" s="142"/>
      <c r="N21" s="142"/>
      <c r="O21" s="142"/>
      <c r="P21" s="144"/>
      <c r="Q21" s="80"/>
    </row>
    <row r="22" spans="1:17" ht="15.75">
      <c r="A22" s="41">
        <v>2</v>
      </c>
      <c r="B22" s="37"/>
      <c r="C22" s="334" t="s">
        <v>429</v>
      </c>
      <c r="D22" s="37"/>
      <c r="E22" s="37"/>
      <c r="F22" s="262" t="e">
        <f>#REF!+#REF!</f>
        <v>#REF!</v>
      </c>
      <c r="G22" s="688" t="e">
        <f>F22</f>
        <v>#REF!</v>
      </c>
      <c r="H22" s="689" t="e">
        <f>F22</f>
        <v>#REF!</v>
      </c>
      <c r="I22"/>
      <c r="J22"/>
      <c r="K22"/>
      <c r="L22"/>
      <c r="M22"/>
      <c r="N22"/>
      <c r="O22" s="142"/>
      <c r="P22" s="144"/>
      <c r="Q22" s="80"/>
    </row>
    <row r="23" spans="1:17">
      <c r="A23" s="37"/>
      <c r="B23" s="37"/>
      <c r="C23" s="37"/>
      <c r="D23" s="37"/>
      <c r="E23" s="37"/>
      <c r="F23" s="37"/>
      <c r="G23" s="78"/>
      <c r="H23" s="78"/>
      <c r="I23"/>
      <c r="J23"/>
      <c r="K23"/>
      <c r="L23"/>
      <c r="M23"/>
      <c r="N23"/>
      <c r="O23"/>
      <c r="P23"/>
    </row>
    <row r="24" spans="1:17" ht="13.5" thickBot="1">
      <c r="A24" s="41">
        <v>3</v>
      </c>
      <c r="B24" s="37"/>
      <c r="C24" s="334" t="s">
        <v>432</v>
      </c>
      <c r="D24" s="37"/>
      <c r="E24" s="37"/>
      <c r="F24" s="276" t="e">
        <f>ROUND(F20/F22,4)</f>
        <v>#REF!</v>
      </c>
      <c r="G24" s="276" t="e">
        <f>ROUND(G20/G22,4)</f>
        <v>#REF!</v>
      </c>
      <c r="H24" s="276" t="e">
        <f>ROUND(H20/H22,4)</f>
        <v>#REF!</v>
      </c>
      <c r="I24"/>
      <c r="J24"/>
      <c r="K24"/>
      <c r="L24"/>
      <c r="M24"/>
      <c r="N24"/>
      <c r="O24"/>
      <c r="P24"/>
    </row>
    <row r="25" spans="1:17" ht="13.5" thickTop="1">
      <c r="B25" s="37"/>
      <c r="C25" s="54"/>
      <c r="D25" s="54"/>
      <c r="E25" s="54"/>
      <c r="F25" s="54"/>
      <c r="G25" s="78"/>
      <c r="H25" s="78"/>
      <c r="L25"/>
      <c r="M25"/>
      <c r="N25"/>
      <c r="O25"/>
      <c r="P25"/>
    </row>
    <row r="26" spans="1:17">
      <c r="A26" s="423">
        <v>4</v>
      </c>
      <c r="C26" s="388" t="s">
        <v>430</v>
      </c>
      <c r="F26" s="425">
        <v>152089</v>
      </c>
      <c r="G26" s="425">
        <v>152089</v>
      </c>
      <c r="H26" s="425">
        <v>152089</v>
      </c>
      <c r="I26" s="899"/>
      <c r="J26" s="909"/>
      <c r="K26" s="909"/>
      <c r="L26"/>
      <c r="M26"/>
      <c r="N26"/>
      <c r="O26"/>
      <c r="P26"/>
    </row>
    <row r="27" spans="1:17">
      <c r="G27" s="388"/>
      <c r="H27" s="388"/>
      <c r="I27"/>
      <c r="J27"/>
      <c r="K27"/>
      <c r="L27"/>
      <c r="M27"/>
      <c r="N27"/>
      <c r="O27"/>
      <c r="P27"/>
    </row>
    <row r="28" spans="1:17" ht="13.5" thickBot="1">
      <c r="A28" s="423">
        <v>5</v>
      </c>
      <c r="C28" s="388" t="s">
        <v>431</v>
      </c>
      <c r="F28" s="276">
        <f>F20/F26</f>
        <v>-7.298203896917624E-3</v>
      </c>
      <c r="G28" s="276">
        <f>G20/G26</f>
        <v>0</v>
      </c>
      <c r="H28" s="276">
        <f>H20/H26</f>
        <v>-7.298203896917624E-3</v>
      </c>
      <c r="I28"/>
      <c r="J28" s="78"/>
      <c r="K28" s="78"/>
      <c r="L28" s="78"/>
      <c r="M28" s="78"/>
      <c r="N28" s="78"/>
      <c r="O28"/>
      <c r="P28"/>
    </row>
    <row r="29" spans="1:17" ht="13.5" thickTop="1">
      <c r="A29" s="334" t="s">
        <v>407</v>
      </c>
      <c r="G29" s="78"/>
      <c r="H29" s="78"/>
      <c r="I29"/>
      <c r="J29" s="78"/>
      <c r="K29" s="78"/>
      <c r="L29" s="78"/>
      <c r="M29" s="78"/>
      <c r="N29" s="78"/>
      <c r="O29" s="391"/>
      <c r="P29" s="78"/>
    </row>
    <row r="30" spans="1:17">
      <c r="A30" s="334"/>
      <c r="B30" s="388"/>
      <c r="C30" s="388"/>
      <c r="D30" s="388"/>
      <c r="E30" s="388"/>
      <c r="F30" s="388"/>
      <c r="G30" s="78"/>
      <c r="H30" s="78"/>
      <c r="I30" s="78"/>
      <c r="J30" s="78"/>
      <c r="K30" s="78"/>
      <c r="L30" s="78"/>
      <c r="M30" s="78"/>
      <c r="N30" s="78"/>
      <c r="O30" s="391"/>
      <c r="P30" s="78"/>
    </row>
    <row r="31" spans="1:17" ht="13.5" thickBot="1">
      <c r="A31" s="699">
        <v>6</v>
      </c>
      <c r="F31" s="78"/>
      <c r="G31" s="695" t="s">
        <v>636</v>
      </c>
      <c r="H31" s="693">
        <f>'ADJ DETAIL INPUT-Restated CB'!AE84</f>
        <v>0</v>
      </c>
      <c r="I31" s="78"/>
      <c r="Q31" s="75"/>
    </row>
    <row r="32" spans="1:17" ht="13.5" thickTop="1">
      <c r="A32" s="699">
        <v>7</v>
      </c>
      <c r="B32" s="388"/>
      <c r="C32" s="388"/>
      <c r="D32" s="388"/>
      <c r="E32" s="388"/>
      <c r="F32" s="391"/>
      <c r="G32" s="692" t="s">
        <v>431</v>
      </c>
      <c r="H32" s="694">
        <f>H31/(H26+H20)</f>
        <v>0</v>
      </c>
      <c r="I32" s="391"/>
      <c r="J32" s="388"/>
      <c r="K32" s="388"/>
      <c r="L32" s="388"/>
      <c r="M32" s="388"/>
      <c r="N32" s="388"/>
      <c r="P32" s="388"/>
      <c r="Q32" s="75"/>
    </row>
    <row r="33" spans="1:17">
      <c r="A33" s="699"/>
      <c r="F33" s="78"/>
      <c r="G33" s="78"/>
      <c r="H33" s="78"/>
      <c r="Q33" s="75"/>
    </row>
    <row r="34" spans="1:17" ht="13.5" thickBot="1">
      <c r="A34" s="699">
        <v>8</v>
      </c>
      <c r="F34" s="78"/>
      <c r="G34" s="695" t="s">
        <v>637</v>
      </c>
      <c r="H34" s="693">
        <f>'ADJ DETAIL INPUT-Restated CB'!AF84</f>
        <v>0</v>
      </c>
    </row>
    <row r="35" spans="1:17" ht="13.5" thickTop="1">
      <c r="A35" s="699">
        <v>9</v>
      </c>
      <c r="F35" s="78"/>
      <c r="G35" s="692" t="s">
        <v>431</v>
      </c>
      <c r="H35" s="694">
        <f>H34/(H26+H20+H31)</f>
        <v>0</v>
      </c>
    </row>
    <row r="36" spans="1:17">
      <c r="F36" s="78"/>
    </row>
    <row r="37" spans="1:17">
      <c r="F37" s="78"/>
    </row>
    <row r="38" spans="1:17">
      <c r="F38" s="78"/>
    </row>
    <row r="39" spans="1:17">
      <c r="F39" s="78"/>
    </row>
    <row r="40" spans="1:17">
      <c r="F40" s="78"/>
    </row>
    <row r="41" spans="1:17">
      <c r="F41" s="78"/>
    </row>
    <row r="59" spans="28:28">
      <c r="AB59">
        <f>AB65</f>
        <v>0</v>
      </c>
    </row>
  </sheetData>
  <mergeCells count="12">
    <mergeCell ref="I26:K26"/>
    <mergeCell ref="J1:N1"/>
    <mergeCell ref="J2:N2"/>
    <mergeCell ref="J3:N3"/>
    <mergeCell ref="C16:D17"/>
    <mergeCell ref="A4:H4"/>
    <mergeCell ref="A5:H5"/>
    <mergeCell ref="A3:H3"/>
    <mergeCell ref="J4:N4"/>
    <mergeCell ref="F14:H14"/>
    <mergeCell ref="A6:H13"/>
    <mergeCell ref="F17:H17"/>
  </mergeCells>
  <phoneticPr fontId="0" type="noConversion"/>
  <pageMargins left="0.75" right="0.5" top="0.72" bottom="0.84" header="0.5" footer="0.5"/>
  <pageSetup orientation="portrait" r:id="rId1"/>
  <headerFooter scaleWithDoc="0" alignWithMargins="0">
    <oddHeader xml:space="preserve">&amp;LK-Factor Study
(Natural Gas)&amp;RExh. EMA-8
</oddHeader>
    <oddFooter>&amp;RPage &amp;P of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9"/>
  <sheetViews>
    <sheetView view="pageBreakPreview" zoomScale="115" zoomScaleNormal="100" zoomScaleSheetLayoutView="115" workbookViewId="0">
      <selection activeCell="M38" sqref="M38"/>
    </sheetView>
  </sheetViews>
  <sheetFormatPr defaultColWidth="11.42578125" defaultRowHeight="12.75"/>
  <cols>
    <col min="1" max="1" width="6.42578125" style="35" customWidth="1"/>
    <col min="2" max="2" width="12.5703125" style="207" customWidth="1"/>
    <col min="3" max="3" width="41.85546875" style="35" customWidth="1"/>
    <col min="4" max="4" width="11.42578125" style="35" customWidth="1"/>
    <col min="5" max="5" width="13.42578125" style="35" customWidth="1"/>
    <col min="6" max="6" width="9.5703125" style="277" customWidth="1"/>
    <col min="7" max="7" width="8.140625" style="420" customWidth="1"/>
    <col min="8" max="8" width="8.42578125" style="450" hidden="1" customWidth="1"/>
    <col min="9" max="9" width="9" style="35" customWidth="1"/>
    <col min="10" max="10" width="11.42578125" style="35" customWidth="1"/>
    <col min="11" max="16384" width="11.42578125" style="35"/>
  </cols>
  <sheetData>
    <row r="1" spans="1:13">
      <c r="A1" s="910" t="e">
        <f>#REF!</f>
        <v>#REF!</v>
      </c>
      <c r="B1" s="910"/>
      <c r="C1" s="910"/>
      <c r="D1" s="910"/>
      <c r="E1" s="910"/>
      <c r="F1" s="910"/>
      <c r="G1" s="419"/>
      <c r="I1" s="81"/>
      <c r="J1" s="43"/>
    </row>
    <row r="2" spans="1:13">
      <c r="A2" s="919" t="s">
        <v>61</v>
      </c>
      <c r="B2" s="919"/>
      <c r="C2" s="919"/>
      <c r="D2" s="919"/>
      <c r="E2" s="919"/>
      <c r="F2" s="919"/>
      <c r="I2" s="81"/>
      <c r="J2" s="42"/>
    </row>
    <row r="3" spans="1:13" s="42" customFormat="1">
      <c r="A3" s="918" t="s">
        <v>128</v>
      </c>
      <c r="B3" s="918"/>
      <c r="C3" s="918"/>
      <c r="D3" s="918"/>
      <c r="E3" s="918"/>
      <c r="F3" s="918"/>
      <c r="G3" s="421"/>
      <c r="H3" s="451"/>
      <c r="I3" s="44"/>
      <c r="J3" s="45"/>
    </row>
    <row r="4" spans="1:13" s="42" customFormat="1">
      <c r="A4" s="918"/>
      <c r="B4" s="918"/>
      <c r="C4" s="918"/>
      <c r="D4" s="918"/>
      <c r="E4" s="918"/>
      <c r="F4" s="918"/>
      <c r="G4" s="421"/>
      <c r="H4" s="451"/>
      <c r="I4" s="44"/>
      <c r="J4" s="45"/>
    </row>
    <row r="5" spans="1:13" s="42" customFormat="1">
      <c r="A5" s="35"/>
      <c r="B5" s="207"/>
      <c r="C5" s="35"/>
      <c r="D5" s="279"/>
      <c r="E5" s="279" t="s">
        <v>61</v>
      </c>
      <c r="F5" s="277"/>
      <c r="G5" s="421"/>
      <c r="H5" s="451"/>
      <c r="I5" s="44"/>
      <c r="J5" s="46"/>
    </row>
    <row r="6" spans="1:13">
      <c r="A6" s="279" t="s">
        <v>62</v>
      </c>
      <c r="B6" s="279" t="s">
        <v>201</v>
      </c>
      <c r="C6" s="279" t="s">
        <v>63</v>
      </c>
      <c r="D6" s="279" t="s">
        <v>64</v>
      </c>
      <c r="E6" s="279" t="s">
        <v>18</v>
      </c>
      <c r="F6" s="51" t="s">
        <v>65</v>
      </c>
      <c r="G6" s="422" t="s">
        <v>151</v>
      </c>
      <c r="H6" s="452" t="s">
        <v>152</v>
      </c>
      <c r="I6" s="274" t="s">
        <v>385</v>
      </c>
      <c r="J6" s="278"/>
    </row>
    <row r="7" spans="1:13">
      <c r="A7" s="392" t="s">
        <v>422</v>
      </c>
      <c r="B7" s="278"/>
      <c r="C7" s="278"/>
      <c r="D7" s="278"/>
      <c r="E7" s="278"/>
      <c r="F7" s="278"/>
      <c r="G7" s="421"/>
      <c r="H7" s="451"/>
      <c r="I7" s="42"/>
      <c r="J7" s="278"/>
    </row>
    <row r="8" spans="1:13">
      <c r="A8" s="326">
        <f>'ADJ DETAIL INPUT-Restated CB'!E$11</f>
        <v>1</v>
      </c>
      <c r="B8" s="209" t="str">
        <f>'ADJ DETAIL INPUT-Restated CB'!E$12</f>
        <v>G-ROO</v>
      </c>
      <c r="C8" s="47" t="str">
        <f>TRIM(CONCATENATE('ADJ DETAIL INPUT-Restated CB'!E$8," ",'ADJ DETAIL INPUT-Restated CB'!E$9," ",'ADJ DETAIL INPUT-Restated CB'!E$10))</f>
        <v>Per Results Report</v>
      </c>
      <c r="D8" s="781">
        <f>'ADJ DETAIL INPUT-Restated CB'!E59</f>
        <v>23458</v>
      </c>
      <c r="E8" s="781">
        <f>'ADJ DETAIL INPUT-Restated CB'!E82</f>
        <v>287787</v>
      </c>
      <c r="G8" s="420" t="s">
        <v>117</v>
      </c>
      <c r="I8" s="445" t="s">
        <v>113</v>
      </c>
      <c r="J8" s="77"/>
      <c r="K8" s="391"/>
      <c r="L8" s="391"/>
      <c r="M8" s="391"/>
    </row>
    <row r="9" spans="1:13">
      <c r="A9" s="326">
        <f>'ADJ DETAIL INPUT-Restated CB'!F$11</f>
        <v>1.01</v>
      </c>
      <c r="B9" s="209" t="str">
        <f>'ADJ DETAIL INPUT-Restated CB'!F$12</f>
        <v>G-DFIT</v>
      </c>
      <c r="C9" s="47" t="str">
        <f>TRIM(CONCATENATE('ADJ DETAIL INPUT-Restated CB'!F$8," ",'ADJ DETAIL INPUT-Restated CB'!F$9," ",'ADJ DETAIL INPUT-Restated CB'!F$10))</f>
        <v>Deferred FIT Rate Base</v>
      </c>
      <c r="D9" s="107">
        <f>'ADJ DETAIL INPUT-Restated CB'!F$59</f>
        <v>-3.1963749999999997</v>
      </c>
      <c r="E9" s="107">
        <f>'ADJ DETAIL INPUT-Restated CB'!F$82</f>
        <v>-325</v>
      </c>
      <c r="G9" s="420" t="s">
        <v>416</v>
      </c>
      <c r="I9" s="445" t="s">
        <v>113</v>
      </c>
      <c r="J9" s="77"/>
      <c r="K9" s="391"/>
      <c r="L9" s="391"/>
      <c r="M9" s="391"/>
    </row>
    <row r="10" spans="1:13">
      <c r="A10" s="326">
        <f>'ADJ DETAIL INPUT-Restated CB'!G$11</f>
        <v>1.02</v>
      </c>
      <c r="B10" s="209" t="str">
        <f>'ADJ DETAIL INPUT-Restated CB'!G$12</f>
        <v>G-DDC</v>
      </c>
      <c r="C10" s="47" t="str">
        <f>TRIM(CONCATENATE('ADJ DETAIL INPUT-Restated CB'!G$8," ",'ADJ DETAIL INPUT-Restated CB'!G$9," ",'ADJ DETAIL INPUT-Restated CB'!G$10))</f>
        <v>Deferred Debits and Credits</v>
      </c>
      <c r="D10" s="107">
        <f>'ADJ DETAIL INPUT-Restated CB'!G$59</f>
        <v>-1.3</v>
      </c>
      <c r="E10" s="107">
        <f>'ADJ DETAIL INPUT-Restated CB'!G$82</f>
        <v>0</v>
      </c>
      <c r="G10" s="420" t="s">
        <v>434</v>
      </c>
      <c r="I10" s="445" t="s">
        <v>113</v>
      </c>
      <c r="J10" s="77"/>
      <c r="K10" s="391"/>
      <c r="L10" s="391"/>
      <c r="M10" s="391"/>
    </row>
    <row r="11" spans="1:13">
      <c r="A11" s="326">
        <f>'ADJ DETAIL INPUT-Restated CB'!H$11</f>
        <v>1.03</v>
      </c>
      <c r="B11" s="209" t="str">
        <f>'ADJ DETAIL INPUT-Restated CB'!H$12</f>
        <v>G-WC</v>
      </c>
      <c r="C11" s="47" t="str">
        <f>TRIM(CONCATENATE('ADJ DETAIL INPUT-Restated CB'!H$8," ",'ADJ DETAIL INPUT-Restated CB'!H$9," ",'ADJ DETAIL INPUT-Restated CB'!H$10))</f>
        <v>Working Capital</v>
      </c>
      <c r="D11" s="107">
        <f>'ADJ DETAIL INPUT-Restated CB'!H$59</f>
        <v>-8.4974399999999992</v>
      </c>
      <c r="E11" s="107">
        <f>'ADJ DETAIL INPUT-Restated CB'!H$82</f>
        <v>-864</v>
      </c>
      <c r="G11" s="420" t="s">
        <v>117</v>
      </c>
      <c r="I11" s="445" t="s">
        <v>113</v>
      </c>
      <c r="J11" s="45"/>
    </row>
    <row r="12" spans="1:13">
      <c r="A12" s="326">
        <f>'ADJ DETAIL INPUT-Restated CB'!I$11</f>
        <v>2.0099999999999998</v>
      </c>
      <c r="B12" s="209" t="str">
        <f>'ADJ DETAIL INPUT-Restated CB'!I$12</f>
        <v>G-EBO</v>
      </c>
      <c r="C12" s="47" t="str">
        <f>TRIM(CONCATENATE('ADJ DETAIL INPUT-Restated CB'!I$8," ",'ADJ DETAIL INPUT-Restated CB'!I$9," ",'ADJ DETAIL INPUT-Restated CB'!I$10))</f>
        <v>Eliminate B &amp; O Taxes</v>
      </c>
      <c r="D12" s="107">
        <f>'ADJ DETAIL INPUT-Restated CB'!I$59</f>
        <v>-20.8</v>
      </c>
      <c r="E12" s="107">
        <f>'ADJ DETAIL INPUT-Restated CB'!I$82</f>
        <v>0</v>
      </c>
      <c r="G12" s="420" t="s">
        <v>416</v>
      </c>
      <c r="I12" s="445" t="s">
        <v>113</v>
      </c>
      <c r="J12" s="45"/>
    </row>
    <row r="13" spans="1:13">
      <c r="A13" s="326">
        <f>'ADJ DETAIL INPUT-Restated CB'!J$11</f>
        <v>2.0199999999999996</v>
      </c>
      <c r="B13" s="209" t="str">
        <f>'ADJ DETAIL INPUT-Restated CB'!J$12</f>
        <v>G-RPT</v>
      </c>
      <c r="C13" s="47" t="str">
        <f>TRIM(CONCATENATE('ADJ DETAIL INPUT-Restated CB'!J$8," ",'ADJ DETAIL INPUT-Restated CB'!J$9," ",'ADJ DETAIL INPUT-Restated CB'!J$10))</f>
        <v>Restate Property Tax</v>
      </c>
      <c r="D13" s="107">
        <f>'ADJ DETAIL INPUT-Restated CB'!J$59</f>
        <v>-243.75</v>
      </c>
      <c r="E13" s="107">
        <f>'ADJ DETAIL INPUT-Restated CB'!J$82</f>
        <v>0</v>
      </c>
      <c r="G13" s="420" t="s">
        <v>117</v>
      </c>
      <c r="I13" s="445" t="s">
        <v>113</v>
      </c>
      <c r="J13" s="45"/>
    </row>
    <row r="14" spans="1:13">
      <c r="A14" s="326">
        <f>'ADJ DETAIL INPUT-Restated CB'!K$11</f>
        <v>2.0299999999999994</v>
      </c>
      <c r="B14" s="209" t="str">
        <f>'ADJ DETAIL INPUT-Restated CB'!K$12</f>
        <v>G-UE</v>
      </c>
      <c r="C14" s="47" t="str">
        <f>TRIM(CONCATENATE('ADJ DETAIL INPUT-Restated CB'!K$8," ",'ADJ DETAIL INPUT-Restated CB'!K$9," ",'ADJ DETAIL INPUT-Restated CB'!K$10))</f>
        <v>Uncollectible Expense</v>
      </c>
      <c r="D14" s="107">
        <f>'ADJ DETAIL INPUT-Restated CB'!K$59</f>
        <v>383.5</v>
      </c>
      <c r="E14" s="107">
        <f>'ADJ DETAIL INPUT-Restated CB'!K$82</f>
        <v>0</v>
      </c>
      <c r="G14" s="420" t="s">
        <v>403</v>
      </c>
      <c r="I14" s="445" t="s">
        <v>113</v>
      </c>
      <c r="J14" s="45"/>
    </row>
    <row r="15" spans="1:13">
      <c r="A15" s="326">
        <f>'ADJ DETAIL INPUT-Restated CB'!L$11</f>
        <v>2.0399999999999991</v>
      </c>
      <c r="B15" s="209" t="str">
        <f>'ADJ DETAIL INPUT-Restated CB'!L$12</f>
        <v>G-RE</v>
      </c>
      <c r="C15" s="47" t="str">
        <f>TRIM(CONCATENATE('ADJ DETAIL INPUT-Restated CB'!L$8," ",'ADJ DETAIL INPUT-Restated CB'!L$9," ",'ADJ DETAIL INPUT-Restated CB'!L$10))</f>
        <v>Regulatory Expense</v>
      </c>
      <c r="D15" s="107">
        <f>'ADJ DETAIL INPUT-Restated CB'!L$59</f>
        <v>1.9500000000000002</v>
      </c>
      <c r="E15" s="107">
        <f>'ADJ DETAIL INPUT-Restated CB'!L$82</f>
        <v>0</v>
      </c>
      <c r="G15" s="420" t="s">
        <v>434</v>
      </c>
      <c r="I15" s="445" t="s">
        <v>113</v>
      </c>
      <c r="J15" s="45"/>
    </row>
    <row r="16" spans="1:13">
      <c r="A16" s="326">
        <f>'ADJ DETAIL INPUT-Restated CB'!M$11</f>
        <v>2.0499999999999989</v>
      </c>
      <c r="B16" s="209" t="str">
        <f>'ADJ DETAIL INPUT-Restated CB'!M$12</f>
        <v>G-ID</v>
      </c>
      <c r="C16" s="47" t="str">
        <f>TRIM(CONCATENATE('ADJ DETAIL INPUT-Restated CB'!M$8," ",'ADJ DETAIL INPUT-Restated CB'!M$9," ",'ADJ DETAIL INPUT-Restated CB'!M$10))</f>
        <v>Injuries &amp; Damages</v>
      </c>
      <c r="D16" s="107">
        <f>'ADJ DETAIL INPUT-Restated CB'!M$59</f>
        <v>-49.400000000000006</v>
      </c>
      <c r="E16" s="107">
        <f>'ADJ DETAIL INPUT-Restated CB'!M$82</f>
        <v>0</v>
      </c>
      <c r="G16" s="420" t="s">
        <v>434</v>
      </c>
      <c r="I16" s="445" t="s">
        <v>113</v>
      </c>
      <c r="J16" s="45"/>
    </row>
    <row r="17" spans="1:11">
      <c r="A17" s="326">
        <f>'ADJ DETAIL INPUT-Restated CB'!N$11</f>
        <v>2.0599999999999987</v>
      </c>
      <c r="B17" s="209" t="str">
        <f>'ADJ DETAIL INPUT-Restated CB'!N$12</f>
        <v>G-FIT</v>
      </c>
      <c r="C17" s="47" t="str">
        <f>TRIM(CONCATENATE('ADJ DETAIL INPUT-Restated CB'!N$8," ",'ADJ DETAIL INPUT-Restated CB'!N$9," ",'ADJ DETAIL INPUT-Restated CB'!N$10))</f>
        <v>FIT / DFIT Expense</v>
      </c>
      <c r="D17" s="327">
        <f>'ADJ DETAIL INPUT-Restated CB'!N$59</f>
        <v>0</v>
      </c>
      <c r="E17" s="107">
        <f>'ADJ DETAIL INPUT-Restated CB'!N$82</f>
        <v>0</v>
      </c>
      <c r="G17" s="420" t="s">
        <v>416</v>
      </c>
      <c r="I17" s="445" t="s">
        <v>113</v>
      </c>
      <c r="J17" s="45"/>
    </row>
    <row r="18" spans="1:11">
      <c r="A18" s="326">
        <f>'ADJ DETAIL INPUT-Restated CB'!O$11</f>
        <v>2.0699999999999985</v>
      </c>
      <c r="B18" s="209" t="str">
        <f>'ADJ DETAIL INPUT-Restated CB'!O$12</f>
        <v>G-OSC</v>
      </c>
      <c r="C18" s="47" t="str">
        <f>TRIM(CONCATENATE('ADJ DETAIL INPUT-Restated CB'!O$8," ",'ADJ DETAIL INPUT-Restated CB'!O$9," ",'ADJ DETAIL INPUT-Restated CB'!O$10))</f>
        <v>Office Space Charges to Subs</v>
      </c>
      <c r="D18" s="107">
        <f>'ADJ DETAIL INPUT-Restated CB'!O$59</f>
        <v>5.85</v>
      </c>
      <c r="E18" s="107">
        <f>'ADJ DETAIL INPUT-Restated CB'!O$82</f>
        <v>0</v>
      </c>
      <c r="G18" s="420" t="s">
        <v>403</v>
      </c>
      <c r="I18" s="445" t="s">
        <v>113</v>
      </c>
      <c r="J18" s="45"/>
    </row>
    <row r="19" spans="1:11">
      <c r="A19" s="326">
        <f>'ADJ DETAIL INPUT-Restated CB'!P$11</f>
        <v>2.0799999999999983</v>
      </c>
      <c r="B19" s="209" t="str">
        <f>'ADJ DETAIL INPUT-Restated CB'!P$12</f>
        <v>G-RET</v>
      </c>
      <c r="C19" s="47" t="str">
        <f>TRIM(CONCATENATE('ADJ DETAIL INPUT-Restated CB'!P$8," ",'ADJ DETAIL INPUT-Restated CB'!P$9," ",'ADJ DETAIL INPUT-Restated CB'!P$10))</f>
        <v>Restate Excise Taxes</v>
      </c>
      <c r="D19" s="107">
        <f>'ADJ DETAIL INPUT-Restated CB'!P$59</f>
        <v>-1.3</v>
      </c>
      <c r="E19" s="107">
        <f>'ADJ DETAIL INPUT-Restated CB'!P$82</f>
        <v>0</v>
      </c>
      <c r="G19" s="420" t="s">
        <v>416</v>
      </c>
      <c r="I19" s="445" t="s">
        <v>113</v>
      </c>
      <c r="J19" s="45"/>
    </row>
    <row r="20" spans="1:11">
      <c r="A20" s="326">
        <f>'ADJ DETAIL INPUT-Restated CB'!Q$11</f>
        <v>2.0899999999999981</v>
      </c>
      <c r="B20" s="209" t="str">
        <f>'ADJ DETAIL INPUT-Restated CB'!Q$12</f>
        <v>G-NGL</v>
      </c>
      <c r="C20" s="47" t="str">
        <f>TRIM(CONCATENATE('ADJ DETAIL INPUT-Restated CB'!Q$8," ",'ADJ DETAIL INPUT-Restated CB'!Q$9," ",'ADJ DETAIL INPUT-Restated CB'!Q$10))</f>
        <v>Net Gains &amp; Losses</v>
      </c>
      <c r="D20" s="107">
        <f>'ADJ DETAIL INPUT-Restated CB'!Q$59</f>
        <v>8.4499999999999993</v>
      </c>
      <c r="E20" s="107">
        <f>'ADJ DETAIL INPUT-Restated CB'!Q$82</f>
        <v>0</v>
      </c>
      <c r="G20" s="420" t="s">
        <v>434</v>
      </c>
      <c r="I20" s="445" t="s">
        <v>113</v>
      </c>
      <c r="J20" s="45"/>
    </row>
    <row r="21" spans="1:11">
      <c r="A21" s="326">
        <f>'ADJ DETAIL INPUT-Restated CB'!R$11</f>
        <v>2.0999999999999979</v>
      </c>
      <c r="B21" s="209" t="str">
        <f>'ADJ DETAIL INPUT-Restated CB'!R$12</f>
        <v>G-WNGC</v>
      </c>
      <c r="C21" s="47" t="str">
        <f>TRIM(CONCATENATE('ADJ DETAIL INPUT-Restated CB'!R$8," ",'ADJ DETAIL INPUT-Restated CB'!R$9," ",'ADJ DETAIL INPUT-Restated CB'!R$10))</f>
        <v>Weather Normalization / Gas Cost Adjust</v>
      </c>
      <c r="D21" s="107">
        <f>'ADJ DETAIL INPUT-Restated CB'!R$59</f>
        <v>-2.6</v>
      </c>
      <c r="E21" s="107">
        <f>'ADJ DETAIL INPUT-Restated CB'!R$82</f>
        <v>0</v>
      </c>
      <c r="G21" s="420" t="s">
        <v>416</v>
      </c>
      <c r="I21" s="445" t="s">
        <v>113</v>
      </c>
      <c r="J21" s="45"/>
    </row>
    <row r="22" spans="1:11" s="335" customFormat="1">
      <c r="A22" s="345">
        <f>'ADJ DETAIL INPUT-Restated CB'!S$11</f>
        <v>2.1099999999999977</v>
      </c>
      <c r="B22" s="346" t="str">
        <f>'ADJ DETAIL INPUT-Restated CB'!S$12</f>
        <v>G-EAS</v>
      </c>
      <c r="C22" s="339" t="str">
        <f>TRIM(CONCATENATE('ADJ DETAIL INPUT-Restated CB'!S$8," ",'ADJ DETAIL INPUT-Restated CB'!S$9," ",'ADJ DETAIL INPUT-Restated CB'!S$10))</f>
        <v>Eliminate Adder Schedules</v>
      </c>
      <c r="D22" s="340">
        <f>'ADJ DETAIL INPUT-Restated CB'!S$59</f>
        <v>-310.05</v>
      </c>
      <c r="E22" s="340">
        <f>'ADJ DETAIL INPUT-Restated CB'!S$82</f>
        <v>0</v>
      </c>
      <c r="F22" s="337"/>
      <c r="G22" s="420" t="s">
        <v>434</v>
      </c>
      <c r="H22" s="453"/>
      <c r="I22" s="445" t="s">
        <v>113</v>
      </c>
      <c r="J22" s="338"/>
    </row>
    <row r="23" spans="1:11" s="78" customFormat="1">
      <c r="A23" s="326">
        <f>'ADJ DETAIL INPUT-Restated CB'!T$11</f>
        <v>2.1199999999999974</v>
      </c>
      <c r="B23" s="209" t="str">
        <f>'ADJ DETAIL INPUT-Restated CB'!T$12</f>
        <v>G-MR</v>
      </c>
      <c r="C23" s="328" t="str">
        <f>TRIM(CONCATENATE('ADJ DETAIL INPUT-Restated CB'!T$8," ",'ADJ DETAIL INPUT-Restated CB'!T$9," ",'ADJ DETAIL INPUT-Restated CB'!T$10))</f>
        <v>Misc. Restating Non-Util / Non- Recurring Expenses</v>
      </c>
      <c r="D23" s="327">
        <f>'ADJ DETAIL INPUT-Restated CB'!T$59</f>
        <v>204.75</v>
      </c>
      <c r="E23" s="327">
        <f>'ADJ DETAIL INPUT-Restated CB'!T$82</f>
        <v>0</v>
      </c>
      <c r="F23" s="49"/>
      <c r="G23" s="420" t="s">
        <v>434</v>
      </c>
      <c r="H23" s="450"/>
      <c r="I23" s="456" t="s">
        <v>113</v>
      </c>
      <c r="J23" s="77"/>
    </row>
    <row r="24" spans="1:11" ht="13.5" customHeight="1">
      <c r="A24" s="326">
        <f>'ADJ DETAIL INPUT-Restated CB'!U$11</f>
        <v>2.1299999999999972</v>
      </c>
      <c r="B24" s="209" t="str">
        <f>'ADJ DETAIL INPUT-Restated CB'!U$12</f>
        <v>G-CD</v>
      </c>
      <c r="C24" s="47" t="str">
        <f>TRIM(CONCATENATE('ADJ DETAIL INPUT-Restated CB'!U$8," ",'ADJ DETAIL INPUT-Restated CB'!U$9," ",'ADJ DETAIL INPUT-Restated CB'!U$10))</f>
        <v>Project Compass Deferral</v>
      </c>
      <c r="D24" s="107">
        <f>'ADJ DETAIL INPUT-Restated CB'!U$59</f>
        <v>-701.35</v>
      </c>
      <c r="E24" s="107">
        <f>'ADJ DETAIL INPUT-Restated CB'!U$82</f>
        <v>0</v>
      </c>
      <c r="G24" s="420" t="s">
        <v>113</v>
      </c>
      <c r="I24" s="445" t="s">
        <v>113</v>
      </c>
      <c r="J24" s="45"/>
    </row>
    <row r="25" spans="1:11" s="388" customFormat="1" ht="13.5" customHeight="1">
      <c r="A25" s="395">
        <f>'ADJ DETAIL INPUT-Restated CB'!V$11</f>
        <v>2.139999999999997</v>
      </c>
      <c r="B25" s="396" t="str">
        <f>'ADJ DETAIL INPUT-Restated CB'!V$12</f>
        <v>G-RI</v>
      </c>
      <c r="C25" s="339" t="str">
        <f>TRIM(CONCATENATE('ADJ DETAIL INPUT-Restated CB'!V$8," ",'ADJ DETAIL INPUT-Restated CB'!V$9," ",'ADJ DETAIL INPUT-Restated CB'!V$10))</f>
        <v>Restating Incentives</v>
      </c>
      <c r="D25" s="390">
        <f>'ADJ DETAIL INPUT-Restated CB'!V$59</f>
        <v>117.65</v>
      </c>
      <c r="E25" s="390">
        <f>'ADJ DETAIL INPUT-Restated CB'!V$82</f>
        <v>0</v>
      </c>
      <c r="F25" s="458"/>
      <c r="G25" s="420" t="s">
        <v>204</v>
      </c>
      <c r="H25" s="450"/>
      <c r="I25" s="464" t="s">
        <v>113</v>
      </c>
      <c r="J25" s="338"/>
    </row>
    <row r="26" spans="1:11" s="78" customFormat="1" ht="13.5" customHeight="1">
      <c r="A26" s="326">
        <f>'ADJ DETAIL INPUT-Restated CB'!W$11</f>
        <v>2.1499999999999968</v>
      </c>
      <c r="B26" s="209" t="str">
        <f>'ADJ DETAIL INPUT-Restated CB'!W$12</f>
        <v>G-DI</v>
      </c>
      <c r="C26" s="328" t="str">
        <f>TRIM(CONCATENATE('ADJ DETAIL INPUT-Restated CB'!W$8," ",'ADJ DETAIL INPUT-Restated CB'!W$9," ",'ADJ DETAIL INPUT-Restated CB'!W$10))</f>
        <v>Restate Debt Interest</v>
      </c>
      <c r="D26" s="327">
        <f>'ADJ DETAIL INPUT-Restated CB'!W$59</f>
        <v>91</v>
      </c>
      <c r="E26" s="327">
        <f>'ADJ DETAIL INPUT-Restated CB'!W$82</f>
        <v>0</v>
      </c>
      <c r="F26" s="49"/>
      <c r="G26" s="420" t="s">
        <v>113</v>
      </c>
      <c r="H26" s="450"/>
      <c r="I26" s="464" t="s">
        <v>113</v>
      </c>
    </row>
    <row r="27" spans="1:11" ht="13.5" customHeight="1">
      <c r="A27" s="326"/>
      <c r="B27" s="209"/>
      <c r="C27" s="47"/>
      <c r="D27" s="107"/>
      <c r="E27" s="107"/>
      <c r="I27" s="42"/>
      <c r="J27" s="45"/>
    </row>
    <row r="28" spans="1:11" ht="13.5" thickBot="1">
      <c r="A28" s="147"/>
      <c r="B28" s="208"/>
      <c r="C28" s="35" t="s">
        <v>66</v>
      </c>
      <c r="D28" s="50">
        <f>SUM(D8:D27)</f>
        <v>22928.906185000007</v>
      </c>
      <c r="E28" s="50">
        <f>SUM(E8:E27)</f>
        <v>286598</v>
      </c>
      <c r="F28" s="435"/>
      <c r="H28" s="451"/>
      <c r="I28" s="42"/>
      <c r="J28" s="45"/>
    </row>
    <row r="29" spans="1:11" ht="13.5" customHeight="1" thickTop="1">
      <c r="A29" s="106" t="s">
        <v>398</v>
      </c>
      <c r="B29" s="209"/>
      <c r="D29" s="47"/>
      <c r="H29" s="451"/>
      <c r="I29" s="42"/>
      <c r="J29" s="45"/>
    </row>
    <row r="30" spans="1:11" s="388" customFormat="1">
      <c r="A30" s="395"/>
      <c r="B30" s="396"/>
      <c r="C30" s="393"/>
      <c r="D30" s="390">
        <v>0</v>
      </c>
      <c r="E30" s="390">
        <v>0</v>
      </c>
      <c r="F30" s="389"/>
      <c r="G30" s="458" t="s">
        <v>113</v>
      </c>
      <c r="H30" s="450"/>
      <c r="J30" s="77"/>
      <c r="K30" s="391"/>
    </row>
    <row r="31" spans="1:11">
      <c r="A31" s="326"/>
      <c r="B31" s="209"/>
      <c r="C31" s="47"/>
      <c r="D31" s="107">
        <v>0</v>
      </c>
      <c r="E31" s="107">
        <v>0</v>
      </c>
      <c r="G31" s="461" t="s">
        <v>204</v>
      </c>
      <c r="I31" s="388"/>
      <c r="J31" s="45"/>
    </row>
    <row r="32" spans="1:11" ht="13.5" customHeight="1">
      <c r="A32" s="326"/>
      <c r="B32" s="209"/>
      <c r="C32" s="47"/>
      <c r="D32" s="107">
        <v>0</v>
      </c>
      <c r="E32" s="107">
        <v>0</v>
      </c>
      <c r="G32" s="459" t="s">
        <v>204</v>
      </c>
      <c r="I32" s="388"/>
      <c r="J32" s="45"/>
    </row>
    <row r="33" spans="1:11">
      <c r="A33" s="326"/>
      <c r="B33" s="209"/>
      <c r="C33" s="47"/>
      <c r="D33" s="107">
        <v>0</v>
      </c>
      <c r="E33" s="107">
        <v>0</v>
      </c>
      <c r="G33" s="461" t="s">
        <v>204</v>
      </c>
      <c r="I33" s="388"/>
      <c r="J33" s="45"/>
    </row>
    <row r="34" spans="1:11" s="78" customFormat="1" ht="14.25" customHeight="1">
      <c r="A34" s="326"/>
      <c r="B34" s="209"/>
      <c r="C34" s="328"/>
      <c r="D34" s="327">
        <v>0</v>
      </c>
      <c r="E34" s="327">
        <v>0</v>
      </c>
      <c r="F34" s="49"/>
      <c r="G34" s="420" t="s">
        <v>204</v>
      </c>
      <c r="H34" s="450"/>
      <c r="I34" s="388"/>
      <c r="J34" s="77"/>
    </row>
    <row r="35" spans="1:11">
      <c r="A35" s="326"/>
      <c r="B35" s="209"/>
      <c r="C35" s="47"/>
      <c r="D35" s="107">
        <v>0</v>
      </c>
      <c r="E35" s="107">
        <v>0</v>
      </c>
      <c r="G35" s="420" t="s">
        <v>117</v>
      </c>
      <c r="I35" s="388"/>
      <c r="J35" s="77"/>
      <c r="K35" s="78"/>
    </row>
    <row r="36" spans="1:11" s="388" customFormat="1">
      <c r="A36" s="395"/>
      <c r="B36" s="396"/>
      <c r="C36" s="393"/>
      <c r="D36" s="390">
        <v>0</v>
      </c>
      <c r="E36" s="390">
        <v>0</v>
      </c>
      <c r="F36" s="389"/>
      <c r="G36" s="457" t="s">
        <v>435</v>
      </c>
      <c r="H36" s="450"/>
      <c r="J36" s="77"/>
      <c r="K36" s="391"/>
    </row>
    <row r="37" spans="1:11" s="335" customFormat="1">
      <c r="A37" s="345"/>
      <c r="B37" s="346"/>
      <c r="C37" s="343"/>
      <c r="D37" s="340">
        <v>0</v>
      </c>
      <c r="E37" s="340">
        <v>0</v>
      </c>
      <c r="F37" s="460"/>
      <c r="G37" s="457" t="s">
        <v>148</v>
      </c>
      <c r="H37" s="450"/>
      <c r="J37" s="388"/>
      <c r="K37" s="342"/>
    </row>
    <row r="38" spans="1:11" s="388" customFormat="1">
      <c r="A38" s="395"/>
      <c r="B38" s="396"/>
      <c r="C38" s="393"/>
      <c r="D38" s="390">
        <v>0</v>
      </c>
      <c r="E38" s="390">
        <v>0</v>
      </c>
      <c r="F38" s="389"/>
      <c r="G38" s="457" t="s">
        <v>435</v>
      </c>
      <c r="H38" s="450"/>
      <c r="K38" s="391"/>
    </row>
    <row r="39" spans="1:11" s="388" customFormat="1">
      <c r="A39" s="395"/>
      <c r="B39" s="396"/>
      <c r="C39" s="393"/>
      <c r="D39" s="390">
        <v>0</v>
      </c>
      <c r="E39" s="390">
        <v>0</v>
      </c>
      <c r="F39" s="389"/>
      <c r="G39" s="460" t="s">
        <v>143</v>
      </c>
      <c r="H39" s="450"/>
      <c r="J39" s="77"/>
      <c r="K39" s="391"/>
    </row>
    <row r="40" spans="1:11" s="388" customFormat="1">
      <c r="A40" s="395"/>
      <c r="B40" s="396"/>
      <c r="C40" s="393"/>
      <c r="D40" s="390">
        <v>0</v>
      </c>
      <c r="E40" s="390">
        <v>0</v>
      </c>
      <c r="F40" s="389"/>
      <c r="G40" s="460" t="s">
        <v>402</v>
      </c>
      <c r="H40" s="450"/>
      <c r="J40" s="77"/>
      <c r="K40" s="391"/>
    </row>
    <row r="41" spans="1:11" s="388" customFormat="1">
      <c r="A41" s="395"/>
      <c r="B41" s="396"/>
      <c r="C41" s="393"/>
      <c r="D41" s="390">
        <v>0</v>
      </c>
      <c r="E41" s="390">
        <v>0</v>
      </c>
      <c r="F41" s="461"/>
      <c r="G41" s="461" t="s">
        <v>113</v>
      </c>
      <c r="H41" s="450"/>
      <c r="J41" s="77"/>
      <c r="K41" s="391"/>
    </row>
    <row r="42" spans="1:11" s="388" customFormat="1">
      <c r="A42" s="395"/>
      <c r="B42" s="396"/>
      <c r="C42" s="393"/>
      <c r="D42" s="390">
        <v>0</v>
      </c>
      <c r="E42" s="390">
        <v>0</v>
      </c>
      <c r="F42" s="430"/>
      <c r="G42" s="420" t="s">
        <v>416</v>
      </c>
      <c r="H42" s="450"/>
      <c r="J42" s="77"/>
      <c r="K42" s="391"/>
    </row>
    <row r="43" spans="1:11" s="388" customFormat="1" ht="13.5" thickBot="1">
      <c r="A43" s="395"/>
      <c r="B43" s="396"/>
      <c r="C43" s="388" t="s">
        <v>115</v>
      </c>
      <c r="D43" s="50"/>
      <c r="E43" s="50"/>
      <c r="F43" s="435"/>
      <c r="G43" s="420"/>
      <c r="H43" s="450"/>
      <c r="J43" s="77"/>
      <c r="K43" s="391"/>
    </row>
    <row r="44" spans="1:11" ht="12.75" customHeight="1" thickTop="1">
      <c r="A44" s="277"/>
      <c r="B44" s="35" t="s">
        <v>126</v>
      </c>
      <c r="D44" s="47"/>
      <c r="G44" s="420" t="s">
        <v>403</v>
      </c>
      <c r="I44" s="388"/>
      <c r="J44" s="45"/>
    </row>
    <row r="45" spans="1:11" s="388" customFormat="1" ht="13.5" thickBot="1">
      <c r="A45" s="436"/>
      <c r="B45" s="437"/>
      <c r="C45" s="438"/>
      <c r="D45" s="439"/>
      <c r="E45" s="439"/>
      <c r="F45" s="440"/>
      <c r="G45" s="441"/>
      <c r="H45" s="454"/>
      <c r="J45" s="77"/>
      <c r="K45" s="391"/>
    </row>
    <row r="46" spans="1:11" ht="12.75" customHeight="1"/>
    <row r="47" spans="1:11" ht="12.75" customHeight="1"/>
    <row r="48" spans="1:11" ht="12.75" customHeight="1"/>
    <row r="49" ht="12.75" customHeight="1"/>
  </sheetData>
  <customSheetViews>
    <customSheetView guid="{A15D1964-B049-11D2-8670-0000832CEEE8}"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1"/>
      <headerFooter alignWithMargins="0"/>
    </customSheetView>
    <customSheetView guid="{5BE913A1-B14F-11D2-B0DC-0000832CDFF0}" scale="75" showPageBreaks="1" printArea="1" hiddenRows="1" showRuler="0" topLeftCell="A47">
      <selection activeCell="L71" sqref="L71"/>
      <rowBreaks count="1" manualBreakCount="1">
        <brk id="44" max="65535" man="1"/>
      </rowBreaks>
      <pageMargins left="0.75" right="0.75" top="1" bottom="1" header="0.5" footer="0.5"/>
      <pageSetup orientation="portrait" horizontalDpi="4294967292" verticalDpi="0" r:id="rId2"/>
      <headerFooter alignWithMargins="0"/>
    </customSheetView>
  </customSheetViews>
  <mergeCells count="4">
    <mergeCell ref="A4:F4"/>
    <mergeCell ref="A1:F1"/>
    <mergeCell ref="A2:F2"/>
    <mergeCell ref="A3:F3"/>
  </mergeCells>
  <phoneticPr fontId="0" type="noConversion"/>
  <pageMargins left="0.75" right="0.5" top="1" bottom="1" header="0.5" footer="0.5"/>
  <pageSetup scale="97" orientation="portrait" horizontalDpi="1200" verticalDpi="1200"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4:F25"/>
  <sheetViews>
    <sheetView workbookViewId="0">
      <selection activeCell="C20" sqref="C20"/>
    </sheetView>
  </sheetViews>
  <sheetFormatPr defaultRowHeight="12.75"/>
  <cols>
    <col min="2" max="2" width="37" customWidth="1"/>
    <col min="3" max="3" width="13.28515625" customWidth="1"/>
    <col min="4" max="4" width="13.5703125" customWidth="1"/>
    <col min="5" max="5" width="12" customWidth="1"/>
    <col min="6" max="6" width="13.42578125" customWidth="1"/>
  </cols>
  <sheetData>
    <row r="4" spans="2:6" ht="13.5" thickBot="1">
      <c r="C4" s="761"/>
      <c r="D4" s="761"/>
      <c r="E4" s="761"/>
      <c r="F4" s="762"/>
    </row>
    <row r="5" spans="2:6" ht="14.25">
      <c r="B5" s="763" t="s">
        <v>618</v>
      </c>
      <c r="C5" s="764" t="s">
        <v>604</v>
      </c>
      <c r="D5" s="764" t="s">
        <v>605</v>
      </c>
      <c r="E5" s="765" t="s">
        <v>606</v>
      </c>
      <c r="F5" s="762"/>
    </row>
    <row r="6" spans="2:6" ht="47.25">
      <c r="B6" s="766" t="s">
        <v>619</v>
      </c>
      <c r="C6" s="767" t="s">
        <v>620</v>
      </c>
      <c r="D6" s="767" t="s">
        <v>621</v>
      </c>
      <c r="E6" s="768" t="s">
        <v>622</v>
      </c>
    </row>
    <row r="7" spans="2:6" ht="15.75">
      <c r="B7" s="769" t="s">
        <v>37</v>
      </c>
      <c r="C7" s="770">
        <f>'Cost Trends'!T174</f>
        <v>3.6247919159297544E-2</v>
      </c>
      <c r="D7" s="770">
        <f>'Cost Trends'!M203</f>
        <v>0.42748917902802175</v>
      </c>
      <c r="E7" s="771">
        <f>C7*D7</f>
        <v>1.5495593202882208E-2</v>
      </c>
    </row>
    <row r="8" spans="2:6" ht="18.75">
      <c r="B8" s="769" t="s">
        <v>623</v>
      </c>
      <c r="C8" s="770">
        <f>'Cost Trends'!T177</f>
        <v>0.10932902836763629</v>
      </c>
      <c r="D8" s="770">
        <f>'Cost Trends'!M202</f>
        <v>0.20786722357200216</v>
      </c>
      <c r="E8" s="771">
        <f>C8*D8</f>
        <v>2.2725921582605221E-2</v>
      </c>
    </row>
    <row r="9" spans="2:6" ht="15.75">
      <c r="B9" s="769" t="s">
        <v>624</v>
      </c>
      <c r="C9" s="770">
        <f>'Cost Trends'!T179</f>
        <v>5.2079177998625686E-2</v>
      </c>
      <c r="D9" s="770">
        <f>'Cost Trends'!M204</f>
        <v>7.5673433694233849E-2</v>
      </c>
      <c r="E9" s="771">
        <f>C9*D9</f>
        <v>3.9410102231292035E-3</v>
      </c>
    </row>
    <row r="10" spans="2:6" ht="15.75">
      <c r="B10" s="772" t="s">
        <v>459</v>
      </c>
      <c r="C10" s="770">
        <f>'Cost Trends'!T181</f>
        <v>8.1666630068297622E-2</v>
      </c>
      <c r="D10" s="773">
        <f>'Cost Trends'!M205</f>
        <v>0.28897016370574224</v>
      </c>
      <c r="E10" s="771">
        <f>C10*D10</f>
        <v>2.3599219460132256E-2</v>
      </c>
    </row>
    <row r="11" spans="2:6" ht="15.75">
      <c r="B11" s="772" t="s">
        <v>625</v>
      </c>
      <c r="C11" s="774"/>
      <c r="D11" s="775">
        <f>SUM(D7:D10)</f>
        <v>1</v>
      </c>
      <c r="E11" s="776">
        <v>-8.3999999999999995E-3</v>
      </c>
    </row>
    <row r="12" spans="2:6" ht="16.5" thickBot="1">
      <c r="B12" s="777" t="s">
        <v>626</v>
      </c>
      <c r="C12" s="778"/>
      <c r="D12" s="778"/>
      <c r="E12" s="779">
        <f>SUM(E7:E11)-0.0001</f>
        <v>5.7261744468748883E-2</v>
      </c>
    </row>
    <row r="13" spans="2:6" ht="29.25" customHeight="1" thickBot="1">
      <c r="B13" s="920" t="s">
        <v>627</v>
      </c>
      <c r="C13" s="921"/>
      <c r="D13" s="921"/>
      <c r="E13" s="922"/>
    </row>
    <row r="14" spans="2:6" ht="37.5" customHeight="1" thickBot="1">
      <c r="B14" s="923" t="s">
        <v>628</v>
      </c>
      <c r="C14" s="921"/>
      <c r="D14" s="921"/>
      <c r="E14" s="922"/>
    </row>
    <row r="15" spans="2:6" ht="13.5" thickBot="1"/>
    <row r="16" spans="2:6" ht="14.25">
      <c r="B16" s="763" t="s">
        <v>629</v>
      </c>
      <c r="C16" s="764" t="s">
        <v>604</v>
      </c>
      <c r="D16" s="764" t="s">
        <v>605</v>
      </c>
      <c r="E16" s="764" t="s">
        <v>606</v>
      </c>
      <c r="F16" s="765" t="s">
        <v>630</v>
      </c>
    </row>
    <row r="17" spans="2:6" ht="47.25">
      <c r="B17" s="766" t="s">
        <v>619</v>
      </c>
      <c r="C17" s="767" t="s">
        <v>620</v>
      </c>
      <c r="D17" s="767" t="s">
        <v>631</v>
      </c>
      <c r="E17" s="767" t="s">
        <v>621</v>
      </c>
      <c r="F17" s="768" t="s">
        <v>622</v>
      </c>
    </row>
    <row r="18" spans="2:6" ht="15.75">
      <c r="B18" s="769" t="s">
        <v>632</v>
      </c>
      <c r="C18" s="770"/>
      <c r="D18" s="770">
        <f>'Cost Trends'!V174</f>
        <v>3.2623127243367786E-2</v>
      </c>
      <c r="E18" s="770">
        <f>D7</f>
        <v>0.42748917902802175</v>
      </c>
      <c r="F18" s="771">
        <f>E18*D18</f>
        <v>1.3946033882593986E-2</v>
      </c>
    </row>
    <row r="19" spans="2:6" ht="15.75">
      <c r="B19" s="769" t="s">
        <v>168</v>
      </c>
      <c r="C19" s="770">
        <f>'Cost Trends'!T177</f>
        <v>0.10932902836763629</v>
      </c>
      <c r="D19" s="770"/>
      <c r="E19" s="770">
        <f>D8</f>
        <v>0.20786722357200216</v>
      </c>
      <c r="F19" s="771">
        <f>E19*C19</f>
        <v>2.2725921582605221E-2</v>
      </c>
    </row>
    <row r="20" spans="2:6" ht="15.75">
      <c r="B20" s="769" t="s">
        <v>624</v>
      </c>
      <c r="C20" s="770">
        <f>'Cost Trends'!T179</f>
        <v>5.2079177998625686E-2</v>
      </c>
      <c r="D20" s="770"/>
      <c r="E20" s="770">
        <f>D9</f>
        <v>7.5673433694233849E-2</v>
      </c>
      <c r="F20" s="771">
        <f>E20*C20</f>
        <v>3.9410102231292035E-3</v>
      </c>
    </row>
    <row r="21" spans="2:6" ht="15.75">
      <c r="B21" s="772" t="s">
        <v>459</v>
      </c>
      <c r="C21" s="770"/>
      <c r="D21" s="770">
        <f>'Cost Trends'!V181</f>
        <v>6.5612931108465042E-2</v>
      </c>
      <c r="E21" s="773">
        <f>D10</f>
        <v>0.28897016370574224</v>
      </c>
      <c r="F21" s="771">
        <f>E21*D21</f>
        <v>1.896017944362673E-2</v>
      </c>
    </row>
    <row r="22" spans="2:6" ht="15.75">
      <c r="B22" s="772" t="s">
        <v>633</v>
      </c>
      <c r="C22" s="774"/>
      <c r="D22" s="780"/>
      <c r="E22" s="775">
        <f>SUM(E18:E21)</f>
        <v>1</v>
      </c>
      <c r="F22" s="776">
        <f>E11</f>
        <v>-8.3999999999999995E-3</v>
      </c>
    </row>
    <row r="23" spans="2:6" ht="16.5" thickBot="1">
      <c r="B23" s="777" t="s">
        <v>626</v>
      </c>
      <c r="C23" s="778"/>
      <c r="D23" s="778"/>
      <c r="E23" s="778"/>
      <c r="F23" s="779">
        <f>SUM(F18:F22)-0.0001</f>
        <v>5.1073145131955135E-2</v>
      </c>
    </row>
    <row r="24" spans="2:6" ht="15.75" customHeight="1" thickBot="1">
      <c r="B24" s="858" t="s">
        <v>634</v>
      </c>
      <c r="C24" s="859"/>
      <c r="D24" s="859"/>
      <c r="E24" s="859"/>
      <c r="F24" s="860"/>
    </row>
    <row r="25" spans="2:6" ht="29.25" customHeight="1" thickBot="1">
      <c r="B25" s="858" t="s">
        <v>635</v>
      </c>
      <c r="C25" s="859"/>
      <c r="D25" s="859"/>
      <c r="E25" s="859"/>
      <c r="F25" s="860"/>
    </row>
  </sheetData>
  <mergeCells count="4">
    <mergeCell ref="B13:E13"/>
    <mergeCell ref="B14:E14"/>
    <mergeCell ref="B24:F24"/>
    <mergeCell ref="B25: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J26"/>
  <sheetViews>
    <sheetView tabSelected="1" zoomScale="115" zoomScaleNormal="115" workbookViewId="0">
      <selection activeCell="F23" sqref="F23"/>
    </sheetView>
  </sheetViews>
  <sheetFormatPr defaultRowHeight="12.75"/>
  <cols>
    <col min="1" max="1" width="3.28515625" customWidth="1"/>
    <col min="2" max="2" width="66" customWidth="1"/>
    <col min="3" max="4" width="12.140625" customWidth="1"/>
    <col min="5" max="5" width="13.140625" customWidth="1"/>
    <col min="6" max="6" width="14.5703125" customWidth="1"/>
  </cols>
  <sheetData>
    <row r="1" spans="2:9" ht="15.75">
      <c r="B1" s="857" t="s">
        <v>647</v>
      </c>
      <c r="C1" s="857"/>
      <c r="D1" s="857"/>
      <c r="E1" s="857"/>
      <c r="F1" s="857"/>
    </row>
    <row r="2" spans="2:9" ht="15.75">
      <c r="B2" s="857" t="s">
        <v>640</v>
      </c>
      <c r="C2" s="857"/>
      <c r="D2" s="857"/>
      <c r="E2" s="857"/>
      <c r="F2" s="857"/>
    </row>
    <row r="3" spans="2:9" ht="14.25" customHeight="1" thickBot="1">
      <c r="B3" s="824" t="s">
        <v>663</v>
      </c>
    </row>
    <row r="4" spans="2:9" ht="15.75">
      <c r="B4" s="782" t="s">
        <v>649</v>
      </c>
      <c r="C4" s="764" t="s">
        <v>604</v>
      </c>
      <c r="D4" s="764" t="s">
        <v>605</v>
      </c>
      <c r="E4" s="764" t="s">
        <v>606</v>
      </c>
      <c r="F4" s="765" t="s">
        <v>630</v>
      </c>
    </row>
    <row r="5" spans="2:9" ht="47.25">
      <c r="B5" s="766" t="s">
        <v>619</v>
      </c>
      <c r="C5" s="767" t="s">
        <v>646</v>
      </c>
      <c r="D5" s="767" t="s">
        <v>650</v>
      </c>
      <c r="E5" s="767" t="s">
        <v>621</v>
      </c>
      <c r="F5" s="768" t="s">
        <v>652</v>
      </c>
    </row>
    <row r="6" spans="2:9" ht="15.75">
      <c r="B6" s="783" t="s">
        <v>643</v>
      </c>
      <c r="C6" s="784"/>
      <c r="D6" s="784">
        <v>2.0299999999999999E-2</v>
      </c>
      <c r="E6" s="784">
        <f>'Cost Trends'!M203</f>
        <v>0.42748917902802175</v>
      </c>
      <c r="F6" s="785">
        <f>E6*D6</f>
        <v>8.6780303342688415E-3</v>
      </c>
    </row>
    <row r="7" spans="2:9" ht="15.75">
      <c r="B7" s="769" t="s">
        <v>168</v>
      </c>
      <c r="C7" s="770">
        <f>'Cost Trends'!T177</f>
        <v>0.10932902836763629</v>
      </c>
      <c r="D7" s="770"/>
      <c r="E7" s="784">
        <f>'Cost Trends'!M202</f>
        <v>0.20786722357200216</v>
      </c>
      <c r="F7" s="771">
        <f>E7*C7</f>
        <v>2.2725921582605221E-2</v>
      </c>
    </row>
    <row r="8" spans="2:9" ht="15.75">
      <c r="B8" s="769" t="s">
        <v>624</v>
      </c>
      <c r="C8" s="770">
        <f>'Cost Trends'!T179</f>
        <v>5.2079177998625686E-2</v>
      </c>
      <c r="D8" s="770"/>
      <c r="E8" s="784">
        <f>'Cost Trends'!M204</f>
        <v>7.5673433694233849E-2</v>
      </c>
      <c r="F8" s="771">
        <f>E8*C8</f>
        <v>3.9410102231292035E-3</v>
      </c>
    </row>
    <row r="9" spans="2:9" ht="15.75">
      <c r="B9" s="786" t="s">
        <v>644</v>
      </c>
      <c r="C9" s="784"/>
      <c r="D9" s="848">
        <f>'Cost Trends'!V181</f>
        <v>6.5612931108465042E-2</v>
      </c>
      <c r="E9" s="787">
        <f>'Cost Trends'!M205</f>
        <v>0.28897016370574224</v>
      </c>
      <c r="F9" s="847">
        <f>E9*D9</f>
        <v>1.896017944362673E-2</v>
      </c>
      <c r="G9" s="855" t="s">
        <v>672</v>
      </c>
      <c r="H9" s="856"/>
      <c r="I9" s="856"/>
    </row>
    <row r="10" spans="2:9" ht="16.5" thickBot="1">
      <c r="B10" s="786" t="s">
        <v>642</v>
      </c>
      <c r="C10" s="788"/>
      <c r="D10" s="789"/>
      <c r="E10" s="791">
        <f>SUM(E6:E9)</f>
        <v>1</v>
      </c>
      <c r="F10" s="785">
        <f>'ADJ DETAIL INPUT-Restated CB'!AB65</f>
        <v>-8.7193831485412477E-3</v>
      </c>
      <c r="G10" s="855"/>
      <c r="H10" s="856"/>
      <c r="I10" s="856"/>
    </row>
    <row r="11" spans="2:9" ht="16.5" thickBot="1">
      <c r="B11" s="777" t="s">
        <v>665</v>
      </c>
      <c r="C11" s="778"/>
      <c r="D11" s="778"/>
      <c r="E11" s="778"/>
      <c r="F11" s="830">
        <f>SUM(F6:F10)-0.0001</f>
        <v>4.5485758435088744E-2</v>
      </c>
    </row>
    <row r="12" spans="2:9" ht="15.75" customHeight="1" thickBot="1">
      <c r="B12" s="864" t="s">
        <v>653</v>
      </c>
      <c r="C12" s="865"/>
      <c r="D12" s="865"/>
      <c r="E12" s="865"/>
      <c r="F12" s="866"/>
    </row>
    <row r="13" spans="2:9" ht="13.5" customHeight="1" thickBot="1">
      <c r="B13" s="858" t="s">
        <v>654</v>
      </c>
      <c r="C13" s="859"/>
      <c r="D13" s="859"/>
      <c r="E13" s="859"/>
      <c r="F13" s="860"/>
    </row>
    <row r="14" spans="2:9" ht="13.5" thickBot="1">
      <c r="B14" s="861" t="s">
        <v>655</v>
      </c>
      <c r="C14" s="862"/>
      <c r="D14" s="862"/>
      <c r="E14" s="862"/>
      <c r="F14" s="863"/>
    </row>
    <row r="15" spans="2:9" ht="13.5" thickBot="1"/>
    <row r="16" spans="2:9" ht="15.75">
      <c r="B16" s="782" t="s">
        <v>648</v>
      </c>
      <c r="C16" s="764" t="s">
        <v>604</v>
      </c>
      <c r="D16" s="764" t="s">
        <v>605</v>
      </c>
      <c r="E16" s="764" t="s">
        <v>606</v>
      </c>
      <c r="F16" s="765" t="s">
        <v>630</v>
      </c>
    </row>
    <row r="17" spans="2:10" ht="47.25">
      <c r="B17" s="766" t="s">
        <v>619</v>
      </c>
      <c r="C17" s="767" t="s">
        <v>651</v>
      </c>
      <c r="D17" s="767" t="s">
        <v>650</v>
      </c>
      <c r="E17" s="767" t="s">
        <v>621</v>
      </c>
      <c r="F17" s="768" t="s">
        <v>652</v>
      </c>
    </row>
    <row r="18" spans="2:10" ht="15.75">
      <c r="B18" s="783" t="s">
        <v>641</v>
      </c>
      <c r="C18" s="784"/>
      <c r="D18" s="784">
        <v>2.0299999999999999E-2</v>
      </c>
      <c r="E18" s="784">
        <f>E6</f>
        <v>0.42748917902802175</v>
      </c>
      <c r="F18" s="785">
        <f>E18*D18</f>
        <v>8.6780303342688415E-3</v>
      </c>
    </row>
    <row r="19" spans="2:10" ht="15.75">
      <c r="B19" s="769" t="s">
        <v>168</v>
      </c>
      <c r="C19" s="770">
        <v>6.1699999999999998E-2</v>
      </c>
      <c r="D19" s="770"/>
      <c r="E19" s="784">
        <f t="shared" ref="E19:E21" si="0">E7</f>
        <v>0.20786722357200216</v>
      </c>
      <c r="F19" s="771">
        <f>E19*C19</f>
        <v>1.2825407694392534E-2</v>
      </c>
    </row>
    <row r="20" spans="2:10" ht="15.75">
      <c r="B20" s="769" t="s">
        <v>624</v>
      </c>
      <c r="C20" s="770">
        <v>5.4100000000000002E-2</v>
      </c>
      <c r="D20" s="770"/>
      <c r="E20" s="784">
        <f t="shared" si="0"/>
        <v>7.5673433694233849E-2</v>
      </c>
      <c r="F20" s="771">
        <f>E20*C20</f>
        <v>4.0939327628580517E-3</v>
      </c>
    </row>
    <row r="21" spans="2:10" ht="15.75">
      <c r="B21" s="786" t="s">
        <v>644</v>
      </c>
      <c r="C21" s="784"/>
      <c r="D21" s="848">
        <f>D9</f>
        <v>6.5612931108465042E-2</v>
      </c>
      <c r="E21" s="787">
        <f t="shared" si="0"/>
        <v>0.28897016370574224</v>
      </c>
      <c r="F21" s="847">
        <f>E21*D21</f>
        <v>1.896017944362673E-2</v>
      </c>
      <c r="G21" s="855" t="s">
        <v>673</v>
      </c>
      <c r="H21" s="856"/>
      <c r="I21" s="856"/>
      <c r="J21" s="856"/>
    </row>
    <row r="22" spans="2:10" ht="16.5" thickBot="1">
      <c r="B22" s="786" t="s">
        <v>642</v>
      </c>
      <c r="C22" s="788"/>
      <c r="D22" s="789"/>
      <c r="E22" s="791">
        <f>SUM(E18:E21)</f>
        <v>1</v>
      </c>
      <c r="F22" s="790">
        <f>F10</f>
        <v>-8.7193831485412477E-3</v>
      </c>
      <c r="G22" s="855"/>
      <c r="H22" s="856"/>
      <c r="I22" s="856"/>
      <c r="J22" s="856"/>
    </row>
    <row r="23" spans="2:10" ht="16.5" thickBot="1">
      <c r="B23" s="777" t="s">
        <v>666</v>
      </c>
      <c r="C23" s="778"/>
      <c r="D23" s="778"/>
      <c r="E23" s="778"/>
      <c r="F23" s="830">
        <f>SUM(F18:F22)</f>
        <v>3.5838167086604908E-2</v>
      </c>
    </row>
    <row r="24" spans="2:10" ht="13.5" customHeight="1" thickBot="1">
      <c r="B24" s="864" t="s">
        <v>645</v>
      </c>
      <c r="C24" s="865"/>
      <c r="D24" s="865"/>
      <c r="E24" s="865"/>
      <c r="F24" s="867"/>
    </row>
    <row r="25" spans="2:10" ht="13.5" customHeight="1" thickBot="1">
      <c r="B25" s="858" t="s">
        <v>654</v>
      </c>
      <c r="C25" s="859"/>
      <c r="D25" s="859"/>
      <c r="E25" s="859"/>
      <c r="F25" s="860"/>
    </row>
    <row r="26" spans="2:10" ht="13.5" thickBot="1">
      <c r="B26" s="861" t="s">
        <v>655</v>
      </c>
      <c r="C26" s="862"/>
      <c r="D26" s="862"/>
      <c r="E26" s="862"/>
      <c r="F26" s="863"/>
    </row>
  </sheetData>
  <mergeCells count="10">
    <mergeCell ref="B26:F26"/>
    <mergeCell ref="B12:F12"/>
    <mergeCell ref="B13:F13"/>
    <mergeCell ref="B14:F14"/>
    <mergeCell ref="B24:F24"/>
    <mergeCell ref="G9:I10"/>
    <mergeCell ref="G21:J22"/>
    <mergeCell ref="B1:F1"/>
    <mergeCell ref="B2:F2"/>
    <mergeCell ref="B25:F25"/>
  </mergeCells>
  <pageMargins left="0.7" right="0.7" top="0.75" bottom="0.75" header="0.3" footer="0.3"/>
  <pageSetup orientation="landscape" r:id="rId1"/>
  <headerFooter>
    <oddHeader>&amp;RExh. EMA-14</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01"/>
  <sheetViews>
    <sheetView view="pageBreakPreview" zoomScaleNormal="100" zoomScaleSheetLayoutView="100" workbookViewId="0">
      <pane xSplit="4" ySplit="12" topLeftCell="E28" activePane="bottomRight" state="frozen"/>
      <selection activeCell="B23" sqref="B23"/>
      <selection pane="topRight" activeCell="B23" sqref="B23"/>
      <selection pane="bottomLeft" activeCell="B23" sqref="B23"/>
      <selection pane="bottomRight" activeCell="AB48" sqref="AB48"/>
    </sheetView>
  </sheetViews>
  <sheetFormatPr defaultColWidth="10.7109375" defaultRowHeight="12"/>
  <cols>
    <col min="1" max="1" width="5.7109375" style="105" customWidth="1"/>
    <col min="2" max="3" width="1.7109375" style="1" customWidth="1"/>
    <col min="4" max="4" width="32.42578125" style="1" customWidth="1"/>
    <col min="5" max="5" width="10.5703125" style="52" hidden="1" customWidth="1"/>
    <col min="6" max="7" width="10.7109375" style="52" hidden="1" customWidth="1"/>
    <col min="8" max="8" width="7.5703125" style="52" hidden="1" customWidth="1"/>
    <col min="9" max="9" width="8.85546875" style="52" hidden="1" customWidth="1"/>
    <col min="10" max="10" width="7.42578125" style="52" hidden="1" customWidth="1"/>
    <col min="11" max="11" width="10.85546875" style="52" hidden="1" customWidth="1"/>
    <col min="12" max="12" width="9.28515625" style="52" hidden="1" customWidth="1"/>
    <col min="13" max="13" width="7.85546875" style="52" hidden="1" customWidth="1"/>
    <col min="14" max="14" width="7.140625" style="52" hidden="1" customWidth="1"/>
    <col min="15" max="15" width="10.5703125" style="52" hidden="1" customWidth="1"/>
    <col min="16" max="16" width="7.42578125" style="52" hidden="1" customWidth="1"/>
    <col min="17" max="17" width="8.140625" style="52" hidden="1" customWidth="1"/>
    <col min="18" max="18" width="13.42578125" style="52" hidden="1" customWidth="1"/>
    <col min="19" max="19" width="9.85546875" style="52" hidden="1" customWidth="1"/>
    <col min="20" max="20" width="16.5703125" style="52" hidden="1" customWidth="1"/>
    <col min="21" max="21" width="9.140625" style="280" hidden="1" customWidth="1"/>
    <col min="22" max="22" width="8.5703125" style="280" hidden="1" customWidth="1"/>
    <col min="23" max="23" width="8.140625" style="52" hidden="1" customWidth="1"/>
    <col min="24" max="24" width="8.5703125" style="280" bestFit="1" customWidth="1"/>
    <col min="25" max="25" width="14.5703125" style="280" customWidth="1"/>
    <col min="26" max="27" width="10.7109375" style="1"/>
    <col min="28" max="28" width="12.28515625" style="1" customWidth="1"/>
    <col min="29" max="29" width="12.5703125" style="1" customWidth="1"/>
    <col min="30" max="30" width="10" style="1" bestFit="1" customWidth="1"/>
    <col min="31" max="31" width="9.140625" style="1" customWidth="1"/>
    <col min="32" max="32" width="9" style="1" customWidth="1"/>
    <col min="33" max="33" width="9.85546875" style="1" bestFit="1" customWidth="1"/>
    <col min="34" max="16384" width="10.7109375" style="1"/>
  </cols>
  <sheetData>
    <row r="1" spans="1:25" ht="3.75" customHeight="1">
      <c r="F1" s="149"/>
      <c r="G1" s="149"/>
      <c r="H1" s="149"/>
      <c r="I1" s="149"/>
      <c r="J1" s="149"/>
      <c r="K1" s="149"/>
      <c r="L1" s="149"/>
      <c r="M1" s="149"/>
      <c r="N1" s="149"/>
      <c r="O1" s="149"/>
      <c r="P1" s="149"/>
      <c r="Q1" s="149"/>
    </row>
    <row r="2" spans="1:25" ht="12.75" customHeight="1">
      <c r="A2" s="282" t="str">
        <f>'ROO INPUT'!A3:C3</f>
        <v>AVISTA UTILITIES</v>
      </c>
      <c r="F2" s="1"/>
      <c r="G2" s="1"/>
      <c r="H2" s="1"/>
      <c r="I2" s="1"/>
      <c r="J2" s="1"/>
      <c r="K2" s="1"/>
      <c r="L2" s="1"/>
      <c r="M2" s="1"/>
      <c r="N2" s="1"/>
      <c r="O2" s="1"/>
      <c r="P2" s="1"/>
      <c r="Q2" s="1"/>
      <c r="R2" s="388"/>
      <c r="S2" s="388"/>
      <c r="T2" s="388"/>
      <c r="U2" s="388"/>
      <c r="V2" s="388"/>
      <c r="W2" s="388"/>
    </row>
    <row r="3" spans="1:25" ht="14.25" customHeight="1">
      <c r="A3" s="282" t="s">
        <v>408</v>
      </c>
      <c r="B3" s="428" t="s">
        <v>664</v>
      </c>
      <c r="E3" s="471" t="s">
        <v>448</v>
      </c>
      <c r="F3" s="404" t="s">
        <v>421</v>
      </c>
      <c r="J3" s="283"/>
      <c r="Q3" s="283"/>
      <c r="R3" s="388"/>
      <c r="S3" s="388"/>
      <c r="T3" s="388"/>
      <c r="U3" s="388"/>
      <c r="V3" s="388"/>
      <c r="W3" s="283"/>
    </row>
    <row r="4" spans="1:25" ht="12.75" customHeight="1">
      <c r="A4" s="472" t="s">
        <v>600</v>
      </c>
      <c r="E4" s="471" t="s">
        <v>449</v>
      </c>
      <c r="F4" s="280"/>
      <c r="G4" s="280"/>
      <c r="H4" s="280"/>
      <c r="I4" s="280"/>
      <c r="J4" s="432"/>
      <c r="K4" s="280"/>
      <c r="L4" s="280"/>
      <c r="M4" s="280"/>
      <c r="N4" s="280"/>
      <c r="O4" s="280"/>
      <c r="P4" s="280"/>
      <c r="Q4" s="432"/>
      <c r="R4" s="388"/>
      <c r="S4" s="388"/>
      <c r="T4" s="388"/>
      <c r="U4" s="324"/>
      <c r="V4" s="324"/>
      <c r="W4" s="432"/>
    </row>
    <row r="5" spans="1:25" s="286" customFormat="1" ht="12" customHeight="1">
      <c r="A5" s="282" t="str">
        <f>'ROO INPUT'!A5:C5</f>
        <v>TWELVE MONTHS ENDED DECEMBER 31, 2016</v>
      </c>
      <c r="B5" s="105"/>
      <c r="C5" s="105"/>
      <c r="D5" s="105"/>
      <c r="E5" s="447"/>
      <c r="F5" s="284"/>
      <c r="G5" s="284"/>
      <c r="H5" s="284"/>
      <c r="I5" s="284"/>
      <c r="J5" s="432"/>
      <c r="K5" s="52"/>
      <c r="L5" s="284"/>
      <c r="M5" s="284"/>
      <c r="N5" s="284"/>
      <c r="O5" s="284"/>
      <c r="P5" s="284"/>
      <c r="Q5" s="432"/>
      <c r="R5" s="432"/>
      <c r="S5" s="394"/>
      <c r="T5" s="447"/>
      <c r="U5" s="448"/>
      <c r="V5" s="448"/>
      <c r="W5" s="447"/>
      <c r="X5" s="284"/>
      <c r="Y5" s="284"/>
    </row>
    <row r="6" spans="1:25" ht="12.75" customHeight="1">
      <c r="A6" s="282" t="str">
        <f>'ROO INPUT'!A6:C6</f>
        <v xml:space="preserve">(000'S OF DOLLARS)   </v>
      </c>
      <c r="E6" s="285"/>
      <c r="J6" s="433"/>
      <c r="Q6" s="433"/>
      <c r="U6" s="448"/>
      <c r="V6" s="448"/>
      <c r="W6" s="433"/>
      <c r="Y6" s="283"/>
    </row>
    <row r="7" spans="1:25" s="289" customFormat="1" ht="14.25" customHeight="1">
      <c r="A7" s="288"/>
      <c r="D7" s="431"/>
      <c r="E7" s="826"/>
      <c r="F7" s="285"/>
      <c r="G7" s="285"/>
      <c r="H7" s="285"/>
      <c r="I7" s="285"/>
      <c r="J7" s="434"/>
      <c r="K7" s="285"/>
      <c r="L7" s="285"/>
      <c r="M7" s="285"/>
      <c r="N7" s="285"/>
      <c r="O7" s="285"/>
      <c r="P7" s="285"/>
      <c r="Q7" s="434"/>
      <c r="R7" s="285"/>
      <c r="S7" s="285"/>
      <c r="T7" s="285"/>
      <c r="U7" s="449"/>
      <c r="V7" s="449"/>
      <c r="W7" s="434"/>
      <c r="X7" s="285"/>
      <c r="Y7" s="496" t="s">
        <v>639</v>
      </c>
    </row>
    <row r="8" spans="1:25" s="289" customFormat="1" ht="12" customHeight="1">
      <c r="A8" s="290"/>
      <c r="B8" s="291"/>
      <c r="C8" s="292"/>
      <c r="D8" s="293"/>
      <c r="E8" s="827" t="s">
        <v>0</v>
      </c>
      <c r="F8" s="294" t="s">
        <v>1</v>
      </c>
      <c r="G8" s="294" t="s">
        <v>440</v>
      </c>
      <c r="H8" s="294" t="s">
        <v>400</v>
      </c>
      <c r="I8" s="294" t="s">
        <v>2</v>
      </c>
      <c r="J8" s="294" t="s">
        <v>5</v>
      </c>
      <c r="K8" s="294" t="s">
        <v>104</v>
      </c>
      <c r="L8" s="294" t="s">
        <v>3</v>
      </c>
      <c r="M8" s="294" t="s">
        <v>4</v>
      </c>
      <c r="N8" s="294" t="s">
        <v>394</v>
      </c>
      <c r="O8" s="294" t="s">
        <v>6</v>
      </c>
      <c r="P8" s="294" t="s">
        <v>5</v>
      </c>
      <c r="Q8" s="294" t="s">
        <v>118</v>
      </c>
      <c r="R8" s="294" t="s">
        <v>409</v>
      </c>
      <c r="S8" s="353" t="s">
        <v>411</v>
      </c>
      <c r="T8" s="353" t="s">
        <v>445</v>
      </c>
      <c r="U8" s="294" t="s">
        <v>423</v>
      </c>
      <c r="V8" s="294" t="s">
        <v>144</v>
      </c>
      <c r="W8" s="353" t="s">
        <v>5</v>
      </c>
      <c r="X8" s="275" t="s">
        <v>405</v>
      </c>
      <c r="Y8" s="496" t="s">
        <v>595</v>
      </c>
    </row>
    <row r="9" spans="1:25" s="289" customFormat="1">
      <c r="A9" s="295" t="s">
        <v>7</v>
      </c>
      <c r="B9" s="296"/>
      <c r="C9" s="297"/>
      <c r="D9" s="298"/>
      <c r="E9" s="400" t="s">
        <v>8</v>
      </c>
      <c r="F9" s="299" t="s">
        <v>9</v>
      </c>
      <c r="G9" s="299" t="s">
        <v>441</v>
      </c>
      <c r="H9" s="299" t="s">
        <v>121</v>
      </c>
      <c r="I9" s="299" t="s">
        <v>10</v>
      </c>
      <c r="J9" s="299" t="s">
        <v>11</v>
      </c>
      <c r="K9" s="299" t="s">
        <v>12</v>
      </c>
      <c r="L9" s="299" t="s">
        <v>12</v>
      </c>
      <c r="M9" s="299" t="s">
        <v>444</v>
      </c>
      <c r="N9" s="299" t="s">
        <v>395</v>
      </c>
      <c r="O9" s="299" t="s">
        <v>14</v>
      </c>
      <c r="P9" s="299" t="s">
        <v>119</v>
      </c>
      <c r="Q9" s="299" t="s">
        <v>442</v>
      </c>
      <c r="R9" s="299" t="s">
        <v>410</v>
      </c>
      <c r="S9" s="354" t="s">
        <v>412</v>
      </c>
      <c r="T9" s="354" t="s">
        <v>446</v>
      </c>
      <c r="U9" s="443" t="s">
        <v>424</v>
      </c>
      <c r="V9" s="443" t="s">
        <v>439</v>
      </c>
      <c r="W9" s="354" t="s">
        <v>13</v>
      </c>
      <c r="X9" s="344" t="s">
        <v>177</v>
      </c>
      <c r="Y9" s="497" t="s">
        <v>177</v>
      </c>
    </row>
    <row r="10" spans="1:25" s="289" customFormat="1" ht="12.75" thickBot="1">
      <c r="A10" s="300" t="s">
        <v>15</v>
      </c>
      <c r="B10" s="301"/>
      <c r="C10" s="302"/>
      <c r="D10" s="303" t="s">
        <v>16</v>
      </c>
      <c r="E10" s="401" t="s">
        <v>17</v>
      </c>
      <c r="F10" s="299" t="s">
        <v>18</v>
      </c>
      <c r="G10" s="304" t="s">
        <v>205</v>
      </c>
      <c r="H10" s="304"/>
      <c r="I10" s="304" t="s">
        <v>20</v>
      </c>
      <c r="J10" s="304" t="s">
        <v>21</v>
      </c>
      <c r="K10" s="304"/>
      <c r="L10" s="304"/>
      <c r="M10" s="304" t="s">
        <v>22</v>
      </c>
      <c r="N10" s="304" t="s">
        <v>12</v>
      </c>
      <c r="O10" s="304" t="s">
        <v>24</v>
      </c>
      <c r="P10" s="304" t="s">
        <v>20</v>
      </c>
      <c r="Q10" s="304" t="s">
        <v>443</v>
      </c>
      <c r="R10" s="304" t="s">
        <v>105</v>
      </c>
      <c r="S10" s="355" t="s">
        <v>413</v>
      </c>
      <c r="T10" s="355" t="s">
        <v>447</v>
      </c>
      <c r="U10" s="444" t="s">
        <v>425</v>
      </c>
      <c r="V10" s="444"/>
      <c r="W10" s="355" t="s">
        <v>23</v>
      </c>
      <c r="X10" s="305"/>
      <c r="Y10" s="679"/>
    </row>
    <row r="11" spans="1:25" s="289" customFormat="1" ht="12.75" thickBot="1">
      <c r="A11" s="288"/>
      <c r="B11" s="306" t="s">
        <v>665</v>
      </c>
      <c r="E11" s="356">
        <v>1</v>
      </c>
      <c r="F11" s="832">
        <f>E11+0.01</f>
        <v>1.01</v>
      </c>
      <c r="G11" s="356">
        <f>F11+0.01</f>
        <v>1.02</v>
      </c>
      <c r="H11" s="356">
        <f>G11+0.01</f>
        <v>1.03</v>
      </c>
      <c r="I11" s="356">
        <v>2.0099999999999998</v>
      </c>
      <c r="J11" s="356">
        <f>I11+0.01</f>
        <v>2.0199999999999996</v>
      </c>
      <c r="K11" s="356">
        <f t="shared" ref="K11:W11" si="0">J11+0.01</f>
        <v>2.0299999999999994</v>
      </c>
      <c r="L11" s="356">
        <f t="shared" si="0"/>
        <v>2.0399999999999991</v>
      </c>
      <c r="M11" s="356">
        <f t="shared" si="0"/>
        <v>2.0499999999999989</v>
      </c>
      <c r="N11" s="356">
        <f t="shared" si="0"/>
        <v>2.0599999999999987</v>
      </c>
      <c r="O11" s="356">
        <f t="shared" si="0"/>
        <v>2.0699999999999985</v>
      </c>
      <c r="P11" s="356">
        <f t="shared" si="0"/>
        <v>2.0799999999999983</v>
      </c>
      <c r="Q11" s="356">
        <f t="shared" si="0"/>
        <v>2.0899999999999981</v>
      </c>
      <c r="R11" s="307">
        <f t="shared" si="0"/>
        <v>2.0999999999999979</v>
      </c>
      <c r="S11" s="307">
        <f t="shared" si="0"/>
        <v>2.1099999999999977</v>
      </c>
      <c r="T11" s="307">
        <f t="shared" si="0"/>
        <v>2.1199999999999974</v>
      </c>
      <c r="U11" s="307">
        <f t="shared" si="0"/>
        <v>2.1299999999999972</v>
      </c>
      <c r="V11" s="307">
        <f t="shared" si="0"/>
        <v>2.139999999999997</v>
      </c>
      <c r="W11" s="307">
        <f t="shared" si="0"/>
        <v>2.1499999999999968</v>
      </c>
      <c r="X11" s="285"/>
      <c r="Y11" s="405"/>
    </row>
    <row r="12" spans="1:25" s="289" customFormat="1" ht="13.5" customHeight="1">
      <c r="A12" s="288"/>
      <c r="B12" s="306" t="s">
        <v>154</v>
      </c>
      <c r="E12" s="285" t="s">
        <v>155</v>
      </c>
      <c r="F12" s="285" t="s">
        <v>156</v>
      </c>
      <c r="G12" s="285" t="s">
        <v>157</v>
      </c>
      <c r="H12" s="285" t="s">
        <v>401</v>
      </c>
      <c r="I12" s="285" t="s">
        <v>158</v>
      </c>
      <c r="J12" s="285" t="s">
        <v>399</v>
      </c>
      <c r="K12" s="285" t="s">
        <v>159</v>
      </c>
      <c r="L12" s="285" t="s">
        <v>160</v>
      </c>
      <c r="M12" s="285" t="s">
        <v>161</v>
      </c>
      <c r="N12" s="285" t="s">
        <v>162</v>
      </c>
      <c r="O12" s="285" t="s">
        <v>164</v>
      </c>
      <c r="P12" s="285" t="s">
        <v>390</v>
      </c>
      <c r="Q12" s="285" t="s">
        <v>163</v>
      </c>
      <c r="R12" s="285" t="s">
        <v>427</v>
      </c>
      <c r="S12" s="285" t="s">
        <v>414</v>
      </c>
      <c r="T12" s="285" t="s">
        <v>165</v>
      </c>
      <c r="U12" s="283" t="s">
        <v>426</v>
      </c>
      <c r="V12" s="283" t="s">
        <v>166</v>
      </c>
      <c r="W12" s="283" t="s">
        <v>167</v>
      </c>
      <c r="X12" s="285" t="s">
        <v>391</v>
      </c>
      <c r="Y12" s="405" t="s">
        <v>392</v>
      </c>
    </row>
    <row r="13" spans="1:25" ht="6" customHeight="1">
      <c r="U13" s="52"/>
      <c r="V13" s="52"/>
      <c r="W13" s="281"/>
      <c r="Y13" s="406"/>
    </row>
    <row r="14" spans="1:25">
      <c r="B14" s="1" t="s">
        <v>26</v>
      </c>
      <c r="U14" s="52"/>
      <c r="V14" s="52"/>
      <c r="W14" s="281"/>
      <c r="Y14" s="406"/>
    </row>
    <row r="15" spans="1:25" s="2" customFormat="1">
      <c r="A15" s="105">
        <v>1</v>
      </c>
      <c r="B15" s="2" t="s">
        <v>27</v>
      </c>
      <c r="E15" s="402">
        <f>'ROO INPUT'!$F15</f>
        <v>146098</v>
      </c>
      <c r="F15" s="351">
        <v>0</v>
      </c>
      <c r="G15" s="351">
        <v>0</v>
      </c>
      <c r="H15" s="351">
        <v>0</v>
      </c>
      <c r="I15" s="351">
        <v>-5097</v>
      </c>
      <c r="J15" s="351">
        <v>0</v>
      </c>
      <c r="K15" s="351">
        <v>0</v>
      </c>
      <c r="L15" s="351">
        <v>0</v>
      </c>
      <c r="M15" s="351">
        <v>0</v>
      </c>
      <c r="N15" s="351">
        <v>0</v>
      </c>
      <c r="O15" s="351">
        <v>0</v>
      </c>
      <c r="P15" s="351">
        <v>0</v>
      </c>
      <c r="Q15" s="351">
        <v>0</v>
      </c>
      <c r="R15" s="351">
        <v>11209</v>
      </c>
      <c r="S15" s="351">
        <v>-1240</v>
      </c>
      <c r="T15" s="351">
        <v>0</v>
      </c>
      <c r="U15" s="351">
        <v>0</v>
      </c>
      <c r="V15" s="351">
        <v>0</v>
      </c>
      <c r="W15" s="351">
        <v>0</v>
      </c>
      <c r="X15" s="309">
        <f>SUM(E15:W15)</f>
        <v>150970</v>
      </c>
      <c r="Y15" s="407">
        <f>SUM(X15:X15)</f>
        <v>150970</v>
      </c>
    </row>
    <row r="16" spans="1:25">
      <c r="A16" s="105">
        <v>2</v>
      </c>
      <c r="B16" s="3" t="s">
        <v>28</v>
      </c>
      <c r="D16" s="3"/>
      <c r="E16" s="222">
        <f>'ROO INPUT'!$F16</f>
        <v>4595</v>
      </c>
      <c r="F16" s="352">
        <v>0</v>
      </c>
      <c r="G16" s="352">
        <v>0</v>
      </c>
      <c r="H16" s="352">
        <v>0</v>
      </c>
      <c r="I16" s="352">
        <v>-118</v>
      </c>
      <c r="J16" s="352">
        <v>0</v>
      </c>
      <c r="K16" s="352">
        <v>0</v>
      </c>
      <c r="L16" s="352">
        <v>0</v>
      </c>
      <c r="M16" s="352">
        <v>0</v>
      </c>
      <c r="N16" s="352">
        <v>0</v>
      </c>
      <c r="O16" s="352">
        <v>0</v>
      </c>
      <c r="P16" s="352">
        <v>0</v>
      </c>
      <c r="Q16" s="352">
        <v>0</v>
      </c>
      <c r="R16" s="352"/>
      <c r="S16" s="352">
        <v>0</v>
      </c>
      <c r="T16" s="352">
        <v>0</v>
      </c>
      <c r="U16" s="352">
        <v>0</v>
      </c>
      <c r="V16" s="352">
        <v>0</v>
      </c>
      <c r="W16" s="352">
        <v>0</v>
      </c>
      <c r="X16" s="310">
        <f>SUM(E16:W16)</f>
        <v>4477</v>
      </c>
      <c r="Y16" s="408">
        <f>SUM(X16:X16)</f>
        <v>4477</v>
      </c>
    </row>
    <row r="17" spans="1:33">
      <c r="A17" s="105">
        <v>3</v>
      </c>
      <c r="B17" s="3" t="s">
        <v>29</v>
      </c>
      <c r="D17" s="3"/>
      <c r="E17" s="223">
        <f>'ROO INPUT'!$F17</f>
        <v>69723</v>
      </c>
      <c r="F17" s="312">
        <v>0</v>
      </c>
      <c r="G17" s="312">
        <v>0</v>
      </c>
      <c r="H17" s="312">
        <v>0</v>
      </c>
      <c r="I17" s="312">
        <v>0</v>
      </c>
      <c r="J17" s="312">
        <v>0</v>
      </c>
      <c r="K17" s="312">
        <v>0</v>
      </c>
      <c r="L17" s="312">
        <v>0</v>
      </c>
      <c r="M17" s="312">
        <v>0</v>
      </c>
      <c r="N17" s="312">
        <v>0</v>
      </c>
      <c r="O17" s="312">
        <v>0</v>
      </c>
      <c r="P17" s="312">
        <v>0</v>
      </c>
      <c r="Q17" s="312">
        <v>0</v>
      </c>
      <c r="R17" s="312">
        <v>-5427</v>
      </c>
      <c r="S17" s="312">
        <v>-63276</v>
      </c>
      <c r="T17" s="312">
        <v>0</v>
      </c>
      <c r="U17" s="312">
        <v>0</v>
      </c>
      <c r="V17" s="312">
        <v>0</v>
      </c>
      <c r="W17" s="312">
        <v>0</v>
      </c>
      <c r="X17" s="313">
        <f>SUM(E17:W17)</f>
        <v>1020</v>
      </c>
      <c r="Y17" s="403">
        <f>SUM(X17:X17)</f>
        <v>1020</v>
      </c>
    </row>
    <row r="18" spans="1:33">
      <c r="A18" s="105">
        <v>4</v>
      </c>
      <c r="B18" s="1" t="s">
        <v>30</v>
      </c>
      <c r="C18" s="3"/>
      <c r="D18" s="3"/>
      <c r="E18" s="222">
        <f>SUM(E15:E17)</f>
        <v>220416</v>
      </c>
      <c r="F18" s="222">
        <f t="shared" ref="F18:Q18" si="1">SUM(F15:F17)</f>
        <v>0</v>
      </c>
      <c r="G18" s="222">
        <f t="shared" si="1"/>
        <v>0</v>
      </c>
      <c r="H18" s="222">
        <f t="shared" si="1"/>
        <v>0</v>
      </c>
      <c r="I18" s="222">
        <f t="shared" si="1"/>
        <v>-5215</v>
      </c>
      <c r="J18" s="222">
        <f>SUM(J15:J17)</f>
        <v>0</v>
      </c>
      <c r="K18" s="222">
        <f t="shared" si="1"/>
        <v>0</v>
      </c>
      <c r="L18" s="222">
        <f t="shared" si="1"/>
        <v>0</v>
      </c>
      <c r="M18" s="222">
        <f t="shared" si="1"/>
        <v>0</v>
      </c>
      <c r="N18" s="222">
        <f t="shared" si="1"/>
        <v>0</v>
      </c>
      <c r="O18" s="222">
        <f t="shared" si="1"/>
        <v>0</v>
      </c>
      <c r="P18" s="222">
        <f t="shared" si="1"/>
        <v>0</v>
      </c>
      <c r="Q18" s="222">
        <f t="shared" si="1"/>
        <v>0</v>
      </c>
      <c r="R18" s="222">
        <f t="shared" ref="R18:Y18" si="2">SUM(R15:R17)</f>
        <v>5782</v>
      </c>
      <c r="S18" s="222">
        <f t="shared" si="2"/>
        <v>-64516</v>
      </c>
      <c r="T18" s="222">
        <f t="shared" si="2"/>
        <v>0</v>
      </c>
      <c r="U18" s="222">
        <f t="shared" si="2"/>
        <v>0</v>
      </c>
      <c r="V18" s="222">
        <f t="shared" si="2"/>
        <v>0</v>
      </c>
      <c r="W18" s="222">
        <f t="shared" si="2"/>
        <v>0</v>
      </c>
      <c r="X18" s="310">
        <f t="shared" si="2"/>
        <v>156467</v>
      </c>
      <c r="Y18" s="408">
        <f t="shared" si="2"/>
        <v>156467</v>
      </c>
    </row>
    <row r="19" spans="1:33" ht="5.25" customHeight="1">
      <c r="C19" s="3"/>
      <c r="D19" s="3"/>
      <c r="E19" s="829"/>
      <c r="F19" s="352"/>
      <c r="G19" s="352"/>
      <c r="H19" s="352"/>
      <c r="I19" s="352"/>
      <c r="J19" s="352"/>
      <c r="K19" s="352"/>
      <c r="L19" s="352"/>
      <c r="M19" s="352"/>
      <c r="N19" s="352"/>
      <c r="O19" s="352"/>
      <c r="P19" s="352"/>
      <c r="Q19" s="352"/>
      <c r="R19" s="352"/>
      <c r="S19" s="352"/>
      <c r="T19" s="352"/>
      <c r="U19" s="352"/>
      <c r="V19" s="352"/>
      <c r="W19" s="352"/>
      <c r="X19" s="310"/>
      <c r="Y19" s="408"/>
    </row>
    <row r="20" spans="1:33">
      <c r="B20" s="1" t="s">
        <v>31</v>
      </c>
      <c r="C20" s="3"/>
      <c r="D20" s="3"/>
      <c r="E20" s="829"/>
      <c r="F20" s="352"/>
      <c r="G20" s="352"/>
      <c r="H20" s="352"/>
      <c r="I20" s="352"/>
      <c r="J20" s="352"/>
      <c r="K20" s="352"/>
      <c r="L20" s="352"/>
      <c r="M20" s="352"/>
      <c r="N20" s="352"/>
      <c r="O20" s="352"/>
      <c r="P20" s="352"/>
      <c r="Q20" s="352"/>
      <c r="R20" s="352"/>
      <c r="S20" s="352"/>
      <c r="T20" s="352"/>
      <c r="U20" s="352"/>
      <c r="V20" s="352"/>
      <c r="W20" s="352"/>
      <c r="X20" s="310"/>
      <c r="Y20" s="408"/>
    </row>
    <row r="21" spans="1:33">
      <c r="B21" s="3" t="s">
        <v>172</v>
      </c>
      <c r="D21" s="3"/>
      <c r="E21" s="222"/>
      <c r="F21" s="352"/>
      <c r="G21" s="352"/>
      <c r="H21" s="352"/>
      <c r="I21" s="352"/>
      <c r="J21" s="352"/>
      <c r="K21" s="352"/>
      <c r="L21" s="352"/>
      <c r="M21" s="352"/>
      <c r="N21" s="352"/>
      <c r="O21" s="352"/>
      <c r="P21" s="352"/>
      <c r="Q21" s="352"/>
      <c r="R21" s="352"/>
      <c r="S21" s="352"/>
      <c r="T21" s="352"/>
      <c r="U21" s="352"/>
      <c r="V21" s="352"/>
      <c r="W21" s="352"/>
      <c r="X21" s="310"/>
      <c r="Y21" s="408"/>
    </row>
    <row r="22" spans="1:33" ht="12.75" thickBot="1">
      <c r="A22" s="105">
        <v>5</v>
      </c>
      <c r="C22" s="3" t="s">
        <v>32</v>
      </c>
      <c r="D22" s="3"/>
      <c r="E22" s="222">
        <f>'ROO INPUT'!$F22</f>
        <v>112605</v>
      </c>
      <c r="F22" s="352">
        <v>0</v>
      </c>
      <c r="G22" s="352">
        <v>0</v>
      </c>
      <c r="H22" s="352">
        <v>0</v>
      </c>
      <c r="I22" s="352">
        <v>0</v>
      </c>
      <c r="J22" s="352">
        <v>0</v>
      </c>
      <c r="K22" s="352">
        <v>0</v>
      </c>
      <c r="L22" s="352">
        <v>0</v>
      </c>
      <c r="M22" s="352">
        <v>0</v>
      </c>
      <c r="N22" s="352">
        <v>0</v>
      </c>
      <c r="O22" s="352">
        <v>0</v>
      </c>
      <c r="P22" s="352">
        <v>0</v>
      </c>
      <c r="Q22" s="352">
        <v>0</v>
      </c>
      <c r="R22" s="352">
        <v>5274</v>
      </c>
      <c r="S22" s="352">
        <v>-54419</v>
      </c>
      <c r="T22" s="352">
        <v>0</v>
      </c>
      <c r="U22" s="352">
        <v>0</v>
      </c>
      <c r="V22" s="352">
        <v>0</v>
      </c>
      <c r="W22" s="352">
        <v>0</v>
      </c>
      <c r="X22" s="310">
        <f>SUM(E22:W22)</f>
        <v>63460</v>
      </c>
      <c r="Y22" s="408">
        <f>SUM(X22:X22)</f>
        <v>63460</v>
      </c>
    </row>
    <row r="23" spans="1:33" ht="13.5" thickBot="1">
      <c r="A23" s="105">
        <v>6</v>
      </c>
      <c r="B23" s="1" t="s">
        <v>666</v>
      </c>
      <c r="C23" s="3" t="s">
        <v>33</v>
      </c>
      <c r="D23" s="3"/>
      <c r="E23" s="222">
        <f>'ROO INPUT'!$F23</f>
        <v>988</v>
      </c>
      <c r="F23" s="832">
        <v>0</v>
      </c>
      <c r="G23" s="352">
        <v>0</v>
      </c>
      <c r="H23" s="352">
        <v>0</v>
      </c>
      <c r="I23" s="352">
        <v>0</v>
      </c>
      <c r="J23" s="352">
        <v>0</v>
      </c>
      <c r="K23" s="352">
        <v>0</v>
      </c>
      <c r="L23" s="352">
        <v>0</v>
      </c>
      <c r="M23" s="352">
        <v>0</v>
      </c>
      <c r="N23" s="352">
        <v>0</v>
      </c>
      <c r="O23" s="352">
        <v>0</v>
      </c>
      <c r="P23" s="352">
        <v>0</v>
      </c>
      <c r="Q23" s="352">
        <v>0</v>
      </c>
      <c r="R23" s="352">
        <v>6</v>
      </c>
      <c r="S23" s="352">
        <v>0</v>
      </c>
      <c r="T23" s="352">
        <v>0</v>
      </c>
      <c r="U23" s="352">
        <v>0</v>
      </c>
      <c r="V23" s="352">
        <v>0</v>
      </c>
      <c r="W23" s="352">
        <v>0</v>
      </c>
      <c r="X23" s="310">
        <f>SUM(E23:W23)</f>
        <v>994</v>
      </c>
      <c r="Y23" s="408">
        <f>SUM(X23:X23)</f>
        <v>994</v>
      </c>
      <c r="AA23" s="872" t="s">
        <v>656</v>
      </c>
      <c r="AB23" s="873"/>
      <c r="AC23" s="873"/>
      <c r="AD23" s="873"/>
      <c r="AE23" s="873"/>
      <c r="AF23" s="873"/>
      <c r="AG23" s="874"/>
    </row>
    <row r="24" spans="1:33">
      <c r="A24" s="105">
        <v>7</v>
      </c>
      <c r="C24" s="3" t="s">
        <v>34</v>
      </c>
      <c r="D24" s="3"/>
      <c r="E24" s="223">
        <f>'ROO INPUT'!$F24</f>
        <v>2932</v>
      </c>
      <c r="F24" s="312">
        <v>0</v>
      </c>
      <c r="G24" s="312">
        <v>0</v>
      </c>
      <c r="H24" s="312">
        <v>0</v>
      </c>
      <c r="I24" s="312">
        <v>0</v>
      </c>
      <c r="J24" s="312">
        <v>0</v>
      </c>
      <c r="K24" s="312">
        <v>0</v>
      </c>
      <c r="L24" s="312">
        <v>0</v>
      </c>
      <c r="M24" s="312">
        <v>0</v>
      </c>
      <c r="N24" s="312">
        <v>0</v>
      </c>
      <c r="O24" s="312">
        <v>0</v>
      </c>
      <c r="P24" s="312">
        <v>0</v>
      </c>
      <c r="Q24" s="312">
        <v>0</v>
      </c>
      <c r="R24" s="312">
        <v>0</v>
      </c>
      <c r="S24" s="312">
        <v>-2932</v>
      </c>
      <c r="T24" s="312">
        <v>0</v>
      </c>
      <c r="U24" s="312">
        <v>0</v>
      </c>
      <c r="V24" s="312">
        <v>0</v>
      </c>
      <c r="W24" s="312">
        <v>0</v>
      </c>
      <c r="X24" s="313">
        <f>SUM(E24:W24)</f>
        <v>0</v>
      </c>
      <c r="Y24" s="403">
        <f>SUM(X24:X24)</f>
        <v>0</v>
      </c>
    </row>
    <row r="25" spans="1:33">
      <c r="A25" s="105">
        <v>8</v>
      </c>
      <c r="B25" s="3" t="s">
        <v>35</v>
      </c>
      <c r="C25" s="3"/>
      <c r="E25" s="263">
        <f>SUM(E22:E24)</f>
        <v>116525</v>
      </c>
      <c r="F25" s="263">
        <f t="shared" ref="F25:P25" si="3">SUM(F22:F24)</f>
        <v>0</v>
      </c>
      <c r="G25" s="263">
        <f t="shared" si="3"/>
        <v>0</v>
      </c>
      <c r="H25" s="263">
        <f t="shared" si="3"/>
        <v>0</v>
      </c>
      <c r="I25" s="263">
        <f t="shared" si="3"/>
        <v>0</v>
      </c>
      <c r="J25" s="263">
        <f>SUM(J22:J24)</f>
        <v>0</v>
      </c>
      <c r="K25" s="263">
        <f t="shared" si="3"/>
        <v>0</v>
      </c>
      <c r="L25" s="263">
        <f t="shared" si="3"/>
        <v>0</v>
      </c>
      <c r="M25" s="263">
        <f t="shared" si="3"/>
        <v>0</v>
      </c>
      <c r="N25" s="263">
        <f t="shared" si="3"/>
        <v>0</v>
      </c>
      <c r="O25" s="263">
        <f t="shared" si="3"/>
        <v>0</v>
      </c>
      <c r="P25" s="263">
        <f t="shared" si="3"/>
        <v>0</v>
      </c>
      <c r="Q25" s="263">
        <f t="shared" ref="Q25:Y25" si="4">SUM(Q22:Q24)</f>
        <v>0</v>
      </c>
      <c r="R25" s="263">
        <f t="shared" si="4"/>
        <v>5280</v>
      </c>
      <c r="S25" s="263">
        <f t="shared" si="4"/>
        <v>-57351</v>
      </c>
      <c r="T25" s="263">
        <f t="shared" si="4"/>
        <v>0</v>
      </c>
      <c r="U25" s="263">
        <f t="shared" si="4"/>
        <v>0</v>
      </c>
      <c r="V25" s="263">
        <f t="shared" si="4"/>
        <v>0</v>
      </c>
      <c r="W25" s="263">
        <f t="shared" si="4"/>
        <v>0</v>
      </c>
      <c r="X25" s="310">
        <f t="shared" si="4"/>
        <v>64454</v>
      </c>
      <c r="Y25" s="408">
        <f t="shared" si="4"/>
        <v>64454</v>
      </c>
    </row>
    <row r="26" spans="1:33" ht="6.75" customHeight="1" thickBot="1">
      <c r="B26" s="3"/>
      <c r="C26" s="3"/>
      <c r="E26" s="222"/>
      <c r="F26" s="222"/>
      <c r="G26" s="222"/>
      <c r="H26" s="222"/>
      <c r="I26" s="222"/>
      <c r="J26" s="222"/>
      <c r="K26" s="222"/>
      <c r="L26" s="222"/>
      <c r="M26" s="222"/>
      <c r="N26" s="222"/>
      <c r="O26" s="222"/>
      <c r="P26" s="222"/>
      <c r="Q26" s="222"/>
      <c r="R26" s="222"/>
      <c r="S26" s="222"/>
      <c r="T26" s="222"/>
      <c r="U26" s="222"/>
      <c r="V26" s="222"/>
      <c r="W26" s="222"/>
      <c r="X26" s="310"/>
      <c r="Y26" s="408"/>
    </row>
    <row r="27" spans="1:33">
      <c r="B27" s="3" t="s">
        <v>36</v>
      </c>
      <c r="D27" s="3"/>
      <c r="E27" s="222"/>
      <c r="F27" s="352"/>
      <c r="G27" s="352"/>
      <c r="H27" s="352"/>
      <c r="I27" s="352"/>
      <c r="J27" s="352"/>
      <c r="K27" s="352"/>
      <c r="L27" s="352"/>
      <c r="M27" s="352"/>
      <c r="N27" s="352"/>
      <c r="O27" s="352"/>
      <c r="P27" s="352"/>
      <c r="Q27" s="352"/>
      <c r="R27" s="352"/>
      <c r="S27" s="352"/>
      <c r="T27" s="352"/>
      <c r="U27" s="352"/>
      <c r="V27" s="352"/>
      <c r="W27" s="352"/>
      <c r="X27" s="310"/>
      <c r="Y27" s="408"/>
      <c r="AA27" s="717" t="s">
        <v>450</v>
      </c>
      <c r="AB27" s="718"/>
      <c r="AC27" s="718"/>
      <c r="AD27" s="718"/>
      <c r="AE27" s="718"/>
      <c r="AF27" s="719"/>
    </row>
    <row r="28" spans="1:33" ht="12.75">
      <c r="A28" s="105">
        <v>9</v>
      </c>
      <c r="C28" s="3" t="s">
        <v>37</v>
      </c>
      <c r="D28" s="3"/>
      <c r="E28" s="222">
        <f>'ROO INPUT'!$F28</f>
        <v>974</v>
      </c>
      <c r="F28" s="352">
        <v>0</v>
      </c>
      <c r="G28" s="352">
        <v>0</v>
      </c>
      <c r="H28" s="352">
        <v>0</v>
      </c>
      <c r="I28" s="352">
        <v>0</v>
      </c>
      <c r="J28" s="352">
        <v>0</v>
      </c>
      <c r="K28" s="352">
        <v>0</v>
      </c>
      <c r="L28" s="352">
        <v>0</v>
      </c>
      <c r="M28" s="352">
        <v>0</v>
      </c>
      <c r="N28" s="352">
        <v>0</v>
      </c>
      <c r="O28" s="352">
        <v>0</v>
      </c>
      <c r="P28" s="352">
        <v>0</v>
      </c>
      <c r="Q28" s="352">
        <v>0</v>
      </c>
      <c r="R28" s="352">
        <v>0</v>
      </c>
      <c r="S28" s="352">
        <v>0</v>
      </c>
      <c r="T28" s="352">
        <v>0</v>
      </c>
      <c r="U28" s="352">
        <v>0</v>
      </c>
      <c r="V28" s="352">
        <v>0</v>
      </c>
      <c r="W28" s="352">
        <v>0</v>
      </c>
      <c r="X28" s="310">
        <f>SUM(E28:W28)</f>
        <v>974</v>
      </c>
      <c r="Y28" s="408">
        <f>SUM(X28:X28)</f>
        <v>974</v>
      </c>
      <c r="AA28" s="720"/>
      <c r="AB28" s="479" t="s">
        <v>121</v>
      </c>
      <c r="AC28" s="479"/>
      <c r="AD28" s="480" t="s">
        <v>122</v>
      </c>
      <c r="AE28" s="682"/>
      <c r="AF28" s="870" t="s">
        <v>451</v>
      </c>
    </row>
    <row r="29" spans="1:33" ht="12.75" customHeight="1">
      <c r="A29" s="105">
        <v>10</v>
      </c>
      <c r="C29" s="3" t="s">
        <v>168</v>
      </c>
      <c r="D29" s="3"/>
      <c r="E29" s="222">
        <f>'ROO INPUT'!$F29</f>
        <v>492</v>
      </c>
      <c r="F29" s="352">
        <v>0</v>
      </c>
      <c r="G29" s="352">
        <v>0</v>
      </c>
      <c r="H29" s="352">
        <v>0</v>
      </c>
      <c r="I29" s="352">
        <v>0</v>
      </c>
      <c r="J29" s="352">
        <v>0</v>
      </c>
      <c r="K29" s="352">
        <v>0</v>
      </c>
      <c r="L29" s="352">
        <v>0</v>
      </c>
      <c r="M29" s="352">
        <v>0</v>
      </c>
      <c r="N29" s="352">
        <v>0</v>
      </c>
      <c r="O29" s="352">
        <v>0</v>
      </c>
      <c r="P29" s="352">
        <v>0</v>
      </c>
      <c r="Q29" s="352">
        <v>0</v>
      </c>
      <c r="R29" s="352">
        <v>0</v>
      </c>
      <c r="S29" s="352">
        <v>0</v>
      </c>
      <c r="T29" s="352">
        <v>0</v>
      </c>
      <c r="U29" s="352">
        <v>0</v>
      </c>
      <c r="V29" s="352">
        <v>0</v>
      </c>
      <c r="W29" s="352">
        <v>0</v>
      </c>
      <c r="X29" s="310">
        <f>SUM(E29:W29)</f>
        <v>492</v>
      </c>
      <c r="Y29" s="408">
        <f>SUM(X29:X29)</f>
        <v>492</v>
      </c>
      <c r="AA29" s="721" t="s">
        <v>123</v>
      </c>
      <c r="AB29" s="481" t="s">
        <v>124</v>
      </c>
      <c r="AC29" s="481" t="s">
        <v>125</v>
      </c>
      <c r="AD29" s="482" t="s">
        <v>125</v>
      </c>
      <c r="AE29" s="682"/>
      <c r="AF29" s="870"/>
    </row>
    <row r="30" spans="1:33" ht="12.75">
      <c r="A30" s="105">
        <v>11</v>
      </c>
      <c r="C30" s="3" t="s">
        <v>20</v>
      </c>
      <c r="D30" s="3"/>
      <c r="E30" s="223">
        <f>'ROO INPUT'!$F30</f>
        <v>210</v>
      </c>
      <c r="F30" s="312">
        <v>0</v>
      </c>
      <c r="G30" s="312">
        <v>0</v>
      </c>
      <c r="H30" s="312">
        <v>0</v>
      </c>
      <c r="I30" s="312">
        <v>0</v>
      </c>
      <c r="J30" s="312">
        <v>0</v>
      </c>
      <c r="K30" s="312">
        <v>0</v>
      </c>
      <c r="L30" s="312">
        <v>0</v>
      </c>
      <c r="M30" s="312">
        <v>0</v>
      </c>
      <c r="N30" s="312">
        <v>0</v>
      </c>
      <c r="O30" s="312">
        <v>0</v>
      </c>
      <c r="P30" s="312">
        <v>0</v>
      </c>
      <c r="Q30" s="312">
        <v>0</v>
      </c>
      <c r="R30" s="312">
        <v>0</v>
      </c>
      <c r="S30" s="312">
        <v>0</v>
      </c>
      <c r="T30" s="312">
        <v>0</v>
      </c>
      <c r="U30" s="312">
        <v>0</v>
      </c>
      <c r="V30" s="312">
        <v>0</v>
      </c>
      <c r="W30" s="312">
        <v>0</v>
      </c>
      <c r="X30" s="313">
        <f>SUM(E30:W30)</f>
        <v>210</v>
      </c>
      <c r="Y30" s="403">
        <f>SUM(X30:X30)</f>
        <v>210</v>
      </c>
      <c r="AA30" s="722" t="s">
        <v>396</v>
      </c>
      <c r="AB30" s="483">
        <f>100%-AB31</f>
        <v>0.51500000000000001</v>
      </c>
      <c r="AC30" s="484">
        <v>5.1999999999999998E-2</v>
      </c>
      <c r="AD30" s="485">
        <f>ROUND(AB30*AC30,4)</f>
        <v>2.6800000000000001E-2</v>
      </c>
      <c r="AE30" s="723" t="s">
        <v>21</v>
      </c>
      <c r="AF30" s="871"/>
    </row>
    <row r="31" spans="1:33" ht="12.75">
      <c r="A31" s="105">
        <v>12</v>
      </c>
      <c r="B31" s="3" t="s">
        <v>39</v>
      </c>
      <c r="C31" s="3"/>
      <c r="E31" s="222">
        <f t="shared" ref="E31:X31" si="5">SUM(E28:E30)</f>
        <v>1676</v>
      </c>
      <c r="F31" s="222">
        <f t="shared" si="5"/>
        <v>0</v>
      </c>
      <c r="G31" s="222">
        <f t="shared" si="5"/>
        <v>0</v>
      </c>
      <c r="H31" s="222">
        <f t="shared" si="5"/>
        <v>0</v>
      </c>
      <c r="I31" s="263">
        <f t="shared" si="5"/>
        <v>0</v>
      </c>
      <c r="J31" s="263">
        <f>SUM(J28:J30)</f>
        <v>0</v>
      </c>
      <c r="K31" s="222">
        <f t="shared" si="5"/>
        <v>0</v>
      </c>
      <c r="L31" s="222">
        <f t="shared" si="5"/>
        <v>0</v>
      </c>
      <c r="M31" s="222">
        <f t="shared" si="5"/>
        <v>0</v>
      </c>
      <c r="N31" s="222">
        <f t="shared" si="5"/>
        <v>0</v>
      </c>
      <c r="O31" s="222">
        <f t="shared" si="5"/>
        <v>0</v>
      </c>
      <c r="P31" s="222">
        <f t="shared" si="5"/>
        <v>0</v>
      </c>
      <c r="Q31" s="222">
        <f t="shared" ref="Q31:W31" si="6">SUM(Q28:Q30)</f>
        <v>0</v>
      </c>
      <c r="R31" s="222">
        <f t="shared" si="6"/>
        <v>0</v>
      </c>
      <c r="S31" s="222">
        <f t="shared" si="6"/>
        <v>0</v>
      </c>
      <c r="T31" s="222">
        <f t="shared" si="6"/>
        <v>0</v>
      </c>
      <c r="U31" s="222">
        <f t="shared" si="6"/>
        <v>0</v>
      </c>
      <c r="V31" s="222">
        <f t="shared" si="6"/>
        <v>0</v>
      </c>
      <c r="W31" s="222">
        <f t="shared" si="6"/>
        <v>0</v>
      </c>
      <c r="X31" s="310">
        <f t="shared" si="5"/>
        <v>1676</v>
      </c>
      <c r="Y31" s="408">
        <f>SUM(Y28:Y30)</f>
        <v>1676</v>
      </c>
      <c r="AA31" s="722" t="s">
        <v>452</v>
      </c>
      <c r="AB31" s="483">
        <v>0.48499999999999999</v>
      </c>
      <c r="AC31" s="487">
        <v>9.5000000000000001E-2</v>
      </c>
      <c r="AD31" s="485">
        <f>ROUND(AB31*AC31,4)</f>
        <v>4.6100000000000002E-2</v>
      </c>
      <c r="AE31" s="833">
        <f>0.21/0.65</f>
        <v>0.32307692307692304</v>
      </c>
      <c r="AF31" s="725">
        <f>AD31*AE31</f>
        <v>1.4893846153846153E-2</v>
      </c>
    </row>
    <row r="32" spans="1:33" ht="12.75">
      <c r="B32" s="3"/>
      <c r="C32" s="3"/>
      <c r="E32" s="222"/>
      <c r="F32" s="222"/>
      <c r="G32" s="222"/>
      <c r="H32" s="222"/>
      <c r="I32" s="263"/>
      <c r="J32" s="263"/>
      <c r="K32" s="222"/>
      <c r="L32" s="222"/>
      <c r="M32" s="222"/>
      <c r="N32" s="222"/>
      <c r="O32" s="222"/>
      <c r="P32" s="222"/>
      <c r="Q32" s="222"/>
      <c r="R32" s="222"/>
      <c r="S32" s="222"/>
      <c r="T32" s="222"/>
      <c r="U32" s="222"/>
      <c r="V32" s="222"/>
      <c r="W32" s="222"/>
      <c r="X32" s="310"/>
      <c r="Y32" s="408"/>
      <c r="AA32" s="726" t="s">
        <v>25</v>
      </c>
      <c r="AB32" s="488">
        <f>SUM(AB30:AB31)</f>
        <v>1</v>
      </c>
      <c r="AC32" s="489"/>
      <c r="AD32" s="490">
        <f>SUM(AD30:AD31)</f>
        <v>7.2900000000000006E-2</v>
      </c>
      <c r="AE32" s="724"/>
      <c r="AF32" s="727"/>
    </row>
    <row r="33" spans="1:33" ht="15.75">
      <c r="B33" s="3" t="s">
        <v>40</v>
      </c>
      <c r="D33" s="3"/>
      <c r="E33" s="222"/>
      <c r="F33" s="352"/>
      <c r="G33" s="352"/>
      <c r="H33" s="352"/>
      <c r="I33" s="352"/>
      <c r="J33" s="352"/>
      <c r="K33" s="352"/>
      <c r="L33" s="352"/>
      <c r="M33" s="352"/>
      <c r="N33" s="352"/>
      <c r="O33" s="352"/>
      <c r="P33" s="352"/>
      <c r="Q33" s="352"/>
      <c r="R33" s="352"/>
      <c r="S33" s="352"/>
      <c r="T33" s="352"/>
      <c r="U33" s="352"/>
      <c r="V33" s="352"/>
      <c r="W33" s="352"/>
      <c r="X33" s="310"/>
      <c r="Y33" s="408"/>
      <c r="AA33" s="728"/>
      <c r="AB33" s="729"/>
      <c r="AC33" s="715" t="s">
        <v>609</v>
      </c>
      <c r="AD33" s="491">
        <f>AF31</f>
        <v>1.4893846153846153E-2</v>
      </c>
      <c r="AE33" s="729"/>
      <c r="AF33" s="730"/>
    </row>
    <row r="34" spans="1:33" ht="12.75" thickBot="1">
      <c r="A34" s="105">
        <v>13</v>
      </c>
      <c r="C34" s="3" t="s">
        <v>37</v>
      </c>
      <c r="D34" s="3"/>
      <c r="E34" s="222">
        <f>'ROO INPUT'!$F34</f>
        <v>12049</v>
      </c>
      <c r="F34" s="352">
        <v>0</v>
      </c>
      <c r="G34" s="352">
        <v>0</v>
      </c>
      <c r="H34" s="352">
        <v>0</v>
      </c>
      <c r="I34" s="352">
        <v>0</v>
      </c>
      <c r="J34" s="352">
        <v>0</v>
      </c>
      <c r="K34" s="352">
        <v>0</v>
      </c>
      <c r="L34" s="352">
        <v>0</v>
      </c>
      <c r="M34" s="352">
        <v>0</v>
      </c>
      <c r="N34" s="352">
        <v>0</v>
      </c>
      <c r="O34" s="352">
        <v>0</v>
      </c>
      <c r="P34" s="352">
        <v>0</v>
      </c>
      <c r="Q34" s="352">
        <v>0</v>
      </c>
      <c r="R34" s="352">
        <v>0</v>
      </c>
      <c r="S34" s="352">
        <v>0</v>
      </c>
      <c r="T34" s="352">
        <v>1</v>
      </c>
      <c r="U34" s="352">
        <v>0</v>
      </c>
      <c r="V34" s="352">
        <v>0</v>
      </c>
      <c r="W34" s="352">
        <v>0</v>
      </c>
      <c r="X34" s="310">
        <f>SUM(E34:W34)</f>
        <v>12050</v>
      </c>
      <c r="Y34" s="408">
        <f>SUM(X34:X34)</f>
        <v>12050</v>
      </c>
      <c r="AA34" s="731"/>
      <c r="AB34" s="734"/>
      <c r="AC34" s="716" t="s">
        <v>610</v>
      </c>
      <c r="AD34" s="735">
        <f>AD32+AD33</f>
        <v>8.7793846153846167E-2</v>
      </c>
      <c r="AE34" s="732"/>
      <c r="AF34" s="733"/>
    </row>
    <row r="35" spans="1:33" ht="15.75" customHeight="1">
      <c r="A35" s="105">
        <v>14</v>
      </c>
      <c r="C35" s="3" t="s">
        <v>168</v>
      </c>
      <c r="D35" s="3"/>
      <c r="E35" s="263">
        <f>'ROO INPUT'!$F35</f>
        <v>9866</v>
      </c>
      <c r="F35" s="352">
        <v>0</v>
      </c>
      <c r="G35" s="352">
        <v>0</v>
      </c>
      <c r="H35" s="352">
        <v>0</v>
      </c>
      <c r="I35" s="352">
        <v>0</v>
      </c>
      <c r="J35" s="352">
        <v>0</v>
      </c>
      <c r="K35" s="352">
        <v>0</v>
      </c>
      <c r="L35" s="352">
        <v>0</v>
      </c>
      <c r="M35" s="352">
        <v>0</v>
      </c>
      <c r="N35" s="352">
        <v>0</v>
      </c>
      <c r="O35" s="352">
        <v>0</v>
      </c>
      <c r="P35" s="352">
        <v>0</v>
      </c>
      <c r="Q35" s="352">
        <v>-13</v>
      </c>
      <c r="R35" s="352">
        <v>0</v>
      </c>
      <c r="S35" s="352">
        <v>0</v>
      </c>
      <c r="T35" s="352">
        <v>0</v>
      </c>
      <c r="U35" s="352">
        <v>0</v>
      </c>
      <c r="V35" s="352">
        <v>0</v>
      </c>
      <c r="W35" s="352">
        <v>0</v>
      </c>
      <c r="X35" s="310">
        <f>SUM(E35:W35)</f>
        <v>9853</v>
      </c>
      <c r="Y35" s="408">
        <f>SUM(X35:X35)</f>
        <v>9853</v>
      </c>
    </row>
    <row r="36" spans="1:33">
      <c r="A36" s="105">
        <v>15</v>
      </c>
      <c r="C36" s="3" t="s">
        <v>20</v>
      </c>
      <c r="D36" s="3"/>
      <c r="E36" s="223">
        <f>'ROO INPUT'!$F36</f>
        <v>12807</v>
      </c>
      <c r="F36" s="312">
        <v>0</v>
      </c>
      <c r="G36" s="312">
        <v>0</v>
      </c>
      <c r="H36" s="312">
        <v>0</v>
      </c>
      <c r="I36" s="312">
        <v>-5183</v>
      </c>
      <c r="J36" s="312">
        <v>375</v>
      </c>
      <c r="K36" s="312">
        <v>0</v>
      </c>
      <c r="L36" s="312">
        <v>0</v>
      </c>
      <c r="M36" s="312">
        <v>0</v>
      </c>
      <c r="N36" s="312">
        <v>0</v>
      </c>
      <c r="O36" s="312">
        <v>0</v>
      </c>
      <c r="P36" s="312">
        <v>2</v>
      </c>
      <c r="Q36" s="312">
        <v>0</v>
      </c>
      <c r="R36" s="312">
        <f>ROUND((R$15+R$16)*CF!$E$19,0)</f>
        <v>430</v>
      </c>
      <c r="S36" s="312">
        <f>ROUND((S$15+S$16)*CF!$E$19,0)</f>
        <v>-48</v>
      </c>
      <c r="T36" s="312">
        <v>0</v>
      </c>
      <c r="U36" s="312">
        <v>0</v>
      </c>
      <c r="V36" s="312">
        <v>0</v>
      </c>
      <c r="W36" s="312">
        <v>0</v>
      </c>
      <c r="X36" s="313">
        <f>SUM(E36:W36)</f>
        <v>8383</v>
      </c>
      <c r="Y36" s="403">
        <f>SUM(X36:X36)</f>
        <v>8383</v>
      </c>
    </row>
    <row r="37" spans="1:33" ht="12.95" customHeight="1">
      <c r="A37" s="105">
        <v>16</v>
      </c>
      <c r="B37" s="3" t="s">
        <v>41</v>
      </c>
      <c r="C37" s="3"/>
      <c r="E37" s="222">
        <f t="shared" ref="E37:W37" si="7">SUM(E34:E36)</f>
        <v>34722</v>
      </c>
      <c r="F37" s="222">
        <f t="shared" si="7"/>
        <v>0</v>
      </c>
      <c r="G37" s="222">
        <f t="shared" si="7"/>
        <v>0</v>
      </c>
      <c r="H37" s="222">
        <f t="shared" si="7"/>
        <v>0</v>
      </c>
      <c r="I37" s="263">
        <f t="shared" si="7"/>
        <v>-5183</v>
      </c>
      <c r="J37" s="263">
        <f>SUM(J34:J36)</f>
        <v>375</v>
      </c>
      <c r="K37" s="222">
        <f t="shared" si="7"/>
        <v>0</v>
      </c>
      <c r="L37" s="222">
        <f t="shared" si="7"/>
        <v>0</v>
      </c>
      <c r="M37" s="222">
        <f t="shared" si="7"/>
        <v>0</v>
      </c>
      <c r="N37" s="222">
        <f t="shared" si="7"/>
        <v>0</v>
      </c>
      <c r="O37" s="222">
        <f t="shared" si="7"/>
        <v>0</v>
      </c>
      <c r="P37" s="222">
        <f t="shared" si="7"/>
        <v>2</v>
      </c>
      <c r="Q37" s="222">
        <f t="shared" si="7"/>
        <v>-13</v>
      </c>
      <c r="R37" s="222">
        <f t="shared" si="7"/>
        <v>430</v>
      </c>
      <c r="S37" s="222">
        <f t="shared" si="7"/>
        <v>-48</v>
      </c>
      <c r="T37" s="222">
        <f t="shared" si="7"/>
        <v>1</v>
      </c>
      <c r="U37" s="222">
        <f t="shared" si="7"/>
        <v>0</v>
      </c>
      <c r="V37" s="222">
        <f t="shared" si="7"/>
        <v>0</v>
      </c>
      <c r="W37" s="222">
        <f t="shared" si="7"/>
        <v>0</v>
      </c>
      <c r="X37" s="310">
        <f>SUM(X34:X36)</f>
        <v>30286</v>
      </c>
      <c r="Y37" s="408">
        <f>SUM(Y34:Y36)</f>
        <v>30286</v>
      </c>
    </row>
    <row r="38" spans="1:33" ht="6" customHeight="1">
      <c r="C38" s="3"/>
      <c r="D38" s="3"/>
      <c r="E38" s="222"/>
      <c r="F38" s="222"/>
      <c r="G38" s="222"/>
      <c r="H38" s="222"/>
      <c r="I38" s="263"/>
      <c r="J38" s="263"/>
      <c r="K38" s="222"/>
      <c r="L38" s="222"/>
      <c r="M38" s="222"/>
      <c r="N38" s="222"/>
      <c r="O38" s="222"/>
      <c r="P38" s="222"/>
      <c r="Q38" s="222"/>
      <c r="R38" s="222"/>
      <c r="S38" s="222"/>
      <c r="T38" s="222"/>
      <c r="U38" s="222"/>
      <c r="V38" s="222"/>
      <c r="W38" s="222"/>
      <c r="X38" s="310"/>
      <c r="Y38" s="408"/>
    </row>
    <row r="39" spans="1:33" ht="12.95" customHeight="1" thickBot="1">
      <c r="A39" s="105">
        <v>17</v>
      </c>
      <c r="B39" s="1" t="s">
        <v>42</v>
      </c>
      <c r="C39" s="3"/>
      <c r="D39" s="3"/>
      <c r="E39" s="222">
        <f>'ROO INPUT'!$F39</f>
        <v>7352</v>
      </c>
      <c r="F39" s="311">
        <v>0</v>
      </c>
      <c r="G39" s="311">
        <v>2</v>
      </c>
      <c r="H39" s="311">
        <v>0</v>
      </c>
      <c r="I39" s="311">
        <v>0</v>
      </c>
      <c r="J39" s="311"/>
      <c r="K39" s="311">
        <v>-590</v>
      </c>
      <c r="L39" s="311">
        <v>0</v>
      </c>
      <c r="M39" s="311">
        <v>0</v>
      </c>
      <c r="N39" s="311">
        <v>0</v>
      </c>
      <c r="O39" s="311">
        <v>0</v>
      </c>
      <c r="P39" s="311">
        <v>0</v>
      </c>
      <c r="Q39" s="311">
        <v>0</v>
      </c>
      <c r="R39" s="352">
        <f>ROUND((R$15+R$16)*CF!$E$15,0)</f>
        <v>54</v>
      </c>
      <c r="S39" s="352">
        <f>ROUND((S$15+S$16)*CF!$E$15,0)</f>
        <v>-6</v>
      </c>
      <c r="T39" s="352">
        <v>0</v>
      </c>
      <c r="U39" s="222">
        <v>0</v>
      </c>
      <c r="V39" s="222">
        <v>0</v>
      </c>
      <c r="W39" s="352">
        <v>0</v>
      </c>
      <c r="X39" s="310">
        <f>SUM(E39:W39)</f>
        <v>6812</v>
      </c>
      <c r="Y39" s="408">
        <f>SUM(X39:X39)</f>
        <v>6812</v>
      </c>
    </row>
    <row r="40" spans="1:33">
      <c r="A40" s="105">
        <v>18</v>
      </c>
      <c r="B40" s="1" t="s">
        <v>43</v>
      </c>
      <c r="C40" s="3"/>
      <c r="D40" s="3"/>
      <c r="E40" s="222">
        <f>'ROO INPUT'!$F40</f>
        <v>7595</v>
      </c>
      <c r="F40" s="352">
        <v>0</v>
      </c>
      <c r="G40" s="352">
        <v>0</v>
      </c>
      <c r="H40" s="352">
        <v>0</v>
      </c>
      <c r="I40" s="352">
        <v>0</v>
      </c>
      <c r="J40" s="352">
        <v>0</v>
      </c>
      <c r="K40" s="352">
        <v>0</v>
      </c>
      <c r="L40" s="352">
        <v>0</v>
      </c>
      <c r="M40" s="352">
        <v>0</v>
      </c>
      <c r="N40" s="352">
        <v>0</v>
      </c>
      <c r="O40" s="352">
        <v>0</v>
      </c>
      <c r="P40" s="352">
        <v>0</v>
      </c>
      <c r="Q40" s="352">
        <v>0</v>
      </c>
      <c r="R40" s="352">
        <v>0</v>
      </c>
      <c r="S40" s="352">
        <v>-6632</v>
      </c>
      <c r="T40" s="352">
        <v>0</v>
      </c>
      <c r="U40" s="352">
        <v>0</v>
      </c>
      <c r="V40" s="352">
        <v>0</v>
      </c>
      <c r="W40" s="352">
        <v>0</v>
      </c>
      <c r="X40" s="310">
        <f>SUM(E40:W40)</f>
        <v>963</v>
      </c>
      <c r="Y40" s="408">
        <f>SUM(X40:X40)</f>
        <v>963</v>
      </c>
      <c r="Z40" s="746"/>
      <c r="AA40" s="737"/>
      <c r="AB40" s="868" t="s">
        <v>601</v>
      </c>
      <c r="AC40" s="747" t="s">
        <v>453</v>
      </c>
      <c r="AD40" s="747" t="s">
        <v>454</v>
      </c>
      <c r="AE40" s="747" t="s">
        <v>455</v>
      </c>
      <c r="AF40" s="748"/>
      <c r="AG40" s="738"/>
    </row>
    <row r="41" spans="1:33">
      <c r="A41" s="105">
        <v>19</v>
      </c>
      <c r="B41" s="1" t="s">
        <v>44</v>
      </c>
      <c r="C41" s="3"/>
      <c r="D41" s="3"/>
      <c r="E41" s="222">
        <f>'ROO INPUT'!$F41</f>
        <v>0</v>
      </c>
      <c r="F41" s="352">
        <v>0</v>
      </c>
      <c r="G41" s="352">
        <v>0</v>
      </c>
      <c r="H41" s="352">
        <v>0</v>
      </c>
      <c r="I41" s="352">
        <v>0</v>
      </c>
      <c r="J41" s="352">
        <v>0</v>
      </c>
      <c r="K41" s="352">
        <v>0</v>
      </c>
      <c r="L41" s="352">
        <v>0</v>
      </c>
      <c r="M41" s="352">
        <v>0</v>
      </c>
      <c r="N41" s="352">
        <v>0</v>
      </c>
      <c r="O41" s="352">
        <v>0</v>
      </c>
      <c r="P41" s="352">
        <v>0</v>
      </c>
      <c r="Q41" s="352">
        <v>0</v>
      </c>
      <c r="R41" s="352">
        <v>0</v>
      </c>
      <c r="S41" s="352">
        <v>0</v>
      </c>
      <c r="T41" s="352">
        <v>0</v>
      </c>
      <c r="U41" s="352">
        <v>0</v>
      </c>
      <c r="V41" s="352">
        <v>0</v>
      </c>
      <c r="W41" s="352">
        <v>0</v>
      </c>
      <c r="X41" s="310">
        <f>SUM(E41:W41)</f>
        <v>0</v>
      </c>
      <c r="Y41" s="408">
        <f>SUM(X41:X41)</f>
        <v>0</v>
      </c>
      <c r="Z41" s="749"/>
      <c r="AA41" s="680"/>
      <c r="AB41" s="869"/>
      <c r="AC41" s="492" t="s">
        <v>456</v>
      </c>
      <c r="AD41" s="493" t="s">
        <v>457</v>
      </c>
      <c r="AE41" s="493" t="s">
        <v>457</v>
      </c>
      <c r="AF41" s="314"/>
      <c r="AG41" s="740"/>
    </row>
    <row r="42" spans="1:33">
      <c r="C42" s="3"/>
      <c r="D42" s="3"/>
      <c r="E42" s="222"/>
      <c r="F42" s="352"/>
      <c r="G42" s="352"/>
      <c r="H42" s="352"/>
      <c r="I42" s="352"/>
      <c r="J42" s="352"/>
      <c r="K42" s="352"/>
      <c r="L42" s="352"/>
      <c r="M42" s="352"/>
      <c r="N42" s="352"/>
      <c r="O42" s="352"/>
      <c r="P42" s="352"/>
      <c r="Q42" s="352"/>
      <c r="R42" s="352"/>
      <c r="S42" s="352"/>
      <c r="T42" s="352"/>
      <c r="U42" s="352"/>
      <c r="V42" s="352"/>
      <c r="W42" s="352"/>
      <c r="X42" s="310"/>
      <c r="Y42" s="408"/>
      <c r="Z42" s="749"/>
      <c r="AA42" s="750" t="s">
        <v>38</v>
      </c>
      <c r="AB42" s="696">
        <f>Y29+Y35+Y45</f>
        <v>16605</v>
      </c>
      <c r="AC42" s="751">
        <f>AB42/$AB$48</f>
        <v>0.20786722357200216</v>
      </c>
      <c r="AD42" s="752">
        <f>'Cost Trends'!T177</f>
        <v>0.10932902836763629</v>
      </c>
      <c r="AE42" s="751"/>
      <c r="AF42" s="875" t="s">
        <v>657</v>
      </c>
      <c r="AG42" s="740"/>
    </row>
    <row r="43" spans="1:33">
      <c r="B43" s="1" t="s">
        <v>45</v>
      </c>
      <c r="C43" s="3"/>
      <c r="D43" s="3"/>
      <c r="E43" s="222"/>
      <c r="F43" s="352"/>
      <c r="G43" s="352"/>
      <c r="H43" s="352"/>
      <c r="I43" s="352"/>
      <c r="J43" s="352"/>
      <c r="K43" s="352"/>
      <c r="L43" s="352"/>
      <c r="M43" s="352"/>
      <c r="N43" s="352"/>
      <c r="O43" s="352"/>
      <c r="P43" s="352"/>
      <c r="Q43" s="352"/>
      <c r="R43" s="352"/>
      <c r="S43" s="352"/>
      <c r="T43" s="352"/>
      <c r="U43" s="352"/>
      <c r="V43" s="352"/>
      <c r="W43" s="352"/>
      <c r="X43" s="310">
        <f>SUM(E43:W43)</f>
        <v>0</v>
      </c>
      <c r="Y43" s="408"/>
      <c r="Z43" s="749"/>
      <c r="AA43" s="753" t="s">
        <v>393</v>
      </c>
      <c r="AB43" s="680">
        <f>Y28+Y34+Y39+Y40+Y44</f>
        <v>34149</v>
      </c>
      <c r="AC43" s="751">
        <f>AB43/$AB$48</f>
        <v>0.42748917902802175</v>
      </c>
      <c r="AD43" s="752">
        <f>'Cost Trends'!T174</f>
        <v>3.6247919159297544E-2</v>
      </c>
      <c r="AE43" s="751">
        <f>'Cost Trends'!Y174</f>
        <v>2.0299999999999999E-2</v>
      </c>
      <c r="AF43" s="875"/>
      <c r="AG43" s="740"/>
    </row>
    <row r="44" spans="1:33">
      <c r="A44" s="105">
        <v>20</v>
      </c>
      <c r="C44" s="3" t="s">
        <v>37</v>
      </c>
      <c r="D44" s="3"/>
      <c r="E44" s="222">
        <f>'ROO INPUT'!$F44</f>
        <v>13763</v>
      </c>
      <c r="F44" s="352">
        <v>0</v>
      </c>
      <c r="G44" s="352">
        <v>0</v>
      </c>
      <c r="H44" s="352">
        <v>0</v>
      </c>
      <c r="I44" s="352">
        <v>0</v>
      </c>
      <c r="J44" s="352">
        <v>0</v>
      </c>
      <c r="K44" s="352">
        <v>0</v>
      </c>
      <c r="L44" s="352">
        <v>-3</v>
      </c>
      <c r="M44" s="352">
        <v>76</v>
      </c>
      <c r="N44" s="352">
        <v>0</v>
      </c>
      <c r="O44" s="352">
        <v>-9</v>
      </c>
      <c r="P44" s="352">
        <v>0</v>
      </c>
      <c r="Q44" s="352">
        <v>0</v>
      </c>
      <c r="R44" s="352">
        <f>ROUND((R$15+R$16)*CF!$E$17,0)</f>
        <v>22</v>
      </c>
      <c r="S44" s="352">
        <f>ROUND((S$15+S$16)*CF!$E$17,0)</f>
        <v>-2</v>
      </c>
      <c r="T44" s="352">
        <v>-316</v>
      </c>
      <c r="U44" s="352">
        <v>0</v>
      </c>
      <c r="V44" s="352">
        <v>-181</v>
      </c>
      <c r="W44" s="352">
        <v>0</v>
      </c>
      <c r="X44" s="310">
        <f>SUM(E44:W44)</f>
        <v>13350</v>
      </c>
      <c r="Y44" s="408">
        <f>SUM(X44:X44)</f>
        <v>13350</v>
      </c>
      <c r="Z44" s="749"/>
      <c r="AA44" s="753" t="s">
        <v>458</v>
      </c>
      <c r="AB44" s="680">
        <f>Y36+Y30+'Cost Trends'!V133</f>
        <v>6045</v>
      </c>
      <c r="AC44" s="751">
        <f>AB44/$AB$48</f>
        <v>7.5673433694233849E-2</v>
      </c>
      <c r="AD44" s="752">
        <f>'Cost Trends'!T179</f>
        <v>5.2079177998625686E-2</v>
      </c>
      <c r="AE44" s="680"/>
      <c r="AF44" s="314"/>
      <c r="AG44" s="740"/>
    </row>
    <row r="45" spans="1:33">
      <c r="A45" s="105">
        <v>21</v>
      </c>
      <c r="C45" s="3" t="s">
        <v>168</v>
      </c>
      <c r="D45" s="3"/>
      <c r="E45" s="222">
        <f>'ROO INPUT'!$F45</f>
        <v>6260</v>
      </c>
      <c r="F45" s="352">
        <v>0</v>
      </c>
      <c r="G45" s="352">
        <v>0</v>
      </c>
      <c r="H45" s="352">
        <v>0</v>
      </c>
      <c r="I45" s="352">
        <v>0</v>
      </c>
      <c r="J45" s="352">
        <v>0</v>
      </c>
      <c r="K45" s="352">
        <v>0</v>
      </c>
      <c r="L45" s="352">
        <v>0</v>
      </c>
      <c r="M45" s="352">
        <v>0</v>
      </c>
      <c r="N45" s="352">
        <v>0</v>
      </c>
      <c r="O45" s="352">
        <v>0</v>
      </c>
      <c r="P45" s="352">
        <v>0</v>
      </c>
      <c r="Q45" s="352">
        <v>0</v>
      </c>
      <c r="R45" s="352"/>
      <c r="S45" s="352"/>
      <c r="T45" s="352">
        <v>0</v>
      </c>
      <c r="U45" s="352">
        <v>0</v>
      </c>
      <c r="V45" s="352">
        <v>0</v>
      </c>
      <c r="W45" s="352">
        <v>0</v>
      </c>
      <c r="X45" s="310">
        <f>SUM(E45:W45)</f>
        <v>6260</v>
      </c>
      <c r="Y45" s="408">
        <f>SUM(X45:X45)</f>
        <v>6260</v>
      </c>
      <c r="Z45" s="749"/>
      <c r="AA45" s="753" t="s">
        <v>459</v>
      </c>
      <c r="AB45" s="680"/>
      <c r="AC45" s="680"/>
      <c r="AD45" s="752"/>
      <c r="AE45" s="680"/>
      <c r="AF45" s="876" t="s">
        <v>658</v>
      </c>
      <c r="AG45" s="877"/>
    </row>
    <row r="46" spans="1:33">
      <c r="A46" s="105">
        <v>22</v>
      </c>
      <c r="C46" s="334" t="s">
        <v>379</v>
      </c>
      <c r="D46" s="3"/>
      <c r="E46" s="222">
        <f>'ROO INPUT'!$F46</f>
        <v>0</v>
      </c>
      <c r="F46" s="352"/>
      <c r="G46" s="352"/>
      <c r="H46" s="352"/>
      <c r="I46" s="352"/>
      <c r="J46" s="352"/>
      <c r="K46" s="352"/>
      <c r="L46" s="352"/>
      <c r="M46" s="352"/>
      <c r="N46" s="352"/>
      <c r="O46" s="352"/>
      <c r="P46" s="352"/>
      <c r="Q46" s="352"/>
      <c r="R46" s="352">
        <v>0</v>
      </c>
      <c r="S46" s="352">
        <v>0</v>
      </c>
      <c r="T46" s="352">
        <v>0</v>
      </c>
      <c r="U46" s="352">
        <v>1079</v>
      </c>
      <c r="V46" s="352">
        <v>0</v>
      </c>
      <c r="W46" s="352">
        <v>0</v>
      </c>
      <c r="X46" s="310">
        <f>SUM(E46:W46)</f>
        <v>1079</v>
      </c>
      <c r="Y46" s="408">
        <f>SUM(X46:X46)</f>
        <v>1079</v>
      </c>
      <c r="Z46" s="749"/>
      <c r="AA46" s="754">
        <f>Y75</f>
        <v>262931</v>
      </c>
      <c r="AB46" s="680">
        <f>AA46*AD34</f>
        <v>23083.723763076927</v>
      </c>
      <c r="AC46" s="751">
        <f>AB46/$AB$48</f>
        <v>0.28897016370574224</v>
      </c>
      <c r="AD46" s="752">
        <f>'Cost Trends'!T181</f>
        <v>8.1666630068297622E-2</v>
      </c>
      <c r="AE46" s="751">
        <f>'Cost Trends'!V181</f>
        <v>6.5612931108465042E-2</v>
      </c>
      <c r="AF46" s="876"/>
      <c r="AG46" s="877"/>
    </row>
    <row r="47" spans="1:33" ht="12.75" thickBot="1">
      <c r="A47" s="105">
        <v>23</v>
      </c>
      <c r="C47" s="3" t="s">
        <v>20</v>
      </c>
      <c r="D47" s="3"/>
      <c r="E47" s="223">
        <f>'ROO INPUT'!$F47</f>
        <v>0</v>
      </c>
      <c r="F47" s="312">
        <v>0</v>
      </c>
      <c r="G47" s="312">
        <v>0</v>
      </c>
      <c r="H47" s="312">
        <v>0</v>
      </c>
      <c r="I47" s="312">
        <v>0</v>
      </c>
      <c r="J47" s="312">
        <v>0</v>
      </c>
      <c r="K47" s="312">
        <v>0</v>
      </c>
      <c r="L47" s="312">
        <v>0</v>
      </c>
      <c r="M47" s="312">
        <v>0</v>
      </c>
      <c r="N47" s="312">
        <v>0</v>
      </c>
      <c r="O47" s="312">
        <v>0</v>
      </c>
      <c r="P47" s="312">
        <v>0</v>
      </c>
      <c r="Q47" s="312">
        <v>0</v>
      </c>
      <c r="R47" s="312">
        <v>0</v>
      </c>
      <c r="S47" s="312">
        <v>0</v>
      </c>
      <c r="T47" s="312">
        <v>0</v>
      </c>
      <c r="U47" s="312">
        <v>0</v>
      </c>
      <c r="V47" s="312">
        <v>0</v>
      </c>
      <c r="W47" s="312">
        <v>0</v>
      </c>
      <c r="X47" s="313">
        <f>SUM(E47:W47)</f>
        <v>0</v>
      </c>
      <c r="Y47" s="403">
        <f>SUM(X47:X47)</f>
        <v>0</v>
      </c>
      <c r="Z47" s="749"/>
      <c r="AA47" s="834" t="s">
        <v>667</v>
      </c>
      <c r="AB47" s="680"/>
      <c r="AC47" s="680"/>
      <c r="AD47" s="752"/>
      <c r="AE47" s="680"/>
      <c r="AF47" s="876"/>
      <c r="AG47" s="877"/>
    </row>
    <row r="48" spans="1:33" ht="13.5" thickBot="1">
      <c r="A48" s="105">
        <v>24</v>
      </c>
      <c r="B48" s="3" t="s">
        <v>46</v>
      </c>
      <c r="C48" s="3"/>
      <c r="E48" s="223">
        <f>SUM(E44:E47)</f>
        <v>20023</v>
      </c>
      <c r="F48" s="223">
        <f t="shared" ref="F48:X48" si="8">SUM(F44:F47)</f>
        <v>0</v>
      </c>
      <c r="G48" s="223">
        <f t="shared" si="8"/>
        <v>0</v>
      </c>
      <c r="H48" s="223">
        <f t="shared" si="8"/>
        <v>0</v>
      </c>
      <c r="I48" s="223">
        <f t="shared" si="8"/>
        <v>0</v>
      </c>
      <c r="J48" s="223">
        <f>SUM(J44:J47)</f>
        <v>0</v>
      </c>
      <c r="K48" s="223">
        <f t="shared" si="8"/>
        <v>0</v>
      </c>
      <c r="L48" s="223">
        <f t="shared" si="8"/>
        <v>-3</v>
      </c>
      <c r="M48" s="223">
        <f t="shared" si="8"/>
        <v>76</v>
      </c>
      <c r="N48" s="223">
        <f t="shared" si="8"/>
        <v>0</v>
      </c>
      <c r="O48" s="223">
        <f t="shared" si="8"/>
        <v>-9</v>
      </c>
      <c r="P48" s="223">
        <f t="shared" si="8"/>
        <v>0</v>
      </c>
      <c r="Q48" s="223">
        <f t="shared" si="8"/>
        <v>0</v>
      </c>
      <c r="R48" s="223">
        <f t="shared" si="8"/>
        <v>22</v>
      </c>
      <c r="S48" s="223">
        <f t="shared" si="8"/>
        <v>-2</v>
      </c>
      <c r="T48" s="223">
        <f t="shared" si="8"/>
        <v>-316</v>
      </c>
      <c r="U48" s="223">
        <f>SUM(U44:U47)</f>
        <v>1079</v>
      </c>
      <c r="V48" s="223">
        <f>SUM(V44:V47)</f>
        <v>-181</v>
      </c>
      <c r="W48" s="223">
        <f t="shared" si="8"/>
        <v>0</v>
      </c>
      <c r="X48" s="313">
        <f t="shared" si="8"/>
        <v>20689</v>
      </c>
      <c r="Y48" s="403">
        <f>SUM(Y44:Y47)</f>
        <v>20689</v>
      </c>
      <c r="Z48" s="749"/>
      <c r="AA48" s="753" t="s">
        <v>583</v>
      </c>
      <c r="AB48" s="799">
        <f>SUM(AB42:AB46)</f>
        <v>79882.723763076923</v>
      </c>
      <c r="AC48" s="800" t="s">
        <v>611</v>
      </c>
      <c r="AD48" s="801"/>
      <c r="AE48" s="680"/>
      <c r="AF48" s="314"/>
      <c r="AG48" s="740"/>
    </row>
    <row r="49" spans="1:33" ht="19.5" customHeight="1">
      <c r="A49" s="105">
        <v>25</v>
      </c>
      <c r="B49" s="1" t="s">
        <v>47</v>
      </c>
      <c r="C49" s="3"/>
      <c r="D49" s="3"/>
      <c r="E49" s="223">
        <f t="shared" ref="E49:X49" si="9">E21+E25+E31+E37+E39+E40+E41+E48</f>
        <v>187893</v>
      </c>
      <c r="F49" s="223">
        <f t="shared" si="9"/>
        <v>0</v>
      </c>
      <c r="G49" s="223">
        <f t="shared" si="9"/>
        <v>2</v>
      </c>
      <c r="H49" s="223">
        <f t="shared" si="9"/>
        <v>0</v>
      </c>
      <c r="I49" s="223">
        <f t="shared" si="9"/>
        <v>-5183</v>
      </c>
      <c r="J49" s="223">
        <f>J21+J25+J31+J37+J39+J40+J41+J48</f>
        <v>375</v>
      </c>
      <c r="K49" s="223">
        <f t="shared" si="9"/>
        <v>-590</v>
      </c>
      <c r="L49" s="223">
        <f t="shared" si="9"/>
        <v>-3</v>
      </c>
      <c r="M49" s="223">
        <f t="shared" si="9"/>
        <v>76</v>
      </c>
      <c r="N49" s="223">
        <f t="shared" si="9"/>
        <v>0</v>
      </c>
      <c r="O49" s="223">
        <f t="shared" si="9"/>
        <v>-9</v>
      </c>
      <c r="P49" s="223">
        <f t="shared" si="9"/>
        <v>2</v>
      </c>
      <c r="Q49" s="223">
        <f t="shared" si="9"/>
        <v>-13</v>
      </c>
      <c r="R49" s="223">
        <f t="shared" si="9"/>
        <v>5786</v>
      </c>
      <c r="S49" s="223">
        <f t="shared" si="9"/>
        <v>-64039</v>
      </c>
      <c r="T49" s="223">
        <f t="shared" si="9"/>
        <v>-315</v>
      </c>
      <c r="U49" s="223">
        <f>U21+U25+U31+U37+U39+U40+U41+U48</f>
        <v>1079</v>
      </c>
      <c r="V49" s="223">
        <f>V21+V25+V31+V37+V39+V40+V41+V48</f>
        <v>-181</v>
      </c>
      <c r="W49" s="223">
        <f t="shared" si="9"/>
        <v>0</v>
      </c>
      <c r="X49" s="313">
        <f t="shared" si="9"/>
        <v>124880</v>
      </c>
      <c r="Y49" s="403">
        <f>Y21+Y25+Y31+Y37+Y39+Y40+Y41+Y48</f>
        <v>124880</v>
      </c>
      <c r="Z49" s="749"/>
      <c r="AA49" s="314"/>
      <c r="AB49" s="754" t="s">
        <v>460</v>
      </c>
      <c r="AC49" s="752"/>
      <c r="AD49" s="680"/>
      <c r="AE49" s="680"/>
      <c r="AF49" s="314"/>
      <c r="AG49" s="740"/>
    </row>
    <row r="50" spans="1:33" ht="14.25" customHeight="1" thickBot="1">
      <c r="C50" s="3"/>
      <c r="D50" s="3"/>
      <c r="E50" s="222"/>
      <c r="F50" s="222"/>
      <c r="G50" s="222"/>
      <c r="H50" s="222"/>
      <c r="I50" s="222"/>
      <c r="J50" s="222"/>
      <c r="K50" s="222"/>
      <c r="L50" s="222"/>
      <c r="M50" s="222"/>
      <c r="N50" s="222"/>
      <c r="O50" s="222"/>
      <c r="P50" s="222"/>
      <c r="Q50" s="222"/>
      <c r="R50" s="222"/>
      <c r="S50" s="222"/>
      <c r="T50" s="222"/>
      <c r="U50" s="222"/>
      <c r="V50" s="222"/>
      <c r="W50" s="222"/>
      <c r="X50" s="310"/>
      <c r="Y50" s="408"/>
      <c r="Z50" s="755"/>
      <c r="AA50" s="744"/>
      <c r="AB50" s="744" t="s">
        <v>612</v>
      </c>
      <c r="AC50" s="744"/>
      <c r="AD50" s="744"/>
      <c r="AE50" s="744"/>
      <c r="AF50" s="756"/>
      <c r="AG50" s="745"/>
    </row>
    <row r="51" spans="1:33" ht="12.95" customHeight="1">
      <c r="A51" s="105">
        <v>26</v>
      </c>
      <c r="B51" s="1" t="s">
        <v>48</v>
      </c>
      <c r="C51" s="3"/>
      <c r="D51" s="3"/>
      <c r="E51" s="222">
        <f t="shared" ref="E51:W51" si="10">E18-E49</f>
        <v>32523</v>
      </c>
      <c r="F51" s="222">
        <f t="shared" si="10"/>
        <v>0</v>
      </c>
      <c r="G51" s="222">
        <f t="shared" si="10"/>
        <v>-2</v>
      </c>
      <c r="H51" s="222">
        <f t="shared" si="10"/>
        <v>0</v>
      </c>
      <c r="I51" s="222">
        <f t="shared" si="10"/>
        <v>-32</v>
      </c>
      <c r="J51" s="222">
        <f>J18-J49</f>
        <v>-375</v>
      </c>
      <c r="K51" s="222">
        <f t="shared" si="10"/>
        <v>590</v>
      </c>
      <c r="L51" s="222">
        <f t="shared" si="10"/>
        <v>3</v>
      </c>
      <c r="M51" s="222">
        <f t="shared" si="10"/>
        <v>-76</v>
      </c>
      <c r="N51" s="222">
        <f t="shared" si="10"/>
        <v>0</v>
      </c>
      <c r="O51" s="222">
        <f t="shared" si="10"/>
        <v>9</v>
      </c>
      <c r="P51" s="222">
        <f t="shared" si="10"/>
        <v>-2</v>
      </c>
      <c r="Q51" s="222">
        <f t="shared" si="10"/>
        <v>13</v>
      </c>
      <c r="R51" s="222">
        <f t="shared" si="10"/>
        <v>-4</v>
      </c>
      <c r="S51" s="222">
        <f t="shared" si="10"/>
        <v>-477</v>
      </c>
      <c r="T51" s="222">
        <f t="shared" si="10"/>
        <v>315</v>
      </c>
      <c r="U51" s="222">
        <f>U18-U49</f>
        <v>-1079</v>
      </c>
      <c r="V51" s="222">
        <f>V18-V49</f>
        <v>181</v>
      </c>
      <c r="W51" s="222">
        <f t="shared" si="10"/>
        <v>0</v>
      </c>
      <c r="X51" s="310">
        <f>SUM(E51:W51)</f>
        <v>31587</v>
      </c>
      <c r="Y51" s="408">
        <f>Y18-Y49</f>
        <v>31587</v>
      </c>
    </row>
    <row r="52" spans="1:33" ht="5.25" customHeight="1" thickBot="1">
      <c r="C52" s="3"/>
      <c r="D52" s="3"/>
      <c r="E52" s="222"/>
      <c r="F52" s="222"/>
      <c r="G52" s="222"/>
      <c r="H52" s="222"/>
      <c r="I52" s="222"/>
      <c r="J52" s="222"/>
      <c r="K52" s="222"/>
      <c r="L52" s="222"/>
      <c r="M52" s="222"/>
      <c r="N52" s="222"/>
      <c r="O52" s="222"/>
      <c r="P52" s="222"/>
      <c r="Q52" s="222"/>
      <c r="R52" s="222"/>
      <c r="S52" s="222"/>
      <c r="T52" s="222"/>
      <c r="U52" s="222"/>
      <c r="V52" s="222"/>
      <c r="W52" s="222"/>
      <c r="X52" s="310"/>
      <c r="Y52" s="408"/>
    </row>
    <row r="53" spans="1:33" ht="12.95" customHeight="1">
      <c r="B53" s="1" t="s">
        <v>49</v>
      </c>
      <c r="C53" s="3"/>
      <c r="D53" s="3"/>
      <c r="E53" s="222"/>
      <c r="F53" s="352"/>
      <c r="G53" s="352"/>
      <c r="H53" s="352"/>
      <c r="I53" s="352"/>
      <c r="J53" s="352"/>
      <c r="K53" s="352"/>
      <c r="L53" s="352"/>
      <c r="M53" s="352"/>
      <c r="N53" s="352"/>
      <c r="O53" s="352"/>
      <c r="P53" s="352"/>
      <c r="Q53" s="352"/>
      <c r="R53" s="352"/>
      <c r="S53" s="352"/>
      <c r="T53" s="352"/>
      <c r="U53" s="352"/>
      <c r="V53" s="352"/>
      <c r="W53" s="352"/>
      <c r="X53" s="310"/>
      <c r="Y53" s="408"/>
      <c r="AA53" s="736" t="s">
        <v>602</v>
      </c>
      <c r="AB53" s="737"/>
      <c r="AC53" s="737"/>
      <c r="AD53" s="737"/>
      <c r="AE53" s="737"/>
      <c r="AF53" s="738"/>
    </row>
    <row r="54" spans="1:33">
      <c r="A54" s="105">
        <v>27</v>
      </c>
      <c r="B54" s="3" t="s">
        <v>50</v>
      </c>
      <c r="D54" s="3"/>
      <c r="E54" s="222">
        <f>'ROO INPUT'!$F54</f>
        <v>-841</v>
      </c>
      <c r="F54" s="352">
        <f>F51*0.35</f>
        <v>0</v>
      </c>
      <c r="G54" s="352">
        <f>G51*0.35</f>
        <v>-0.7</v>
      </c>
      <c r="H54" s="352">
        <f t="shared" ref="H54:M54" si="11">H51*0.35</f>
        <v>0</v>
      </c>
      <c r="I54" s="352">
        <f t="shared" si="11"/>
        <v>-11.2</v>
      </c>
      <c r="J54" s="352">
        <f>J51*0.35</f>
        <v>-131.25</v>
      </c>
      <c r="K54" s="352">
        <f t="shared" si="11"/>
        <v>206.5</v>
      </c>
      <c r="L54" s="352">
        <f t="shared" si="11"/>
        <v>1.0499999999999998</v>
      </c>
      <c r="M54" s="352">
        <f t="shared" si="11"/>
        <v>-26.599999999999998</v>
      </c>
      <c r="N54" s="352">
        <v>0</v>
      </c>
      <c r="O54" s="352">
        <f t="shared" ref="O54:V54" si="12">O51*0.35</f>
        <v>3.15</v>
      </c>
      <c r="P54" s="352">
        <f t="shared" si="12"/>
        <v>-0.7</v>
      </c>
      <c r="Q54" s="352">
        <f t="shared" si="12"/>
        <v>4.55</v>
      </c>
      <c r="R54" s="352">
        <f t="shared" si="12"/>
        <v>-1.4</v>
      </c>
      <c r="S54" s="352">
        <f t="shared" si="12"/>
        <v>-166.95</v>
      </c>
      <c r="T54" s="352">
        <f t="shared" si="12"/>
        <v>110.25</v>
      </c>
      <c r="U54" s="352">
        <f t="shared" si="12"/>
        <v>-377.65</v>
      </c>
      <c r="V54" s="352">
        <f t="shared" si="12"/>
        <v>63.349999999999994</v>
      </c>
      <c r="W54" s="352">
        <f>'DEBT CALC'!E54</f>
        <v>-91</v>
      </c>
      <c r="X54" s="310">
        <f>SUM(E54:W54)</f>
        <v>-1259.6000000000004</v>
      </c>
      <c r="Y54" s="408">
        <f>SUM(X54:X54)</f>
        <v>-1259.6000000000004</v>
      </c>
      <c r="AA54" s="739"/>
      <c r="AB54" s="680"/>
      <c r="AC54" s="495" t="s">
        <v>461</v>
      </c>
      <c r="AD54" s="680"/>
      <c r="AE54" s="680"/>
      <c r="AF54" s="740"/>
    </row>
    <row r="55" spans="1:33" ht="12.75" thickBot="1">
      <c r="A55" s="105">
        <v>28</v>
      </c>
      <c r="B55" s="3" t="s">
        <v>153</v>
      </c>
      <c r="D55" s="3"/>
      <c r="E55" s="222">
        <f>'ROO INPUT'!$F55</f>
        <v>0</v>
      </c>
      <c r="F55" s="352">
        <f>(F82*'Coat of Capital'!$P$13)*-0.35</f>
        <v>3.1963749999999997</v>
      </c>
      <c r="G55" s="352">
        <f>(G82*'Coat of Capital'!$P$13)*-0.35</f>
        <v>0</v>
      </c>
      <c r="H55" s="352">
        <f>(H82*'Coat of Capital'!$P$13)*-0.35</f>
        <v>8.4974399999999992</v>
      </c>
      <c r="I55" s="352">
        <f>(I82*'Coat of Capital'!$P$13)*-0.35</f>
        <v>0</v>
      </c>
      <c r="J55" s="352">
        <f>(J82*'Coat of Capital'!$P$13)*-0.35</f>
        <v>0</v>
      </c>
      <c r="K55" s="352">
        <f>(K82*'Coat of Capital'!$P$13)*-0.35</f>
        <v>0</v>
      </c>
      <c r="L55" s="352">
        <f>(L82*'Coat of Capital'!$P$13)*-0.35</f>
        <v>0</v>
      </c>
      <c r="M55" s="352">
        <f>(M82*'Coat of Capital'!$P$13)*-0.35</f>
        <v>0</v>
      </c>
      <c r="N55" s="352"/>
      <c r="O55" s="352">
        <f>(O82*'Coat of Capital'!$P$13)*-0.35</f>
        <v>0</v>
      </c>
      <c r="P55" s="352">
        <f>(P82*'Coat of Capital'!$P$13)*-0.35</f>
        <v>0</v>
      </c>
      <c r="Q55" s="352">
        <f>(Q82*'Coat of Capital'!$P$13)*-0.35</f>
        <v>0</v>
      </c>
      <c r="R55" s="352">
        <f>(R82*'Coat of Capital'!$P$13)*-0.35</f>
        <v>0</v>
      </c>
      <c r="S55" s="352">
        <f>(S82*'Coat of Capital'!$P$13)*-0.35</f>
        <v>0</v>
      </c>
      <c r="T55" s="352">
        <f>(T82*'Coat of Capital'!$P$13)*-0.35</f>
        <v>0</v>
      </c>
      <c r="U55" s="352">
        <f>(U82*'Coat of Capital'!$P$13)*-0.35</f>
        <v>0</v>
      </c>
      <c r="V55" s="352">
        <f>(V82*'Coat of Capital'!$P$13)*-0.35</f>
        <v>0</v>
      </c>
      <c r="W55" s="352"/>
      <c r="X55" s="310">
        <f>SUM(E55:W55)</f>
        <v>11.693814999999999</v>
      </c>
      <c r="Y55" s="408">
        <f>SUM(X55:X55)</f>
        <v>11.693814999999999</v>
      </c>
      <c r="AA55" s="741"/>
      <c r="AB55" s="742">
        <v>1625</v>
      </c>
      <c r="AC55" s="743">
        <f>AB55/2.333</f>
        <v>696.52807543934841</v>
      </c>
      <c r="AD55" s="744"/>
      <c r="AE55" s="744"/>
      <c r="AF55" s="745"/>
    </row>
    <row r="56" spans="1:33">
      <c r="A56" s="105">
        <v>29</v>
      </c>
      <c r="B56" s="3" t="s">
        <v>51</v>
      </c>
      <c r="D56" s="3"/>
      <c r="E56" s="222">
        <f>'ROO INPUT'!$F56</f>
        <v>9923</v>
      </c>
      <c r="F56" s="352">
        <v>0</v>
      </c>
      <c r="G56" s="352">
        <v>0</v>
      </c>
      <c r="H56" s="352">
        <v>0</v>
      </c>
      <c r="I56" s="352">
        <v>0</v>
      </c>
      <c r="J56" s="352">
        <v>0</v>
      </c>
      <c r="K56" s="352">
        <v>0</v>
      </c>
      <c r="L56" s="352">
        <v>0</v>
      </c>
      <c r="M56" s="352">
        <v>0</v>
      </c>
      <c r="N56" s="352">
        <v>0</v>
      </c>
      <c r="O56" s="352">
        <v>0</v>
      </c>
      <c r="P56" s="352">
        <v>0</v>
      </c>
      <c r="Q56" s="352">
        <v>0</v>
      </c>
      <c r="R56" s="352">
        <v>0</v>
      </c>
      <c r="S56" s="352">
        <v>0</v>
      </c>
      <c r="T56" s="352">
        <v>0</v>
      </c>
      <c r="U56" s="352">
        <v>0</v>
      </c>
      <c r="V56" s="352">
        <v>0</v>
      </c>
      <c r="W56" s="352">
        <v>0</v>
      </c>
      <c r="X56" s="310">
        <f>SUM(E56:W56)</f>
        <v>9923</v>
      </c>
      <c r="Y56" s="408">
        <f>SUM(X56:X56)</f>
        <v>9923</v>
      </c>
      <c r="AA56" s="478"/>
      <c r="AB56" s="478"/>
      <c r="AC56" s="835">
        <f>AC55/AB48</f>
        <v>8.7193831485412477E-3</v>
      </c>
      <c r="AD56" s="486"/>
      <c r="AE56" s="486"/>
    </row>
    <row r="57" spans="1:33" ht="12.75" thickBot="1">
      <c r="A57" s="105">
        <v>30</v>
      </c>
      <c r="B57" s="3" t="s">
        <v>52</v>
      </c>
      <c r="D57" s="3"/>
      <c r="E57" s="223">
        <f>'ROO INPUT'!$F57</f>
        <v>-17</v>
      </c>
      <c r="F57" s="312"/>
      <c r="G57" s="312"/>
      <c r="H57" s="312"/>
      <c r="I57" s="312">
        <v>0</v>
      </c>
      <c r="J57" s="312">
        <v>0</v>
      </c>
      <c r="K57" s="312">
        <v>0</v>
      </c>
      <c r="L57" s="312">
        <v>0</v>
      </c>
      <c r="M57" s="312">
        <v>0</v>
      </c>
      <c r="N57" s="312">
        <v>0</v>
      </c>
      <c r="O57" s="312">
        <v>0</v>
      </c>
      <c r="P57" s="312">
        <v>0</v>
      </c>
      <c r="Q57" s="312">
        <v>0</v>
      </c>
      <c r="R57" s="312">
        <v>0</v>
      </c>
      <c r="S57" s="312">
        <v>0</v>
      </c>
      <c r="T57" s="312">
        <v>0</v>
      </c>
      <c r="U57" s="312">
        <v>0</v>
      </c>
      <c r="V57" s="312">
        <v>0</v>
      </c>
      <c r="W57" s="312">
        <v>0</v>
      </c>
      <c r="X57" s="313">
        <f>SUM(E57:W57)</f>
        <v>-17</v>
      </c>
      <c r="Y57" s="403">
        <f>SUM(X57:X57)</f>
        <v>-17</v>
      </c>
      <c r="AD57" s="486"/>
      <c r="AE57" s="486"/>
    </row>
    <row r="58" spans="1:33">
      <c r="E58" s="222"/>
      <c r="F58" s="222"/>
      <c r="G58" s="222"/>
      <c r="H58" s="222"/>
      <c r="I58" s="222"/>
      <c r="J58" s="222"/>
      <c r="K58" s="222"/>
      <c r="L58" s="222"/>
      <c r="M58" s="222"/>
      <c r="N58" s="222"/>
      <c r="O58" s="222"/>
      <c r="P58" s="222"/>
      <c r="Q58" s="222"/>
      <c r="R58" s="222"/>
      <c r="S58" s="222"/>
      <c r="T58" s="222"/>
      <c r="U58" s="222"/>
      <c r="V58" s="222"/>
      <c r="W58" s="222"/>
      <c r="X58" s="310"/>
      <c r="Y58" s="408"/>
      <c r="Z58" s="746"/>
      <c r="AA58" s="748"/>
      <c r="AB58" s="804" t="s">
        <v>613</v>
      </c>
      <c r="AD58" s="486"/>
      <c r="AE58" s="486"/>
    </row>
    <row r="59" spans="1:33" s="2" customFormat="1" ht="12.75" thickBot="1">
      <c r="A59" s="105">
        <v>31</v>
      </c>
      <c r="B59" s="2" t="s">
        <v>53</v>
      </c>
      <c r="E59" s="357">
        <f>E51-SUM(E54:E57)</f>
        <v>23458</v>
      </c>
      <c r="F59" s="357">
        <f t="shared" ref="F59:O59" si="13">F51-SUM(F54:F57)</f>
        <v>-3.1963749999999997</v>
      </c>
      <c r="G59" s="357">
        <f>G51-SUM(G54:G57)</f>
        <v>-1.3</v>
      </c>
      <c r="H59" s="357">
        <f t="shared" si="13"/>
        <v>-8.4974399999999992</v>
      </c>
      <c r="I59" s="357">
        <f t="shared" si="13"/>
        <v>-20.8</v>
      </c>
      <c r="J59" s="357">
        <f>J51-SUM(J54:J57)</f>
        <v>-243.75</v>
      </c>
      <c r="K59" s="357">
        <f t="shared" si="13"/>
        <v>383.5</v>
      </c>
      <c r="L59" s="357">
        <f t="shared" si="13"/>
        <v>1.9500000000000002</v>
      </c>
      <c r="M59" s="357">
        <f t="shared" si="13"/>
        <v>-49.400000000000006</v>
      </c>
      <c r="N59" s="357">
        <f t="shared" si="13"/>
        <v>0</v>
      </c>
      <c r="O59" s="357">
        <f t="shared" si="13"/>
        <v>5.85</v>
      </c>
      <c r="P59" s="357">
        <f t="shared" ref="P59:W59" si="14">P51-SUM(P54:P57)</f>
        <v>-1.3</v>
      </c>
      <c r="Q59" s="357">
        <f t="shared" si="14"/>
        <v>8.4499999999999993</v>
      </c>
      <c r="R59" s="357">
        <f t="shared" si="14"/>
        <v>-2.6</v>
      </c>
      <c r="S59" s="357">
        <f t="shared" si="14"/>
        <v>-310.05</v>
      </c>
      <c r="T59" s="357">
        <f t="shared" si="14"/>
        <v>204.75</v>
      </c>
      <c r="U59" s="357">
        <f t="shared" si="14"/>
        <v>-701.35</v>
      </c>
      <c r="V59" s="357">
        <f t="shared" si="14"/>
        <v>117.65</v>
      </c>
      <c r="W59" s="357">
        <f t="shared" si="14"/>
        <v>91</v>
      </c>
      <c r="X59" s="315">
        <f>X51-SUM(X54:X57)+X58</f>
        <v>22928.906185</v>
      </c>
      <c r="Y59" s="409">
        <f>Y51-SUM(Y54:Y57)+Y58</f>
        <v>22928.906185</v>
      </c>
      <c r="Z59" s="757"/>
      <c r="AA59" s="680"/>
      <c r="AB59" s="802" t="s">
        <v>462</v>
      </c>
      <c r="AD59" s="486"/>
      <c r="AE59" s="486"/>
    </row>
    <row r="60" spans="1:33" ht="11.25" customHeight="1" thickTop="1">
      <c r="E60" s="222"/>
      <c r="F60" s="222"/>
      <c r="G60" s="222"/>
      <c r="H60" s="222"/>
      <c r="I60" s="222"/>
      <c r="J60" s="222"/>
      <c r="K60" s="222"/>
      <c r="L60" s="222"/>
      <c r="M60" s="222"/>
      <c r="N60" s="222"/>
      <c r="O60" s="222"/>
      <c r="P60" s="222"/>
      <c r="Q60" s="222"/>
      <c r="R60" s="222"/>
      <c r="S60" s="222"/>
      <c r="T60" s="222"/>
      <c r="U60" s="310"/>
      <c r="V60" s="310"/>
      <c r="W60" s="222"/>
      <c r="X60" s="310"/>
      <c r="Y60" s="408"/>
      <c r="Z60" s="749"/>
      <c r="AA60" s="680"/>
      <c r="AB60" s="803" t="s">
        <v>463</v>
      </c>
      <c r="AD60" s="486"/>
      <c r="AE60" s="486"/>
    </row>
    <row r="61" spans="1:33">
      <c r="B61" s="1" t="s">
        <v>95</v>
      </c>
      <c r="E61" s="222"/>
      <c r="F61" s="222"/>
      <c r="G61" s="222"/>
      <c r="H61" s="222"/>
      <c r="I61" s="222"/>
      <c r="J61" s="222"/>
      <c r="K61" s="222"/>
      <c r="L61" s="222"/>
      <c r="M61" s="222"/>
      <c r="N61" s="222"/>
      <c r="O61" s="222"/>
      <c r="P61" s="222"/>
      <c r="Q61" s="222"/>
      <c r="R61" s="222"/>
      <c r="S61" s="222"/>
      <c r="T61" s="222"/>
      <c r="U61" s="310"/>
      <c r="V61" s="310"/>
      <c r="W61" s="222"/>
      <c r="X61" s="310"/>
      <c r="Y61" s="408"/>
      <c r="Z61" s="749"/>
      <c r="AA61" s="758" t="s">
        <v>38</v>
      </c>
      <c r="AB61" s="821">
        <f>'Cost Trends'!V202</f>
        <v>2.2725921582605221E-2</v>
      </c>
      <c r="AD61" s="486"/>
      <c r="AE61" s="486"/>
    </row>
    <row r="62" spans="1:33">
      <c r="B62" s="1" t="s">
        <v>96</v>
      </c>
      <c r="E62" s="222"/>
      <c r="F62" s="352"/>
      <c r="G62" s="352"/>
      <c r="H62" s="352"/>
      <c r="I62" s="352"/>
      <c r="J62" s="352"/>
      <c r="K62" s="352"/>
      <c r="L62" s="352"/>
      <c r="M62" s="352"/>
      <c r="N62" s="352"/>
      <c r="O62" s="352"/>
      <c r="P62" s="352"/>
      <c r="Q62" s="352"/>
      <c r="R62" s="352"/>
      <c r="S62" s="352"/>
      <c r="T62" s="352"/>
      <c r="U62" s="358"/>
      <c r="V62" s="358"/>
      <c r="W62" s="352"/>
      <c r="X62" s="310"/>
      <c r="Y62" s="408"/>
      <c r="Z62" s="749"/>
      <c r="AA62" s="759" t="s">
        <v>393</v>
      </c>
      <c r="AB62" s="821">
        <f>'Cost Trends'!V203</f>
        <v>8.6780303342688415E-3</v>
      </c>
      <c r="AD62" s="486"/>
      <c r="AE62" s="486"/>
    </row>
    <row r="63" spans="1:33">
      <c r="A63" s="105">
        <v>32</v>
      </c>
      <c r="B63" s="3"/>
      <c r="C63" s="3" t="s">
        <v>36</v>
      </c>
      <c r="D63" s="3"/>
      <c r="E63" s="402">
        <f>'ROO INPUT'!$F63</f>
        <v>26868</v>
      </c>
      <c r="F63" s="351">
        <v>0</v>
      </c>
      <c r="G63" s="351">
        <v>0</v>
      </c>
      <c r="H63" s="351">
        <v>0</v>
      </c>
      <c r="I63" s="351">
        <v>0</v>
      </c>
      <c r="J63" s="351">
        <v>0</v>
      </c>
      <c r="K63" s="351">
        <v>0</v>
      </c>
      <c r="L63" s="351">
        <v>0</v>
      </c>
      <c r="M63" s="351">
        <v>0</v>
      </c>
      <c r="N63" s="351">
        <v>0</v>
      </c>
      <c r="O63" s="351">
        <v>0</v>
      </c>
      <c r="P63" s="351">
        <v>0</v>
      </c>
      <c r="Q63" s="351">
        <v>0</v>
      </c>
      <c r="R63" s="351">
        <v>0</v>
      </c>
      <c r="S63" s="351">
        <v>0</v>
      </c>
      <c r="T63" s="351">
        <v>0</v>
      </c>
      <c r="U63" s="359">
        <v>0</v>
      </c>
      <c r="V63" s="359">
        <v>0</v>
      </c>
      <c r="W63" s="351">
        <v>0</v>
      </c>
      <c r="X63" s="309">
        <f>SUM(E63:W63)</f>
        <v>26868</v>
      </c>
      <c r="Y63" s="407">
        <f>SUM(X63:X63)</f>
        <v>26868</v>
      </c>
      <c r="Z63" s="749"/>
      <c r="AA63" s="759" t="s">
        <v>458</v>
      </c>
      <c r="AB63" s="821">
        <f>'Cost Trends'!V204</f>
        <v>3.9410102231292035E-3</v>
      </c>
      <c r="AD63" s="486"/>
      <c r="AE63" s="486"/>
    </row>
    <row r="64" spans="1:33">
      <c r="A64" s="105">
        <v>33</v>
      </c>
      <c r="B64" s="3"/>
      <c r="C64" s="3" t="s">
        <v>54</v>
      </c>
      <c r="D64" s="3"/>
      <c r="E64" s="222">
        <f>'ROO INPUT'!$F64</f>
        <v>390508</v>
      </c>
      <c r="F64" s="352">
        <v>0</v>
      </c>
      <c r="G64" s="352">
        <v>0</v>
      </c>
      <c r="H64" s="352">
        <v>0</v>
      </c>
      <c r="I64" s="352">
        <v>0</v>
      </c>
      <c r="J64" s="352">
        <v>0</v>
      </c>
      <c r="K64" s="352">
        <v>0</v>
      </c>
      <c r="L64" s="352">
        <v>0</v>
      </c>
      <c r="M64" s="352">
        <v>0</v>
      </c>
      <c r="N64" s="352">
        <v>0</v>
      </c>
      <c r="O64" s="352">
        <v>0</v>
      </c>
      <c r="P64" s="352">
        <v>0</v>
      </c>
      <c r="Q64" s="352">
        <v>0</v>
      </c>
      <c r="R64" s="352">
        <v>0</v>
      </c>
      <c r="S64" s="352">
        <v>0</v>
      </c>
      <c r="T64" s="352">
        <v>0</v>
      </c>
      <c r="U64" s="358">
        <v>0</v>
      </c>
      <c r="V64" s="358">
        <v>0</v>
      </c>
      <c r="W64" s="352">
        <v>0</v>
      </c>
      <c r="X64" s="310">
        <f>SUM(E64:W64)</f>
        <v>390508</v>
      </c>
      <c r="Y64" s="408">
        <f>SUM(X64:X64)</f>
        <v>390508</v>
      </c>
      <c r="Z64" s="749"/>
      <c r="AA64" s="759" t="s">
        <v>459</v>
      </c>
      <c r="AB64" s="821">
        <f>AE46*AC46</f>
        <v>1.896017944362673E-2</v>
      </c>
      <c r="AD64" s="486"/>
      <c r="AE64" s="486"/>
    </row>
    <row r="65" spans="1:28">
      <c r="A65" s="105">
        <v>34</v>
      </c>
      <c r="B65" s="3"/>
      <c r="C65" s="3" t="s">
        <v>55</v>
      </c>
      <c r="D65" s="3"/>
      <c r="E65" s="223">
        <f>'ROO INPUT'!$F65</f>
        <v>82624</v>
      </c>
      <c r="F65" s="312">
        <v>0</v>
      </c>
      <c r="G65" s="312">
        <v>0</v>
      </c>
      <c r="H65" s="312">
        <v>0</v>
      </c>
      <c r="I65" s="312">
        <v>0</v>
      </c>
      <c r="J65" s="312">
        <v>0</v>
      </c>
      <c r="K65" s="312">
        <v>0</v>
      </c>
      <c r="L65" s="312">
        <v>0</v>
      </c>
      <c r="M65" s="312">
        <v>0</v>
      </c>
      <c r="N65" s="312">
        <v>0</v>
      </c>
      <c r="O65" s="312">
        <v>0</v>
      </c>
      <c r="P65" s="312">
        <v>0</v>
      </c>
      <c r="Q65" s="312">
        <v>0</v>
      </c>
      <c r="R65" s="312">
        <v>0</v>
      </c>
      <c r="S65" s="312">
        <v>0</v>
      </c>
      <c r="T65" s="312">
        <v>0</v>
      </c>
      <c r="U65" s="360">
        <v>0</v>
      </c>
      <c r="V65" s="360">
        <v>0</v>
      </c>
      <c r="W65" s="312">
        <v>0</v>
      </c>
      <c r="X65" s="313">
        <f>SUM(E65:W65)</f>
        <v>82624</v>
      </c>
      <c r="Y65" s="403">
        <f>SUM(X65:X65)</f>
        <v>82624</v>
      </c>
      <c r="Z65" s="749"/>
      <c r="AA65" s="759" t="s">
        <v>131</v>
      </c>
      <c r="AB65" s="822">
        <f>-AC56</f>
        <v>-8.7193831485412477E-3</v>
      </c>
    </row>
    <row r="66" spans="1:28" ht="12.75" thickBot="1">
      <c r="A66" s="105">
        <v>35</v>
      </c>
      <c r="B66" s="3" t="s">
        <v>56</v>
      </c>
      <c r="C66" s="3"/>
      <c r="E66" s="222">
        <f>SUM(E63:E65)</f>
        <v>500000</v>
      </c>
      <c r="F66" s="222">
        <f t="shared" ref="F66:X66" si="15">SUM(F63:F65)</f>
        <v>0</v>
      </c>
      <c r="G66" s="222">
        <f t="shared" si="15"/>
        <v>0</v>
      </c>
      <c r="H66" s="222">
        <f t="shared" si="15"/>
        <v>0</v>
      </c>
      <c r="I66" s="222">
        <f t="shared" si="15"/>
        <v>0</v>
      </c>
      <c r="J66" s="222">
        <f>SUM(J63:J65)</f>
        <v>0</v>
      </c>
      <c r="K66" s="222">
        <f t="shared" si="15"/>
        <v>0</v>
      </c>
      <c r="L66" s="222">
        <f t="shared" si="15"/>
        <v>0</v>
      </c>
      <c r="M66" s="222">
        <f t="shared" si="15"/>
        <v>0</v>
      </c>
      <c r="N66" s="222">
        <f t="shared" si="15"/>
        <v>0</v>
      </c>
      <c r="O66" s="222">
        <f t="shared" si="15"/>
        <v>0</v>
      </c>
      <c r="P66" s="222">
        <f t="shared" si="15"/>
        <v>0</v>
      </c>
      <c r="Q66" s="222">
        <f t="shared" si="15"/>
        <v>0</v>
      </c>
      <c r="R66" s="222">
        <f t="shared" si="15"/>
        <v>0</v>
      </c>
      <c r="S66" s="222">
        <f t="shared" si="15"/>
        <v>0</v>
      </c>
      <c r="T66" s="222">
        <f t="shared" si="15"/>
        <v>0</v>
      </c>
      <c r="U66" s="222">
        <f t="shared" si="15"/>
        <v>0</v>
      </c>
      <c r="V66" s="222">
        <f t="shared" si="15"/>
        <v>0</v>
      </c>
      <c r="W66" s="222">
        <f t="shared" si="15"/>
        <v>0</v>
      </c>
      <c r="X66" s="310">
        <f t="shared" si="15"/>
        <v>500000</v>
      </c>
      <c r="Y66" s="408">
        <f>SUM(Y63:Y65)</f>
        <v>500000</v>
      </c>
      <c r="Z66" s="755"/>
      <c r="AA66" s="744"/>
      <c r="AB66" s="823">
        <f>SUM(AB61:AB65)-0.0001</f>
        <v>4.5485758435088744E-2</v>
      </c>
    </row>
    <row r="67" spans="1:28" ht="3.75" customHeight="1">
      <c r="B67" s="3"/>
      <c r="C67" s="3"/>
      <c r="E67" s="222"/>
      <c r="F67" s="222"/>
      <c r="G67" s="222"/>
      <c r="H67" s="222"/>
      <c r="I67" s="222"/>
      <c r="J67" s="222"/>
      <c r="K67" s="222"/>
      <c r="L67" s="222"/>
      <c r="M67" s="222"/>
      <c r="N67" s="222"/>
      <c r="O67" s="222"/>
      <c r="P67" s="222"/>
      <c r="Q67" s="222"/>
      <c r="R67" s="222"/>
      <c r="S67" s="222"/>
      <c r="T67" s="222"/>
      <c r="U67" s="222"/>
      <c r="V67" s="222"/>
      <c r="W67" s="222"/>
      <c r="X67" s="310"/>
      <c r="Y67" s="408"/>
    </row>
    <row r="68" spans="1:28">
      <c r="B68" s="3" t="s">
        <v>170</v>
      </c>
      <c r="C68" s="3"/>
      <c r="D68" s="3"/>
      <c r="E68" s="222"/>
      <c r="F68" s="352"/>
      <c r="G68" s="352"/>
      <c r="H68" s="352"/>
      <c r="I68" s="352"/>
      <c r="J68" s="352"/>
      <c r="K68" s="352"/>
      <c r="L68" s="352"/>
      <c r="M68" s="352"/>
      <c r="N68" s="352"/>
      <c r="O68" s="352"/>
      <c r="P68" s="352"/>
      <c r="Q68" s="352"/>
      <c r="R68" s="352"/>
      <c r="S68" s="352"/>
      <c r="T68" s="352"/>
      <c r="U68" s="352"/>
      <c r="V68" s="352"/>
      <c r="W68" s="352"/>
      <c r="X68" s="310"/>
      <c r="Y68" s="408"/>
    </row>
    <row r="69" spans="1:28">
      <c r="A69" s="105">
        <v>36</v>
      </c>
      <c r="B69" s="3"/>
      <c r="C69" s="3" t="s">
        <v>36</v>
      </c>
      <c r="D69" s="3"/>
      <c r="E69" s="222">
        <f>'ROO INPUT'!$F69</f>
        <v>-10317</v>
      </c>
      <c r="F69" s="352">
        <v>0</v>
      </c>
      <c r="G69" s="352">
        <v>0</v>
      </c>
      <c r="H69" s="352">
        <v>0</v>
      </c>
      <c r="I69" s="352">
        <v>0</v>
      </c>
      <c r="J69" s="352">
        <v>0</v>
      </c>
      <c r="K69" s="352">
        <v>0</v>
      </c>
      <c r="L69" s="352">
        <v>0</v>
      </c>
      <c r="M69" s="352">
        <v>0</v>
      </c>
      <c r="N69" s="352">
        <v>0</v>
      </c>
      <c r="O69" s="352">
        <v>0</v>
      </c>
      <c r="P69" s="352">
        <v>0</v>
      </c>
      <c r="Q69" s="352">
        <v>0</v>
      </c>
      <c r="R69" s="352">
        <v>0</v>
      </c>
      <c r="S69" s="352">
        <v>0</v>
      </c>
      <c r="T69" s="352">
        <v>0</v>
      </c>
      <c r="U69" s="352">
        <v>0</v>
      </c>
      <c r="V69" s="352">
        <v>0</v>
      </c>
      <c r="W69" s="352">
        <v>0</v>
      </c>
      <c r="X69" s="310">
        <f>SUM(E69:W69)</f>
        <v>-10317</v>
      </c>
      <c r="Y69" s="408">
        <f>SUM(X69:X69)</f>
        <v>-10317</v>
      </c>
    </row>
    <row r="70" spans="1:28">
      <c r="A70" s="105">
        <v>37</v>
      </c>
      <c r="B70" s="3"/>
      <c r="C70" s="3" t="s">
        <v>54</v>
      </c>
      <c r="D70" s="3"/>
      <c r="E70" s="222">
        <f>'ROO INPUT'!$F70</f>
        <v>-129098</v>
      </c>
      <c r="F70" s="352">
        <v>0</v>
      </c>
      <c r="G70" s="352">
        <v>0</v>
      </c>
      <c r="H70" s="352">
        <v>0</v>
      </c>
      <c r="I70" s="352">
        <v>0</v>
      </c>
      <c r="J70" s="352">
        <v>0</v>
      </c>
      <c r="K70" s="352">
        <v>0</v>
      </c>
      <c r="L70" s="352">
        <v>0</v>
      </c>
      <c r="M70" s="352">
        <v>0</v>
      </c>
      <c r="N70" s="352">
        <v>0</v>
      </c>
      <c r="O70" s="352">
        <v>0</v>
      </c>
      <c r="P70" s="352">
        <v>0</v>
      </c>
      <c r="Q70" s="352">
        <v>0</v>
      </c>
      <c r="R70" s="352">
        <v>0</v>
      </c>
      <c r="S70" s="352">
        <v>0</v>
      </c>
      <c r="T70" s="352">
        <v>0</v>
      </c>
      <c r="U70" s="352">
        <v>0</v>
      </c>
      <c r="V70" s="352">
        <v>0</v>
      </c>
      <c r="W70" s="352">
        <v>0</v>
      </c>
      <c r="X70" s="310">
        <f>SUM(E70:W70)</f>
        <v>-129098</v>
      </c>
      <c r="Y70" s="408">
        <f>SUM(X70:X70)</f>
        <v>-129098</v>
      </c>
    </row>
    <row r="71" spans="1:28">
      <c r="A71" s="105">
        <v>38</v>
      </c>
      <c r="B71" s="3"/>
      <c r="C71" s="3" t="s">
        <v>55</v>
      </c>
      <c r="D71" s="3"/>
      <c r="E71" s="222">
        <f>'ROO INPUT'!$F71</f>
        <v>-23473</v>
      </c>
      <c r="F71" s="352">
        <v>0</v>
      </c>
      <c r="G71" s="352">
        <v>0</v>
      </c>
      <c r="H71" s="352">
        <v>0</v>
      </c>
      <c r="I71" s="352">
        <v>0</v>
      </c>
      <c r="J71" s="352">
        <v>0</v>
      </c>
      <c r="K71" s="352">
        <v>0</v>
      </c>
      <c r="L71" s="352">
        <v>0</v>
      </c>
      <c r="M71" s="352">
        <v>0</v>
      </c>
      <c r="N71" s="352">
        <v>0</v>
      </c>
      <c r="O71" s="352">
        <v>0</v>
      </c>
      <c r="P71" s="352">
        <v>0</v>
      </c>
      <c r="Q71" s="352">
        <v>0</v>
      </c>
      <c r="R71" s="352">
        <v>0</v>
      </c>
      <c r="S71" s="352">
        <v>0</v>
      </c>
      <c r="T71" s="352">
        <v>0</v>
      </c>
      <c r="U71" s="352">
        <v>0</v>
      </c>
      <c r="V71" s="352">
        <v>0</v>
      </c>
      <c r="W71" s="352">
        <v>0</v>
      </c>
      <c r="X71" s="310">
        <f>SUM(E71:W71)</f>
        <v>-23473</v>
      </c>
      <c r="Y71" s="408">
        <f>SUM(X71:X71)</f>
        <v>-23473</v>
      </c>
    </row>
    <row r="72" spans="1:28">
      <c r="A72" s="105">
        <v>39</v>
      </c>
      <c r="B72" s="3" t="s">
        <v>383</v>
      </c>
      <c r="C72" s="3"/>
      <c r="E72" s="224">
        <f>SUM(E69:E71)</f>
        <v>-162888</v>
      </c>
      <c r="F72" s="224">
        <f t="shared" ref="F72:X72" si="16">SUM(F69:F71)</f>
        <v>0</v>
      </c>
      <c r="G72" s="224">
        <f t="shared" si="16"/>
        <v>0</v>
      </c>
      <c r="H72" s="224">
        <f t="shared" si="16"/>
        <v>0</v>
      </c>
      <c r="I72" s="224">
        <f t="shared" si="16"/>
        <v>0</v>
      </c>
      <c r="J72" s="224">
        <f>SUM(J69:J71)</f>
        <v>0</v>
      </c>
      <c r="K72" s="224">
        <f t="shared" si="16"/>
        <v>0</v>
      </c>
      <c r="L72" s="224">
        <f t="shared" si="16"/>
        <v>0</v>
      </c>
      <c r="M72" s="224">
        <f t="shared" si="16"/>
        <v>0</v>
      </c>
      <c r="N72" s="224">
        <f t="shared" si="16"/>
        <v>0</v>
      </c>
      <c r="O72" s="224">
        <f t="shared" si="16"/>
        <v>0</v>
      </c>
      <c r="P72" s="224">
        <f t="shared" si="16"/>
        <v>0</v>
      </c>
      <c r="Q72" s="224">
        <f t="shared" si="16"/>
        <v>0</v>
      </c>
      <c r="R72" s="224">
        <f t="shared" si="16"/>
        <v>0</v>
      </c>
      <c r="S72" s="224">
        <f t="shared" si="16"/>
        <v>0</v>
      </c>
      <c r="T72" s="224">
        <f t="shared" si="16"/>
        <v>0</v>
      </c>
      <c r="U72" s="224">
        <f t="shared" si="16"/>
        <v>0</v>
      </c>
      <c r="V72" s="224">
        <f t="shared" si="16"/>
        <v>0</v>
      </c>
      <c r="W72" s="224">
        <f t="shared" si="16"/>
        <v>0</v>
      </c>
      <c r="X72" s="316">
        <f t="shared" si="16"/>
        <v>-162888</v>
      </c>
      <c r="Y72" s="410">
        <f>SUM(Y69:Y71)</f>
        <v>-162888</v>
      </c>
    </row>
    <row r="73" spans="1:28">
      <c r="A73" s="105">
        <v>40</v>
      </c>
      <c r="B73" s="3" t="s">
        <v>147</v>
      </c>
      <c r="C73" s="3"/>
      <c r="D73" s="3"/>
      <c r="E73" s="225">
        <f>E66+E72</f>
        <v>337112</v>
      </c>
      <c r="F73" s="225">
        <f t="shared" ref="F73:Y73" si="17">F66+F72</f>
        <v>0</v>
      </c>
      <c r="G73" s="225">
        <f t="shared" si="17"/>
        <v>0</v>
      </c>
      <c r="H73" s="225">
        <f t="shared" si="17"/>
        <v>0</v>
      </c>
      <c r="I73" s="225">
        <f t="shared" si="17"/>
        <v>0</v>
      </c>
      <c r="J73" s="225">
        <f t="shared" si="17"/>
        <v>0</v>
      </c>
      <c r="K73" s="225">
        <f t="shared" si="17"/>
        <v>0</v>
      </c>
      <c r="L73" s="225">
        <f t="shared" si="17"/>
        <v>0</v>
      </c>
      <c r="M73" s="225">
        <f t="shared" si="17"/>
        <v>0</v>
      </c>
      <c r="N73" s="225">
        <f t="shared" si="17"/>
        <v>0</v>
      </c>
      <c r="O73" s="225">
        <f t="shared" si="17"/>
        <v>0</v>
      </c>
      <c r="P73" s="225">
        <f t="shared" si="17"/>
        <v>0</v>
      </c>
      <c r="Q73" s="225">
        <f t="shared" si="17"/>
        <v>0</v>
      </c>
      <c r="R73" s="225">
        <f t="shared" si="17"/>
        <v>0</v>
      </c>
      <c r="S73" s="225">
        <f t="shared" si="17"/>
        <v>0</v>
      </c>
      <c r="T73" s="225">
        <f>T66+T72</f>
        <v>0</v>
      </c>
      <c r="U73" s="225">
        <f>U66+U72</f>
        <v>0</v>
      </c>
      <c r="V73" s="225">
        <f>V66+V72</f>
        <v>0</v>
      </c>
      <c r="W73" s="225">
        <f>W66+W72</f>
        <v>0</v>
      </c>
      <c r="X73" s="317">
        <f t="shared" si="17"/>
        <v>337112</v>
      </c>
      <c r="Y73" s="408">
        <f t="shared" si="17"/>
        <v>337112</v>
      </c>
    </row>
    <row r="74" spans="1:28" s="314" customFormat="1" ht="13.5" customHeight="1">
      <c r="A74" s="4">
        <v>41</v>
      </c>
      <c r="B74" s="5" t="s">
        <v>101</v>
      </c>
      <c r="C74" s="5"/>
      <c r="D74" s="5"/>
      <c r="E74" s="223">
        <f>'ROO INPUT'!$F74</f>
        <v>-73856</v>
      </c>
      <c r="F74" s="312">
        <v>-325</v>
      </c>
      <c r="G74" s="312">
        <v>0</v>
      </c>
      <c r="H74" s="312">
        <v>0</v>
      </c>
      <c r="I74" s="312">
        <v>0</v>
      </c>
      <c r="J74" s="312">
        <v>0</v>
      </c>
      <c r="K74" s="312">
        <v>0</v>
      </c>
      <c r="L74" s="312">
        <v>0</v>
      </c>
      <c r="M74" s="312">
        <v>0</v>
      </c>
      <c r="N74" s="312">
        <v>0</v>
      </c>
      <c r="O74" s="312">
        <v>0</v>
      </c>
      <c r="P74" s="312">
        <v>0</v>
      </c>
      <c r="Q74" s="312">
        <v>0</v>
      </c>
      <c r="R74" s="312">
        <v>0</v>
      </c>
      <c r="S74" s="312">
        <v>0</v>
      </c>
      <c r="T74" s="312">
        <v>0</v>
      </c>
      <c r="U74" s="312">
        <v>0</v>
      </c>
      <c r="V74" s="312">
        <v>0</v>
      </c>
      <c r="W74" s="312">
        <v>0</v>
      </c>
      <c r="X74" s="313">
        <f>SUM(E74:W74)</f>
        <v>-74181</v>
      </c>
      <c r="Y74" s="403">
        <f>SUM(X74:X74)</f>
        <v>-74181</v>
      </c>
    </row>
    <row r="75" spans="1:28" s="314" customFormat="1" ht="18.95" customHeight="1">
      <c r="A75" s="4">
        <v>42</v>
      </c>
      <c r="B75" s="5" t="s">
        <v>171</v>
      </c>
      <c r="C75" s="5"/>
      <c r="D75" s="5"/>
      <c r="E75" s="225">
        <f>E73+E74</f>
        <v>263256</v>
      </c>
      <c r="F75" s="225">
        <f>F73+F74</f>
        <v>-325</v>
      </c>
      <c r="G75" s="225">
        <f t="shared" ref="G75:X75" si="18">G73+G74</f>
        <v>0</v>
      </c>
      <c r="H75" s="225">
        <f t="shared" si="18"/>
        <v>0</v>
      </c>
      <c r="I75" s="225">
        <f t="shared" si="18"/>
        <v>0</v>
      </c>
      <c r="J75" s="225">
        <f>J73+J74</f>
        <v>0</v>
      </c>
      <c r="K75" s="225">
        <f t="shared" si="18"/>
        <v>0</v>
      </c>
      <c r="L75" s="225">
        <f t="shared" si="18"/>
        <v>0</v>
      </c>
      <c r="M75" s="225">
        <f t="shared" si="18"/>
        <v>0</v>
      </c>
      <c r="N75" s="225">
        <f t="shared" si="18"/>
        <v>0</v>
      </c>
      <c r="O75" s="225">
        <f t="shared" si="18"/>
        <v>0</v>
      </c>
      <c r="P75" s="225">
        <f t="shared" si="18"/>
        <v>0</v>
      </c>
      <c r="Q75" s="225">
        <f t="shared" si="18"/>
        <v>0</v>
      </c>
      <c r="R75" s="225">
        <f t="shared" si="18"/>
        <v>0</v>
      </c>
      <c r="S75" s="225">
        <f t="shared" si="18"/>
        <v>0</v>
      </c>
      <c r="T75" s="225">
        <f t="shared" si="18"/>
        <v>0</v>
      </c>
      <c r="U75" s="225">
        <f>U73+U74</f>
        <v>0</v>
      </c>
      <c r="V75" s="225">
        <f>V73+V74</f>
        <v>0</v>
      </c>
      <c r="W75" s="225">
        <f t="shared" si="18"/>
        <v>0</v>
      </c>
      <c r="X75" s="317">
        <f t="shared" si="18"/>
        <v>262931</v>
      </c>
      <c r="Y75" s="408">
        <f>Y73+Y74</f>
        <v>262931</v>
      </c>
    </row>
    <row r="76" spans="1:28">
      <c r="A76" s="105">
        <v>43</v>
      </c>
      <c r="B76" s="3" t="s">
        <v>58</v>
      </c>
      <c r="C76" s="3"/>
      <c r="D76" s="3"/>
      <c r="E76" s="222">
        <f>'ROO INPUT'!$F76</f>
        <v>9116</v>
      </c>
      <c r="F76" s="352">
        <v>0</v>
      </c>
      <c r="G76" s="352">
        <v>0</v>
      </c>
      <c r="H76" s="352">
        <v>0</v>
      </c>
      <c r="I76" s="352">
        <v>0</v>
      </c>
      <c r="J76" s="352">
        <v>0</v>
      </c>
      <c r="K76" s="352">
        <v>0</v>
      </c>
      <c r="L76" s="352">
        <v>0</v>
      </c>
      <c r="M76" s="352">
        <v>0</v>
      </c>
      <c r="N76" s="352">
        <v>0</v>
      </c>
      <c r="O76" s="352">
        <v>0</v>
      </c>
      <c r="P76" s="352">
        <v>0</v>
      </c>
      <c r="Q76" s="352">
        <v>0</v>
      </c>
      <c r="R76" s="352">
        <v>0</v>
      </c>
      <c r="S76" s="352">
        <v>0</v>
      </c>
      <c r="T76" s="352">
        <v>0</v>
      </c>
      <c r="U76" s="352">
        <v>0</v>
      </c>
      <c r="V76" s="352">
        <v>0</v>
      </c>
      <c r="W76" s="352">
        <v>0</v>
      </c>
      <c r="X76" s="310">
        <f>SUM(E76:W76)</f>
        <v>9116</v>
      </c>
      <c r="Y76" s="408">
        <f>SUM(X76:X76)</f>
        <v>9116</v>
      </c>
    </row>
    <row r="77" spans="1:28" s="314" customFormat="1">
      <c r="A77" s="4">
        <v>44</v>
      </c>
      <c r="B77" s="5" t="s">
        <v>59</v>
      </c>
      <c r="C77" s="5"/>
      <c r="D77" s="5"/>
      <c r="E77" s="222">
        <f>'ROO INPUT'!$F77</f>
        <v>0</v>
      </c>
      <c r="F77" s="311">
        <v>0</v>
      </c>
      <c r="G77" s="311">
        <v>0</v>
      </c>
      <c r="H77" s="311">
        <v>0</v>
      </c>
      <c r="I77" s="311">
        <v>0</v>
      </c>
      <c r="J77" s="311">
        <v>0</v>
      </c>
      <c r="K77" s="311">
        <v>0</v>
      </c>
      <c r="L77" s="311">
        <v>0</v>
      </c>
      <c r="M77" s="311">
        <v>0</v>
      </c>
      <c r="N77" s="311">
        <v>0</v>
      </c>
      <c r="O77" s="311">
        <v>0</v>
      </c>
      <c r="P77" s="311">
        <v>0</v>
      </c>
      <c r="Q77" s="311">
        <v>0</v>
      </c>
      <c r="R77" s="311">
        <v>0</v>
      </c>
      <c r="S77" s="311">
        <v>0</v>
      </c>
      <c r="T77" s="311">
        <v>0</v>
      </c>
      <c r="U77" s="311">
        <v>0</v>
      </c>
      <c r="V77" s="311">
        <v>0</v>
      </c>
      <c r="W77" s="311">
        <v>0</v>
      </c>
      <c r="X77" s="317">
        <f>SUM(E77:W77)</f>
        <v>0</v>
      </c>
      <c r="Y77" s="408">
        <f>SUM(X77:X77)</f>
        <v>0</v>
      </c>
    </row>
    <row r="78" spans="1:28" s="314" customFormat="1">
      <c r="A78" s="4">
        <v>45</v>
      </c>
      <c r="B78" s="5" t="s">
        <v>384</v>
      </c>
      <c r="C78" s="5"/>
      <c r="D78" s="5"/>
      <c r="E78" s="222">
        <f>'ROO INPUT'!$F78</f>
        <v>-249</v>
      </c>
      <c r="F78" s="311"/>
      <c r="G78" s="311">
        <v>0</v>
      </c>
      <c r="H78" s="311"/>
      <c r="I78" s="311"/>
      <c r="J78" s="311"/>
      <c r="K78" s="311"/>
      <c r="L78" s="311"/>
      <c r="M78" s="311"/>
      <c r="N78" s="311"/>
      <c r="O78" s="311"/>
      <c r="P78" s="311"/>
      <c r="Q78" s="311"/>
      <c r="R78" s="311"/>
      <c r="S78" s="311"/>
      <c r="T78" s="311"/>
      <c r="U78" s="311"/>
      <c r="V78" s="311"/>
      <c r="W78" s="311"/>
      <c r="X78" s="317">
        <f>SUM(E78:W78)</f>
        <v>-249</v>
      </c>
      <c r="Y78" s="408">
        <f>SUM(X78:X78)</f>
        <v>-249</v>
      </c>
    </row>
    <row r="79" spans="1:28">
      <c r="A79" s="105">
        <v>46</v>
      </c>
      <c r="B79" s="3" t="s">
        <v>149</v>
      </c>
      <c r="C79" s="3"/>
      <c r="D79" s="3"/>
      <c r="E79" s="223">
        <f>'ROO INPUT'!$F79</f>
        <v>15664</v>
      </c>
      <c r="F79" s="312">
        <v>0</v>
      </c>
      <c r="G79" s="312">
        <v>0</v>
      </c>
      <c r="H79" s="312">
        <v>-864</v>
      </c>
      <c r="I79" s="312">
        <v>0</v>
      </c>
      <c r="J79" s="312">
        <v>0</v>
      </c>
      <c r="K79" s="312">
        <v>0</v>
      </c>
      <c r="L79" s="312">
        <v>0</v>
      </c>
      <c r="M79" s="312">
        <v>0</v>
      </c>
      <c r="N79" s="312">
        <v>0</v>
      </c>
      <c r="O79" s="312">
        <v>0</v>
      </c>
      <c r="P79" s="312">
        <v>0</v>
      </c>
      <c r="Q79" s="312">
        <v>0</v>
      </c>
      <c r="R79" s="312">
        <v>0</v>
      </c>
      <c r="S79" s="312">
        <v>0</v>
      </c>
      <c r="T79" s="312">
        <v>0</v>
      </c>
      <c r="U79" s="312">
        <v>0</v>
      </c>
      <c r="V79" s="312">
        <v>0</v>
      </c>
      <c r="W79" s="312">
        <v>0</v>
      </c>
      <c r="X79" s="313">
        <f>SUM(E79:W79)</f>
        <v>14800</v>
      </c>
      <c r="Y79" s="403">
        <f>SUM(X79:X79)</f>
        <v>14800</v>
      </c>
    </row>
    <row r="80" spans="1:28" ht="7.5" customHeight="1">
      <c r="Y80" s="406"/>
    </row>
    <row r="81" spans="1:34">
      <c r="E81" s="222"/>
      <c r="F81" s="222"/>
      <c r="G81" s="222"/>
      <c r="H81" s="222"/>
      <c r="I81" s="222"/>
      <c r="J81" s="222"/>
      <c r="K81" s="222"/>
      <c r="L81" s="222"/>
      <c r="M81" s="222"/>
      <c r="N81" s="222"/>
      <c r="O81" s="222"/>
      <c r="P81" s="222"/>
      <c r="Q81" s="222"/>
      <c r="R81" s="222"/>
      <c r="S81" s="222"/>
      <c r="T81" s="222"/>
      <c r="U81" s="222"/>
      <c r="V81" s="222"/>
      <c r="W81" s="222"/>
      <c r="X81" s="310"/>
      <c r="Y81" s="408"/>
      <c r="Z81" s="792"/>
      <c r="AA81" s="751"/>
      <c r="AB81" s="751"/>
      <c r="AC81" s="751"/>
      <c r="AD81" s="680"/>
      <c r="AE81" s="751"/>
      <c r="AF81" s="751"/>
      <c r="AG81" s="792"/>
      <c r="AH81" s="314"/>
    </row>
    <row r="82" spans="1:34" s="318" customFormat="1" ht="15.75" thickBot="1">
      <c r="A82" s="288">
        <v>47</v>
      </c>
      <c r="B82" s="318" t="s">
        <v>60</v>
      </c>
      <c r="E82" s="315">
        <f>E75+E76+E77+E79+E78</f>
        <v>287787</v>
      </c>
      <c r="F82" s="315">
        <f t="shared" ref="F82:X82" si="19">F75+F76+F77+F79+F78</f>
        <v>-325</v>
      </c>
      <c r="G82" s="315">
        <f>G75+G76+G77+G79+G78</f>
        <v>0</v>
      </c>
      <c r="H82" s="315">
        <f t="shared" si="19"/>
        <v>-864</v>
      </c>
      <c r="I82" s="315">
        <f t="shared" si="19"/>
        <v>0</v>
      </c>
      <c r="J82" s="315">
        <f>J75+J76+J77+J79+J78</f>
        <v>0</v>
      </c>
      <c r="K82" s="315">
        <f t="shared" si="19"/>
        <v>0</v>
      </c>
      <c r="L82" s="315">
        <f t="shared" si="19"/>
        <v>0</v>
      </c>
      <c r="M82" s="315">
        <f t="shared" si="19"/>
        <v>0</v>
      </c>
      <c r="N82" s="315">
        <f t="shared" si="19"/>
        <v>0</v>
      </c>
      <c r="O82" s="315">
        <f t="shared" si="19"/>
        <v>0</v>
      </c>
      <c r="P82" s="315">
        <f t="shared" si="19"/>
        <v>0</v>
      </c>
      <c r="Q82" s="315">
        <f t="shared" si="19"/>
        <v>0</v>
      </c>
      <c r="R82" s="315">
        <f t="shared" si="19"/>
        <v>0</v>
      </c>
      <c r="S82" s="315">
        <f t="shared" si="19"/>
        <v>0</v>
      </c>
      <c r="T82" s="315">
        <f t="shared" si="19"/>
        <v>0</v>
      </c>
      <c r="U82" s="315">
        <f>U75+U76+U77+U79+U78</f>
        <v>0</v>
      </c>
      <c r="V82" s="315">
        <f>V75+V76+V77+V79+V78</f>
        <v>0</v>
      </c>
      <c r="W82" s="315">
        <f t="shared" si="19"/>
        <v>0</v>
      </c>
      <c r="X82" s="315">
        <f t="shared" si="19"/>
        <v>286598</v>
      </c>
      <c r="Y82" s="409">
        <f>Y75+Y76+Y77+Y79+Y78</f>
        <v>286598</v>
      </c>
      <c r="Z82" s="793"/>
      <c r="AA82" s="793"/>
      <c r="AB82" s="793"/>
      <c r="AC82" s="793"/>
      <c r="AD82" s="794"/>
      <c r="AE82" s="793"/>
      <c r="AF82" s="793"/>
      <c r="AG82" s="794"/>
      <c r="AH82" s="795"/>
    </row>
    <row r="83" spans="1:34" ht="15.75" thickTop="1">
      <c r="A83" s="105">
        <v>48</v>
      </c>
      <c r="B83" s="1" t="s">
        <v>415</v>
      </c>
      <c r="E83" s="6">
        <f>ROUND(E59/E82,4)</f>
        <v>8.1500000000000003E-2</v>
      </c>
      <c r="F83" s="222"/>
      <c r="G83" s="222"/>
      <c r="H83" s="222"/>
      <c r="I83" s="222"/>
      <c r="J83" s="222"/>
      <c r="K83" s="222"/>
      <c r="L83" s="222"/>
      <c r="M83" s="222"/>
      <c r="N83" s="222"/>
      <c r="O83" s="222"/>
      <c r="P83" s="222"/>
      <c r="Q83" s="222"/>
      <c r="R83" s="222"/>
      <c r="S83" s="222"/>
      <c r="T83" s="222"/>
      <c r="U83" s="310"/>
      <c r="V83" s="310"/>
      <c r="W83" s="222"/>
      <c r="X83" s="329" t="s">
        <v>406</v>
      </c>
      <c r="Y83" s="331"/>
      <c r="Z83" s="796"/>
      <c r="AA83" s="796"/>
      <c r="AB83" s="797"/>
      <c r="AC83" s="797"/>
      <c r="AD83" s="798"/>
      <c r="AE83" s="798"/>
      <c r="AF83" s="798"/>
      <c r="AG83" s="798"/>
      <c r="AH83" s="314"/>
    </row>
    <row r="84" spans="1:34">
      <c r="A84" s="105">
        <v>50</v>
      </c>
      <c r="B84" s="1" t="s">
        <v>145</v>
      </c>
      <c r="E84" s="52">
        <f>E90</f>
        <v>-1813.804670947161</v>
      </c>
      <c r="F84" s="52">
        <f t="shared" ref="F84:Y84" si="20">F90</f>
        <v>-35.485059897364842</v>
      </c>
      <c r="G84" s="52">
        <f t="shared" si="20"/>
        <v>2.0945951389280508</v>
      </c>
      <c r="H84" s="52">
        <f t="shared" si="20"/>
        <v>-94.335666927148381</v>
      </c>
      <c r="I84" s="52">
        <f t="shared" si="20"/>
        <v>33.513522222848813</v>
      </c>
      <c r="J84" s="52">
        <f t="shared" si="20"/>
        <v>392.73658854900947</v>
      </c>
      <c r="K84" s="52">
        <f t="shared" si="20"/>
        <v>-617.90556598377498</v>
      </c>
      <c r="L84" s="52">
        <f t="shared" si="20"/>
        <v>-3.1418927083920765</v>
      </c>
      <c r="M84" s="52">
        <f t="shared" si="20"/>
        <v>79.594615279265938</v>
      </c>
      <c r="N84" s="52">
        <f t="shared" si="20"/>
        <v>0</v>
      </c>
      <c r="O84" s="52">
        <f t="shared" si="20"/>
        <v>-9.4256781251762281</v>
      </c>
      <c r="P84" s="52">
        <f t="shared" si="20"/>
        <v>2.0945951389280508</v>
      </c>
      <c r="Q84" s="52">
        <f t="shared" si="20"/>
        <v>-13.614868403032329</v>
      </c>
      <c r="R84" s="52">
        <f t="shared" si="20"/>
        <v>4.1891902778561017</v>
      </c>
      <c r="S84" s="52">
        <f t="shared" si="20"/>
        <v>499.56094063434011</v>
      </c>
      <c r="T84" s="52">
        <f t="shared" si="20"/>
        <v>-329.89873438116797</v>
      </c>
      <c r="U84" s="52">
        <f>U90</f>
        <v>1130.0340774516833</v>
      </c>
      <c r="V84" s="52">
        <f>V90</f>
        <v>-189.56086007298859</v>
      </c>
      <c r="W84" s="52">
        <f t="shared" si="20"/>
        <v>-146.62165972496354</v>
      </c>
      <c r="X84" s="52">
        <f t="shared" si="20"/>
        <v>-1109.9765324783045</v>
      </c>
      <c r="Y84" s="330">
        <f t="shared" si="20"/>
        <v>-1109.9765324783045</v>
      </c>
      <c r="Z84" s="696"/>
      <c r="AA84" s="680"/>
      <c r="AB84" s="680"/>
      <c r="AC84" s="680"/>
      <c r="AD84" s="754"/>
      <c r="AE84" s="754"/>
      <c r="AF84" s="754"/>
      <c r="AG84" s="754"/>
      <c r="AH84" s="314"/>
    </row>
    <row r="85" spans="1:34" ht="13.5" customHeight="1">
      <c r="E85" s="222"/>
      <c r="F85" s="222"/>
      <c r="G85" s="222"/>
      <c r="H85" s="222"/>
      <c r="I85" s="222"/>
      <c r="J85" s="222"/>
      <c r="K85" s="222"/>
      <c r="L85" s="222"/>
      <c r="M85" s="222"/>
      <c r="N85" s="222"/>
      <c r="O85" s="222"/>
      <c r="P85" s="222"/>
      <c r="Q85" s="222"/>
      <c r="R85" s="222"/>
      <c r="S85" s="222"/>
      <c r="T85" s="222"/>
      <c r="U85" s="310"/>
      <c r="V85" s="310"/>
      <c r="W85" s="222"/>
      <c r="X85" s="310"/>
      <c r="Y85" s="310"/>
      <c r="Z85" s="494"/>
      <c r="AA85" s="486"/>
      <c r="AB85" s="486"/>
      <c r="AC85" s="486"/>
      <c r="AD85" s="486"/>
      <c r="AE85" s="486"/>
      <c r="AF85" s="680"/>
      <c r="AG85" s="681"/>
    </row>
    <row r="86" spans="1:34" s="320" customFormat="1" ht="13.5" customHeight="1">
      <c r="A86" s="319"/>
      <c r="D86" s="321" t="s">
        <v>389</v>
      </c>
      <c r="E86" s="361">
        <f>'Coat of Capital'!N15</f>
        <v>7.7600000000000002E-2</v>
      </c>
      <c r="F86" s="263"/>
      <c r="G86" s="263"/>
      <c r="H86" s="263"/>
      <c r="I86" s="263"/>
      <c r="J86" s="263"/>
      <c r="K86" s="263"/>
      <c r="L86" s="263"/>
      <c r="M86" s="263"/>
      <c r="N86" s="263"/>
      <c r="O86" s="263"/>
      <c r="P86" s="263"/>
      <c r="Q86" s="263"/>
      <c r="R86" s="263"/>
      <c r="S86" s="263"/>
      <c r="T86" s="263"/>
      <c r="U86" s="322"/>
      <c r="V86" s="322"/>
      <c r="W86" s="263"/>
      <c r="X86" s="322"/>
      <c r="Y86" s="322"/>
      <c r="Z86" s="478"/>
      <c r="AA86" s="478"/>
      <c r="AB86" s="478"/>
      <c r="AC86" s="478"/>
      <c r="AD86" s="478"/>
      <c r="AE86" s="478"/>
      <c r="AF86" s="682"/>
      <c r="AG86" s="683"/>
    </row>
    <row r="87" spans="1:34" s="320" customFormat="1" ht="18" customHeight="1">
      <c r="A87" s="255"/>
      <c r="D87" s="321" t="s">
        <v>129</v>
      </c>
      <c r="E87" s="424">
        <f>CF!E27</f>
        <v>0.620645</v>
      </c>
      <c r="F87" s="263"/>
      <c r="G87" s="263"/>
      <c r="H87" s="263"/>
      <c r="I87" s="263"/>
      <c r="J87" s="263"/>
      <c r="K87" s="263"/>
      <c r="L87" s="263"/>
      <c r="M87" s="263"/>
      <c r="N87" s="263"/>
      <c r="O87" s="263"/>
      <c r="P87" s="263"/>
      <c r="Q87" s="263"/>
      <c r="R87" s="263"/>
      <c r="S87" s="263"/>
      <c r="T87" s="263"/>
      <c r="U87" s="322"/>
      <c r="V87" s="322"/>
      <c r="W87" s="263"/>
      <c r="X87" s="322"/>
      <c r="Y87" s="322"/>
      <c r="AF87" s="417"/>
      <c r="AG87" s="417"/>
    </row>
    <row r="88" spans="1:34" s="320" customFormat="1" ht="2.25" hidden="1" customHeight="1">
      <c r="A88" s="255"/>
      <c r="D88" s="321"/>
      <c r="E88" s="149"/>
      <c r="F88" s="263"/>
      <c r="G88" s="263"/>
      <c r="H88" s="263"/>
      <c r="I88" s="263"/>
      <c r="J88" s="263"/>
      <c r="K88" s="263"/>
      <c r="L88" s="263"/>
      <c r="M88" s="263"/>
      <c r="N88" s="263"/>
      <c r="O88" s="263"/>
      <c r="P88" s="263"/>
      <c r="Q88" s="263"/>
      <c r="R88" s="263"/>
      <c r="S88" s="263"/>
      <c r="T88" s="263"/>
      <c r="U88" s="322"/>
      <c r="V88" s="322"/>
      <c r="W88" s="263"/>
      <c r="X88" s="322"/>
      <c r="Y88" s="322"/>
    </row>
    <row r="89" spans="1:34" s="320" customFormat="1" ht="29.25" customHeight="1">
      <c r="A89" s="255"/>
      <c r="D89" s="321" t="s">
        <v>142</v>
      </c>
      <c r="E89" s="149">
        <f>E82*$E$86-E59</f>
        <v>-1125.7288000000008</v>
      </c>
      <c r="F89" s="149">
        <f>F82*$E$86-F59</f>
        <v>-22.023625000000003</v>
      </c>
      <c r="G89" s="149">
        <f>G82*$E$86-G59</f>
        <v>1.3</v>
      </c>
      <c r="H89" s="149">
        <f>H82*$E$86-H59</f>
        <v>-58.548960000000008</v>
      </c>
      <c r="I89" s="149">
        <f t="shared" ref="I89:S89" si="21">I82*$E$86-I59</f>
        <v>20.8</v>
      </c>
      <c r="J89" s="149">
        <f>J82*$E$86-J59</f>
        <v>243.75</v>
      </c>
      <c r="K89" s="149">
        <f t="shared" si="21"/>
        <v>-383.5</v>
      </c>
      <c r="L89" s="149">
        <f t="shared" si="21"/>
        <v>-1.9500000000000002</v>
      </c>
      <c r="M89" s="149">
        <f t="shared" si="21"/>
        <v>49.400000000000006</v>
      </c>
      <c r="N89" s="149">
        <f t="shared" si="21"/>
        <v>0</v>
      </c>
      <c r="O89" s="149">
        <f t="shared" si="21"/>
        <v>-5.85</v>
      </c>
      <c r="P89" s="149">
        <f t="shared" si="21"/>
        <v>1.3</v>
      </c>
      <c r="Q89" s="149">
        <f t="shared" si="21"/>
        <v>-8.4499999999999993</v>
      </c>
      <c r="R89" s="149">
        <f t="shared" si="21"/>
        <v>2.6</v>
      </c>
      <c r="S89" s="149">
        <f t="shared" si="21"/>
        <v>310.05</v>
      </c>
      <c r="T89" s="149">
        <f t="shared" ref="T89:Y89" si="22">T82*$E$86-T59</f>
        <v>-204.75</v>
      </c>
      <c r="U89" s="149">
        <f t="shared" si="22"/>
        <v>701.35</v>
      </c>
      <c r="V89" s="149">
        <f t="shared" si="22"/>
        <v>-117.65</v>
      </c>
      <c r="W89" s="149">
        <f t="shared" si="22"/>
        <v>-91</v>
      </c>
      <c r="X89" s="149">
        <f t="shared" si="22"/>
        <v>-688.90138499999739</v>
      </c>
      <c r="Y89" s="323">
        <f t="shared" si="22"/>
        <v>-688.90138499999739</v>
      </c>
    </row>
    <row r="90" spans="1:34" s="320" customFormat="1">
      <c r="A90" s="255"/>
      <c r="D90" s="321" t="s">
        <v>127</v>
      </c>
      <c r="E90" s="149">
        <f>E89/$E$87</f>
        <v>-1813.804670947161</v>
      </c>
      <c r="F90" s="149">
        <f t="shared" ref="F90:S90" si="23">F89/$E$87</f>
        <v>-35.485059897364842</v>
      </c>
      <c r="G90" s="149">
        <f t="shared" si="23"/>
        <v>2.0945951389280508</v>
      </c>
      <c r="H90" s="149">
        <f t="shared" si="23"/>
        <v>-94.335666927148381</v>
      </c>
      <c r="I90" s="149">
        <f t="shared" si="23"/>
        <v>33.513522222848813</v>
      </c>
      <c r="J90" s="149">
        <f>J89/$E$87</f>
        <v>392.73658854900947</v>
      </c>
      <c r="K90" s="149">
        <f t="shared" si="23"/>
        <v>-617.90556598377498</v>
      </c>
      <c r="L90" s="149">
        <f t="shared" si="23"/>
        <v>-3.1418927083920765</v>
      </c>
      <c r="M90" s="149">
        <f t="shared" si="23"/>
        <v>79.594615279265938</v>
      </c>
      <c r="N90" s="149">
        <f t="shared" si="23"/>
        <v>0</v>
      </c>
      <c r="O90" s="149">
        <f t="shared" si="23"/>
        <v>-9.4256781251762281</v>
      </c>
      <c r="P90" s="149">
        <f t="shared" si="23"/>
        <v>2.0945951389280508</v>
      </c>
      <c r="Q90" s="149">
        <f t="shared" si="23"/>
        <v>-13.614868403032329</v>
      </c>
      <c r="R90" s="149">
        <f t="shared" si="23"/>
        <v>4.1891902778561017</v>
      </c>
      <c r="S90" s="149">
        <f t="shared" si="23"/>
        <v>499.56094063434011</v>
      </c>
      <c r="T90" s="149">
        <f t="shared" ref="T90:Y90" si="24">T89/$E$87</f>
        <v>-329.89873438116797</v>
      </c>
      <c r="U90" s="149">
        <f t="shared" si="24"/>
        <v>1130.0340774516833</v>
      </c>
      <c r="V90" s="149">
        <f t="shared" si="24"/>
        <v>-189.56086007298859</v>
      </c>
      <c r="W90" s="149">
        <f t="shared" si="24"/>
        <v>-146.62165972496354</v>
      </c>
      <c r="X90" s="149">
        <f t="shared" si="24"/>
        <v>-1109.9765324783045</v>
      </c>
      <c r="Y90" s="323">
        <f t="shared" si="24"/>
        <v>-1109.9765324783045</v>
      </c>
    </row>
    <row r="91" spans="1:34" s="320" customFormat="1">
      <c r="A91" s="255"/>
      <c r="D91" s="321"/>
      <c r="E91" s="350"/>
      <c r="F91" s="350"/>
      <c r="G91" s="350"/>
      <c r="H91" s="350"/>
      <c r="I91" s="350"/>
      <c r="J91" s="350"/>
      <c r="K91" s="350"/>
      <c r="L91" s="350"/>
      <c r="M91" s="350"/>
      <c r="N91" s="350"/>
      <c r="O91" s="350"/>
      <c r="P91" s="350"/>
      <c r="Q91" s="350"/>
      <c r="R91" s="350"/>
      <c r="S91" s="350"/>
      <c r="T91" s="350"/>
      <c r="U91" s="350"/>
      <c r="V91" s="350"/>
      <c r="W91" s="350"/>
      <c r="X91" s="324"/>
      <c r="Y91" s="325"/>
    </row>
    <row r="92" spans="1:34" s="320" customFormat="1">
      <c r="A92" s="319"/>
      <c r="D92" s="321"/>
      <c r="E92" s="361"/>
      <c r="F92" s="350"/>
      <c r="G92" s="350"/>
      <c r="H92" s="350"/>
      <c r="I92" s="350"/>
      <c r="J92" s="350"/>
      <c r="K92" s="350"/>
      <c r="L92" s="350"/>
      <c r="M92" s="350"/>
      <c r="N92" s="350"/>
      <c r="O92" s="350"/>
      <c r="P92" s="350"/>
      <c r="Q92" s="350"/>
      <c r="R92" s="350"/>
      <c r="S92" s="350"/>
      <c r="T92" s="350"/>
      <c r="U92" s="350"/>
      <c r="V92" s="350"/>
      <c r="W92" s="350"/>
      <c r="X92" s="324"/>
      <c r="Y92" s="325"/>
    </row>
    <row r="93" spans="1:34" s="320" customFormat="1">
      <c r="A93" s="255"/>
      <c r="E93" s="350"/>
      <c r="F93" s="350"/>
      <c r="G93" s="350"/>
      <c r="H93" s="350"/>
      <c r="I93" s="350"/>
      <c r="J93" s="350"/>
      <c r="K93" s="350"/>
      <c r="L93" s="350"/>
      <c r="M93" s="350"/>
      <c r="N93" s="350"/>
      <c r="O93" s="350"/>
      <c r="P93" s="350"/>
      <c r="Q93" s="350"/>
      <c r="R93" s="350"/>
      <c r="S93" s="350"/>
      <c r="T93" s="350"/>
      <c r="U93" s="350"/>
      <c r="V93" s="350"/>
      <c r="W93" s="350"/>
      <c r="X93" s="324"/>
      <c r="Y93" s="325"/>
    </row>
    <row r="94" spans="1:34" s="320" customFormat="1">
      <c r="A94" s="255"/>
      <c r="D94" s="321"/>
      <c r="E94" s="350"/>
      <c r="F94" s="350"/>
      <c r="G94" s="350"/>
      <c r="H94" s="350"/>
      <c r="I94" s="350"/>
      <c r="J94" s="350"/>
      <c r="K94" s="350"/>
      <c r="L94" s="350"/>
      <c r="M94" s="350"/>
      <c r="N94" s="350"/>
      <c r="O94" s="350"/>
      <c r="P94" s="350"/>
      <c r="Q94" s="350"/>
      <c r="R94" s="350"/>
      <c r="S94" s="350"/>
      <c r="T94" s="350"/>
      <c r="U94" s="350"/>
      <c r="V94" s="350"/>
      <c r="W94" s="350"/>
      <c r="X94" s="324"/>
      <c r="Y94" s="325"/>
    </row>
    <row r="95" spans="1:34" s="417" customFormat="1">
      <c r="A95" s="414"/>
      <c r="D95" s="413"/>
      <c r="E95" s="412"/>
      <c r="F95" s="412"/>
      <c r="G95" s="412"/>
      <c r="H95" s="412"/>
      <c r="I95" s="412"/>
      <c r="J95" s="412"/>
      <c r="K95" s="412"/>
      <c r="L95" s="412"/>
      <c r="M95" s="412"/>
      <c r="N95" s="412"/>
      <c r="O95" s="412"/>
      <c r="P95" s="412"/>
      <c r="Q95" s="412"/>
      <c r="R95" s="412"/>
      <c r="S95" s="412"/>
      <c r="T95" s="412"/>
      <c r="U95" s="412"/>
      <c r="V95" s="412"/>
      <c r="W95" s="412"/>
      <c r="X95" s="333"/>
      <c r="Y95" s="332"/>
    </row>
    <row r="96" spans="1:34" s="417" customFormat="1">
      <c r="A96" s="414"/>
      <c r="D96" s="418"/>
      <c r="E96" s="412"/>
      <c r="F96" s="412"/>
      <c r="G96" s="412"/>
      <c r="H96" s="412"/>
      <c r="I96" s="412"/>
      <c r="J96" s="412"/>
      <c r="K96" s="412"/>
      <c r="L96" s="412"/>
      <c r="M96" s="412"/>
      <c r="N96" s="412"/>
      <c r="O96" s="412"/>
      <c r="P96" s="412"/>
      <c r="Q96" s="412"/>
      <c r="R96" s="412"/>
      <c r="S96" s="412"/>
      <c r="T96" s="412"/>
      <c r="U96" s="412"/>
      <c r="V96" s="412"/>
      <c r="W96" s="412"/>
      <c r="X96" s="333"/>
      <c r="Y96" s="332"/>
    </row>
    <row r="97" spans="1:25" s="417" customFormat="1">
      <c r="A97" s="414"/>
      <c r="E97" s="308"/>
      <c r="F97" s="308"/>
      <c r="G97" s="308"/>
      <c r="H97" s="308"/>
      <c r="I97" s="308"/>
      <c r="J97" s="308"/>
      <c r="K97" s="308"/>
      <c r="L97" s="308"/>
      <c r="M97" s="308"/>
      <c r="N97" s="308"/>
      <c r="O97" s="308"/>
      <c r="P97" s="308"/>
      <c r="Q97" s="308"/>
      <c r="R97" s="308"/>
      <c r="S97" s="308"/>
      <c r="T97" s="308"/>
      <c r="U97" s="333"/>
      <c r="V97" s="333"/>
      <c r="W97" s="308"/>
      <c r="X97" s="333"/>
      <c r="Y97" s="416"/>
    </row>
    <row r="98" spans="1:25" s="417" customFormat="1">
      <c r="A98" s="414"/>
      <c r="E98" s="308"/>
      <c r="F98" s="308"/>
      <c r="G98" s="308"/>
      <c r="H98" s="308"/>
      <c r="I98" s="308"/>
      <c r="J98" s="308"/>
      <c r="K98" s="308"/>
      <c r="L98" s="308"/>
      <c r="M98" s="308"/>
      <c r="N98" s="308"/>
      <c r="O98" s="308"/>
      <c r="P98" s="308"/>
      <c r="Q98" s="308"/>
      <c r="R98" s="308"/>
      <c r="S98" s="308"/>
      <c r="T98" s="308"/>
      <c r="U98" s="333"/>
      <c r="V98" s="333"/>
      <c r="W98" s="308"/>
      <c r="X98" s="333"/>
      <c r="Y98" s="287"/>
    </row>
    <row r="99" spans="1:25" s="314" customFormat="1">
      <c r="A99" s="4"/>
      <c r="E99" s="411"/>
      <c r="F99" s="411"/>
      <c r="G99" s="411"/>
      <c r="H99" s="411"/>
      <c r="I99" s="411"/>
      <c r="J99" s="411"/>
      <c r="K99" s="411"/>
      <c r="L99" s="411"/>
      <c r="M99" s="411"/>
      <c r="N99" s="411"/>
      <c r="O99" s="411"/>
      <c r="P99" s="411"/>
      <c r="Q99" s="411"/>
      <c r="R99" s="411"/>
      <c r="S99" s="411"/>
      <c r="T99" s="411"/>
      <c r="U99" s="415"/>
      <c r="V99" s="415"/>
      <c r="W99" s="411"/>
      <c r="X99" s="415"/>
      <c r="Y99" s="287"/>
    </row>
    <row r="100" spans="1:25" s="314" customFormat="1">
      <c r="A100" s="4"/>
      <c r="E100" s="411"/>
      <c r="F100" s="411"/>
      <c r="G100" s="411"/>
      <c r="H100" s="411"/>
      <c r="I100" s="411"/>
      <c r="J100" s="411"/>
      <c r="K100" s="411"/>
      <c r="L100" s="411"/>
      <c r="M100" s="411"/>
      <c r="N100" s="411"/>
      <c r="O100" s="411"/>
      <c r="P100" s="411"/>
      <c r="Q100" s="411"/>
      <c r="R100" s="411"/>
      <c r="S100" s="411"/>
      <c r="T100" s="411"/>
      <c r="U100" s="415"/>
      <c r="V100" s="415"/>
      <c r="W100" s="411"/>
      <c r="X100" s="415"/>
      <c r="Y100" s="307"/>
    </row>
    <row r="101" spans="1:25" s="314" customFormat="1">
      <c r="A101" s="4"/>
      <c r="E101" s="411"/>
      <c r="F101" s="411"/>
      <c r="G101" s="411"/>
      <c r="H101" s="411"/>
      <c r="I101" s="411"/>
      <c r="J101" s="411"/>
      <c r="K101" s="411"/>
      <c r="L101" s="411"/>
      <c r="M101" s="411"/>
      <c r="N101" s="411"/>
      <c r="O101" s="411"/>
      <c r="P101" s="411"/>
      <c r="Q101" s="411"/>
      <c r="R101" s="411"/>
      <c r="S101" s="411"/>
      <c r="T101" s="411"/>
      <c r="U101" s="415"/>
      <c r="V101" s="415"/>
      <c r="W101" s="411"/>
      <c r="X101" s="415"/>
      <c r="Y101" s="287"/>
    </row>
  </sheetData>
  <mergeCells count="5">
    <mergeCell ref="AB40:AB41"/>
    <mergeCell ref="AF28:AF30"/>
    <mergeCell ref="AA23:AG23"/>
    <mergeCell ref="AF42:AF43"/>
    <mergeCell ref="AF45:AG47"/>
  </mergeCells>
  <pageMargins left="0.75" right="0.5" top="0.8" bottom="0.84" header="0.5" footer="0.5"/>
  <pageSetup scale="63" firstPageNumber="4" orientation="portrait" r:id="rId1"/>
  <headerFooter scaleWithDoc="0" alignWithMargins="0">
    <oddHeader xml:space="preserve">&amp;RExh. EMA-14
</oddHeader>
    <oddFooter>&amp;RPage &amp;P of &amp;N</oddFooter>
  </headerFooter>
  <colBreaks count="1" manualBreakCount="1">
    <brk id="14" max="81"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215"/>
  <sheetViews>
    <sheetView view="pageBreakPreview" topLeftCell="A127" zoomScaleNormal="100" zoomScaleSheetLayoutView="100" workbookViewId="0">
      <selection activeCell="V205" sqref="V205"/>
    </sheetView>
  </sheetViews>
  <sheetFormatPr defaultColWidth="10.7109375" defaultRowHeight="12"/>
  <cols>
    <col min="1" max="1" width="4.85546875" style="132" customWidth="1"/>
    <col min="2" max="2" width="1.7109375" style="112" customWidth="1"/>
    <col min="3" max="3" width="9" style="112" customWidth="1"/>
    <col min="4" max="4" width="22.7109375" style="112" customWidth="1"/>
    <col min="5" max="5" width="10.42578125" style="112" customWidth="1"/>
    <col min="6" max="12" width="10.7109375" style="114" hidden="1" customWidth="1"/>
    <col min="13" max="17" width="10.7109375" style="114" customWidth="1"/>
    <col min="18" max="18" width="11.7109375" style="112" customWidth="1"/>
    <col min="19" max="19" width="11.5703125" style="112" customWidth="1"/>
    <col min="20" max="20" width="10.5703125" style="112" customWidth="1"/>
    <col min="21" max="22" width="10.5703125" style="138" customWidth="1"/>
    <col min="23" max="23" width="11.28515625" style="112" customWidth="1"/>
    <col min="24" max="24" width="10.42578125" style="112" customWidth="1"/>
    <col min="25" max="25" width="10.28515625" style="112" customWidth="1"/>
    <col min="26" max="26" width="9.28515625" style="112" customWidth="1"/>
    <col min="27" max="16384" width="10.7109375" style="112"/>
  </cols>
  <sheetData>
    <row r="1" spans="1:22" ht="6.75" customHeight="1">
      <c r="A1" s="882"/>
      <c r="B1" s="882"/>
      <c r="C1" s="882"/>
      <c r="D1" s="882"/>
      <c r="E1" s="882"/>
      <c r="F1" s="882"/>
      <c r="G1" s="882"/>
      <c r="H1" s="882"/>
      <c r="I1" s="882"/>
      <c r="J1" s="882"/>
      <c r="K1" s="882"/>
      <c r="L1" s="882"/>
      <c r="M1" s="882"/>
      <c r="N1" s="882"/>
      <c r="O1" s="882"/>
      <c r="P1" s="882"/>
      <c r="Q1" s="882"/>
      <c r="R1" s="882"/>
    </row>
    <row r="2" spans="1:22" ht="18.75">
      <c r="A2" s="498" t="s">
        <v>464</v>
      </c>
      <c r="B2" s="498"/>
      <c r="C2" s="498"/>
      <c r="D2" s="498"/>
      <c r="E2" s="498"/>
      <c r="F2" s="498"/>
      <c r="G2" s="498"/>
      <c r="H2" s="498"/>
      <c r="I2" s="498"/>
      <c r="J2" s="498"/>
      <c r="K2" s="498"/>
      <c r="L2" s="498"/>
      <c r="M2" s="498"/>
      <c r="N2" s="498"/>
      <c r="O2" s="498"/>
      <c r="P2" s="498"/>
      <c r="Q2" s="498"/>
      <c r="R2" s="498"/>
    </row>
    <row r="3" spans="1:22" ht="14.25" customHeight="1">
      <c r="A3" s="499" t="s">
        <v>103</v>
      </c>
      <c r="B3" s="675" t="s">
        <v>664</v>
      </c>
      <c r="C3" s="500"/>
      <c r="D3" s="500"/>
      <c r="E3" s="500"/>
      <c r="F3" s="501"/>
      <c r="G3" s="501"/>
      <c r="H3" s="501"/>
      <c r="I3" s="501"/>
      <c r="J3" s="501"/>
      <c r="K3" s="501"/>
      <c r="L3" s="501"/>
      <c r="M3" s="501"/>
      <c r="N3" s="501"/>
      <c r="O3" s="501"/>
      <c r="P3" s="501"/>
      <c r="Q3" s="501"/>
      <c r="R3" s="501"/>
    </row>
    <row r="4" spans="1:22" ht="16.5" customHeight="1">
      <c r="A4" s="499" t="s">
        <v>169</v>
      </c>
      <c r="B4" s="500"/>
      <c r="C4" s="500"/>
      <c r="D4" s="500"/>
      <c r="E4" s="500"/>
      <c r="F4" s="502"/>
      <c r="G4" s="502"/>
      <c r="H4" s="502"/>
      <c r="I4" s="502"/>
      <c r="J4" s="502"/>
      <c r="K4" s="502"/>
      <c r="L4" s="502"/>
      <c r="M4" s="502"/>
      <c r="N4" s="502"/>
    </row>
    <row r="5" spans="1:22" ht="15.75" customHeight="1">
      <c r="A5" s="883" t="s">
        <v>465</v>
      </c>
      <c r="B5" s="883"/>
      <c r="C5" s="883"/>
      <c r="D5" s="883"/>
      <c r="E5" s="883"/>
      <c r="F5" s="883"/>
      <c r="G5" s="883"/>
      <c r="H5" s="883"/>
      <c r="I5" s="883"/>
      <c r="J5" s="883"/>
      <c r="K5" s="883"/>
      <c r="L5" s="883"/>
      <c r="M5" s="883"/>
      <c r="N5" s="883"/>
    </row>
    <row r="6" spans="1:22" s="116" customFormat="1" ht="14.25" customHeight="1">
      <c r="A6" s="499" t="s">
        <v>69</v>
      </c>
      <c r="B6" s="503"/>
      <c r="C6" s="503"/>
      <c r="D6" s="503"/>
      <c r="E6" s="503"/>
      <c r="F6" s="502"/>
      <c r="G6" s="502"/>
      <c r="H6" s="502"/>
      <c r="I6" s="502"/>
      <c r="J6" s="502"/>
      <c r="K6" s="502"/>
      <c r="L6" s="502"/>
      <c r="M6" s="502"/>
      <c r="N6" s="502"/>
      <c r="O6" s="114"/>
      <c r="P6" s="114"/>
      <c r="Q6" s="114"/>
      <c r="R6" s="112"/>
      <c r="S6" s="134"/>
      <c r="T6" s="504"/>
      <c r="U6" s="504"/>
      <c r="V6" s="504"/>
    </row>
    <row r="7" spans="1:22" s="116" customFormat="1" ht="3.75" customHeight="1">
      <c r="A7" s="115"/>
      <c r="E7" s="605"/>
      <c r="F7" s="117"/>
      <c r="G7" s="117"/>
      <c r="H7" s="117"/>
      <c r="I7" s="117"/>
      <c r="J7" s="117"/>
      <c r="K7" s="117"/>
      <c r="L7" s="117"/>
      <c r="M7" s="117"/>
      <c r="N7" s="117"/>
      <c r="O7" s="117"/>
      <c r="P7" s="117"/>
      <c r="Q7" s="117"/>
      <c r="U7" s="504"/>
      <c r="V7" s="504"/>
    </row>
    <row r="8" spans="1:22" s="116" customFormat="1">
      <c r="A8" s="118"/>
      <c r="B8" s="119"/>
      <c r="C8" s="120"/>
      <c r="D8" s="121"/>
      <c r="E8" s="825"/>
      <c r="F8" s="505">
        <v>2000</v>
      </c>
      <c r="G8" s="505">
        <v>2001</v>
      </c>
      <c r="H8" s="505">
        <v>2002</v>
      </c>
      <c r="I8" s="505">
        <v>2003</v>
      </c>
      <c r="J8" s="505">
        <v>2004</v>
      </c>
      <c r="K8" s="505">
        <v>2005</v>
      </c>
      <c r="L8" s="505">
        <v>2006</v>
      </c>
      <c r="M8" s="505">
        <v>2007</v>
      </c>
      <c r="N8" s="505">
        <v>2008</v>
      </c>
      <c r="O8" s="505">
        <v>2009</v>
      </c>
      <c r="P8" s="505">
        <v>2010</v>
      </c>
      <c r="Q8" s="505">
        <v>2011</v>
      </c>
      <c r="R8" s="505">
        <v>2012</v>
      </c>
      <c r="S8" s="505">
        <v>2013</v>
      </c>
      <c r="T8" s="505">
        <v>2014</v>
      </c>
      <c r="U8" s="505">
        <v>2015</v>
      </c>
      <c r="V8" s="506" t="s">
        <v>466</v>
      </c>
    </row>
    <row r="9" spans="1:22">
      <c r="A9" s="122" t="s">
        <v>7</v>
      </c>
      <c r="B9" s="123"/>
      <c r="C9" s="124"/>
      <c r="D9" s="125"/>
      <c r="E9" s="125"/>
      <c r="F9" s="126" t="s">
        <v>405</v>
      </c>
      <c r="G9" s="126" t="s">
        <v>405</v>
      </c>
      <c r="H9" s="126" t="s">
        <v>405</v>
      </c>
      <c r="I9" s="126" t="s">
        <v>405</v>
      </c>
      <c r="J9" s="126" t="s">
        <v>405</v>
      </c>
      <c r="K9" s="126" t="s">
        <v>405</v>
      </c>
      <c r="L9" s="126" t="s">
        <v>405</v>
      </c>
      <c r="M9" s="126" t="s">
        <v>405</v>
      </c>
      <c r="N9" s="126" t="s">
        <v>405</v>
      </c>
      <c r="O9" s="126" t="s">
        <v>405</v>
      </c>
      <c r="P9" s="126" t="s">
        <v>405</v>
      </c>
      <c r="Q9" s="126" t="s">
        <v>405</v>
      </c>
      <c r="R9" s="126" t="s">
        <v>405</v>
      </c>
      <c r="S9" s="126" t="s">
        <v>405</v>
      </c>
      <c r="T9" s="126" t="s">
        <v>405</v>
      </c>
      <c r="U9" s="507" t="s">
        <v>405</v>
      </c>
      <c r="V9" s="507" t="s">
        <v>405</v>
      </c>
    </row>
    <row r="10" spans="1:22" s="133" customFormat="1" ht="12.75" thickBot="1">
      <c r="A10" s="127" t="s">
        <v>15</v>
      </c>
      <c r="B10" s="128"/>
      <c r="C10" s="129"/>
      <c r="D10" s="130" t="s">
        <v>16</v>
      </c>
      <c r="E10" s="130"/>
      <c r="F10" s="126" t="s">
        <v>25</v>
      </c>
      <c r="G10" s="131" t="s">
        <v>25</v>
      </c>
      <c r="H10" s="131" t="s">
        <v>25</v>
      </c>
      <c r="I10" s="131" t="s">
        <v>25</v>
      </c>
      <c r="J10" s="131" t="s">
        <v>25</v>
      </c>
      <c r="K10" s="131" t="s">
        <v>25</v>
      </c>
      <c r="L10" s="131" t="s">
        <v>25</v>
      </c>
      <c r="M10" s="131" t="s">
        <v>25</v>
      </c>
      <c r="N10" s="131" t="s">
        <v>25</v>
      </c>
      <c r="O10" s="131" t="s">
        <v>25</v>
      </c>
      <c r="P10" s="131" t="s">
        <v>25</v>
      </c>
      <c r="Q10" s="131" t="s">
        <v>25</v>
      </c>
      <c r="R10" s="131" t="s">
        <v>25</v>
      </c>
      <c r="S10" s="131" t="s">
        <v>25</v>
      </c>
      <c r="T10" s="131" t="s">
        <v>25</v>
      </c>
      <c r="U10" s="508" t="s">
        <v>25</v>
      </c>
      <c r="V10" s="508" t="s">
        <v>25</v>
      </c>
    </row>
    <row r="11" spans="1:22" ht="12.75" thickBot="1">
      <c r="B11" s="112" t="s">
        <v>665</v>
      </c>
      <c r="F11" s="831"/>
      <c r="R11" s="114"/>
      <c r="S11" s="114"/>
      <c r="T11" s="114"/>
      <c r="U11" s="509"/>
      <c r="V11" s="509"/>
    </row>
    <row r="12" spans="1:22">
      <c r="A12" s="132">
        <v>1</v>
      </c>
      <c r="B12" s="133" t="s">
        <v>27</v>
      </c>
      <c r="C12" s="133"/>
      <c r="D12" s="133"/>
      <c r="E12" s="133"/>
      <c r="F12" s="510">
        <v>89522</v>
      </c>
      <c r="G12" s="510">
        <v>144574</v>
      </c>
      <c r="H12" s="510">
        <v>148580</v>
      </c>
      <c r="I12" s="510">
        <v>137031</v>
      </c>
      <c r="J12" s="510">
        <v>159265</v>
      </c>
      <c r="K12" s="510">
        <v>178724</v>
      </c>
      <c r="L12" s="510">
        <v>197821</v>
      </c>
      <c r="M12" s="510">
        <v>209186</v>
      </c>
      <c r="N12" s="510">
        <v>203727</v>
      </c>
      <c r="O12" s="510">
        <v>182706</v>
      </c>
      <c r="P12" s="510">
        <v>142370</v>
      </c>
      <c r="Q12" s="510">
        <v>152457</v>
      </c>
      <c r="R12" s="510">
        <v>142048</v>
      </c>
      <c r="S12" s="510">
        <v>144257</v>
      </c>
      <c r="T12" s="510">
        <v>154546</v>
      </c>
      <c r="U12" s="511">
        <v>149865</v>
      </c>
      <c r="V12" s="511">
        <v>150970</v>
      </c>
    </row>
    <row r="13" spans="1:22">
      <c r="A13" s="132">
        <v>2</v>
      </c>
      <c r="B13" s="134" t="s">
        <v>28</v>
      </c>
      <c r="D13" s="134"/>
      <c r="E13" s="134"/>
      <c r="F13" s="512">
        <v>4525</v>
      </c>
      <c r="G13" s="512">
        <v>4274</v>
      </c>
      <c r="H13" s="512">
        <v>3878</v>
      </c>
      <c r="I13" s="512">
        <f>4392-1000</f>
        <v>3392</v>
      </c>
      <c r="J13" s="512">
        <v>2842</v>
      </c>
      <c r="K13" s="512">
        <v>3440</v>
      </c>
      <c r="L13" s="512">
        <f>1446+1665</f>
        <v>3111</v>
      </c>
      <c r="M13" s="512">
        <v>3263</v>
      </c>
      <c r="N13" s="512">
        <v>3369</v>
      </c>
      <c r="O13" s="512">
        <v>3275</v>
      </c>
      <c r="P13" s="512">
        <v>3155</v>
      </c>
      <c r="Q13" s="512">
        <v>3448</v>
      </c>
      <c r="R13" s="512">
        <v>3627</v>
      </c>
      <c r="S13" s="512">
        <v>3915</v>
      </c>
      <c r="T13" s="512">
        <v>3960</v>
      </c>
      <c r="U13" s="513">
        <v>4054</v>
      </c>
      <c r="V13" s="513">
        <v>4477</v>
      </c>
    </row>
    <row r="14" spans="1:22" ht="10.9" customHeight="1">
      <c r="A14" s="132">
        <v>3</v>
      </c>
      <c r="B14" s="134" t="s">
        <v>29</v>
      </c>
      <c r="D14" s="134"/>
      <c r="E14" s="134"/>
      <c r="F14" s="514">
        <v>2377</v>
      </c>
      <c r="G14" s="514">
        <v>2541</v>
      </c>
      <c r="H14" s="514">
        <v>2340</v>
      </c>
      <c r="I14" s="514">
        <f>1183+1000</f>
        <v>2183</v>
      </c>
      <c r="J14" s="514">
        <v>2168</v>
      </c>
      <c r="K14" s="514">
        <v>30131</v>
      </c>
      <c r="L14" s="514">
        <f>4037-1665</f>
        <v>2372</v>
      </c>
      <c r="M14" s="514">
        <v>68416</v>
      </c>
      <c r="N14" s="514">
        <v>153093</v>
      </c>
      <c r="O14" s="514">
        <v>84085</v>
      </c>
      <c r="P14" s="514">
        <v>115257</v>
      </c>
      <c r="Q14" s="514">
        <v>98841</v>
      </c>
      <c r="R14" s="514">
        <v>68107</v>
      </c>
      <c r="S14" s="514">
        <v>403</v>
      </c>
      <c r="T14" s="514">
        <v>332</v>
      </c>
      <c r="U14" s="515">
        <v>7129</v>
      </c>
      <c r="V14" s="515">
        <v>1020</v>
      </c>
    </row>
    <row r="15" spans="1:22">
      <c r="A15" s="132">
        <v>4</v>
      </c>
      <c r="B15" s="112" t="s">
        <v>30</v>
      </c>
      <c r="C15" s="134"/>
      <c r="D15" s="134"/>
      <c r="E15" s="134"/>
      <c r="F15" s="512">
        <f t="shared" ref="F15:S15" si="0">SUM(F12:F14)</f>
        <v>96424</v>
      </c>
      <c r="G15" s="512">
        <f t="shared" si="0"/>
        <v>151389</v>
      </c>
      <c r="H15" s="512">
        <f t="shared" si="0"/>
        <v>154798</v>
      </c>
      <c r="I15" s="512">
        <f t="shared" si="0"/>
        <v>142606</v>
      </c>
      <c r="J15" s="512">
        <f t="shared" si="0"/>
        <v>164275</v>
      </c>
      <c r="K15" s="512">
        <f t="shared" si="0"/>
        <v>212295</v>
      </c>
      <c r="L15" s="512">
        <f t="shared" si="0"/>
        <v>203304</v>
      </c>
      <c r="M15" s="512">
        <f t="shared" si="0"/>
        <v>280865</v>
      </c>
      <c r="N15" s="512">
        <f t="shared" si="0"/>
        <v>360189</v>
      </c>
      <c r="O15" s="512">
        <f t="shared" si="0"/>
        <v>270066</v>
      </c>
      <c r="P15" s="512">
        <f t="shared" si="0"/>
        <v>260782</v>
      </c>
      <c r="Q15" s="512">
        <f t="shared" si="0"/>
        <v>254746</v>
      </c>
      <c r="R15" s="512">
        <f t="shared" si="0"/>
        <v>213782</v>
      </c>
      <c r="S15" s="512">
        <f t="shared" si="0"/>
        <v>148575</v>
      </c>
      <c r="T15" s="512">
        <f>SUM(T12:T14)</f>
        <v>158838</v>
      </c>
      <c r="U15" s="513">
        <f>SUM(U12:U14)</f>
        <v>161048</v>
      </c>
      <c r="V15" s="513">
        <f>SUM(V12:V14)</f>
        <v>156467</v>
      </c>
    </row>
    <row r="16" spans="1:22" ht="2.25" customHeight="1">
      <c r="C16" s="134"/>
      <c r="D16" s="134"/>
      <c r="E16" s="134"/>
      <c r="F16" s="512"/>
      <c r="G16" s="512"/>
      <c r="H16" s="512"/>
      <c r="I16" s="512"/>
      <c r="J16" s="512"/>
      <c r="K16" s="512"/>
      <c r="L16" s="512"/>
      <c r="M16" s="512"/>
      <c r="N16" s="512"/>
      <c r="O16" s="512"/>
      <c r="P16" s="512"/>
      <c r="Q16" s="512"/>
      <c r="R16" s="512"/>
      <c r="S16" s="512"/>
      <c r="T16" s="512"/>
      <c r="U16" s="513"/>
      <c r="V16" s="513"/>
    </row>
    <row r="17" spans="1:22">
      <c r="B17" s="112" t="s">
        <v>31</v>
      </c>
      <c r="C17" s="134"/>
      <c r="D17" s="134"/>
      <c r="E17" s="134"/>
      <c r="F17" s="512"/>
      <c r="G17" s="512"/>
      <c r="H17" s="512"/>
      <c r="I17" s="512"/>
      <c r="J17" s="512"/>
      <c r="K17" s="512"/>
      <c r="L17" s="512"/>
      <c r="M17" s="512"/>
      <c r="N17" s="512"/>
      <c r="O17" s="512"/>
      <c r="P17" s="512"/>
      <c r="Q17" s="512"/>
      <c r="R17" s="512"/>
      <c r="S17" s="512"/>
      <c r="T17" s="512"/>
      <c r="U17" s="513"/>
      <c r="V17" s="513"/>
    </row>
    <row r="18" spans="1:22">
      <c r="B18" s="134" t="s">
        <v>172</v>
      </c>
      <c r="D18" s="134"/>
      <c r="E18" s="134"/>
      <c r="F18" s="512"/>
      <c r="G18" s="512"/>
      <c r="H18" s="512"/>
      <c r="I18" s="512"/>
      <c r="J18" s="512"/>
      <c r="K18" s="512"/>
      <c r="L18" s="512"/>
      <c r="M18" s="512"/>
      <c r="N18" s="512"/>
      <c r="O18" s="512"/>
      <c r="P18" s="512"/>
      <c r="Q18" s="512"/>
      <c r="R18" s="512"/>
      <c r="S18" s="512"/>
      <c r="T18" s="512"/>
      <c r="U18" s="513"/>
      <c r="V18" s="513"/>
    </row>
    <row r="19" spans="1:22">
      <c r="A19" s="132">
        <v>5</v>
      </c>
      <c r="C19" s="134" t="s">
        <v>32</v>
      </c>
      <c r="D19" s="134"/>
      <c r="E19" s="828"/>
      <c r="F19" s="512">
        <v>59659</v>
      </c>
      <c r="G19" s="512">
        <v>106139</v>
      </c>
      <c r="H19" s="512">
        <v>109325</v>
      </c>
      <c r="I19" s="512">
        <v>96222</v>
      </c>
      <c r="J19" s="512">
        <v>114371</v>
      </c>
      <c r="K19" s="512">
        <v>167251</v>
      </c>
      <c r="L19" s="512">
        <v>149802</v>
      </c>
      <c r="M19" s="512">
        <v>222364</v>
      </c>
      <c r="N19" s="512">
        <v>310276</v>
      </c>
      <c r="O19" s="512">
        <v>194267</v>
      </c>
      <c r="P19" s="512">
        <v>197494</v>
      </c>
      <c r="Q19" s="512">
        <v>188167</v>
      </c>
      <c r="R19" s="512">
        <v>139073</v>
      </c>
      <c r="S19" s="512">
        <v>76801</v>
      </c>
      <c r="T19" s="512">
        <v>84187</v>
      </c>
      <c r="U19" s="513">
        <v>79634</v>
      </c>
      <c r="V19" s="513">
        <v>63460</v>
      </c>
    </row>
    <row r="20" spans="1:22">
      <c r="A20" s="132">
        <v>6</v>
      </c>
      <c r="C20" s="134" t="s">
        <v>33</v>
      </c>
      <c r="D20" s="134"/>
      <c r="E20" s="828"/>
      <c r="F20" s="512">
        <v>-1915</v>
      </c>
      <c r="G20" s="512">
        <v>988</v>
      </c>
      <c r="H20" s="512">
        <v>1177</v>
      </c>
      <c r="I20" s="512">
        <v>1186</v>
      </c>
      <c r="J20" s="512">
        <v>369</v>
      </c>
      <c r="K20" s="512">
        <v>651</v>
      </c>
      <c r="L20" s="512">
        <v>653</v>
      </c>
      <c r="M20" s="512">
        <v>792</v>
      </c>
      <c r="N20" s="512">
        <v>-9103</v>
      </c>
      <c r="O20" s="512">
        <v>803</v>
      </c>
      <c r="P20" s="512">
        <v>800</v>
      </c>
      <c r="Q20" s="512">
        <v>14</v>
      </c>
      <c r="R20" s="512">
        <v>130</v>
      </c>
      <c r="S20" s="512">
        <v>891</v>
      </c>
      <c r="T20" s="512">
        <v>779</v>
      </c>
      <c r="U20" s="513">
        <v>840</v>
      </c>
      <c r="V20" s="513">
        <v>994</v>
      </c>
    </row>
    <row r="21" spans="1:22" ht="11.45" customHeight="1">
      <c r="A21" s="132">
        <v>7</v>
      </c>
      <c r="C21" s="134" t="s">
        <v>34</v>
      </c>
      <c r="D21" s="134"/>
      <c r="E21" s="134"/>
      <c r="F21" s="514">
        <v>38</v>
      </c>
      <c r="G21" s="514">
        <v>134</v>
      </c>
      <c r="H21" s="514">
        <v>128</v>
      </c>
      <c r="I21" s="514">
        <v>0</v>
      </c>
      <c r="J21" s="514">
        <v>0</v>
      </c>
      <c r="K21" s="514">
        <v>-8407</v>
      </c>
      <c r="L21" s="514">
        <v>0</v>
      </c>
      <c r="M21" s="514">
        <v>283</v>
      </c>
      <c r="N21" s="514">
        <v>2</v>
      </c>
      <c r="O21" s="514">
        <v>10720</v>
      </c>
      <c r="P21" s="514">
        <v>-3322</v>
      </c>
      <c r="Q21" s="514">
        <v>-4366</v>
      </c>
      <c r="R21" s="514">
        <v>4352</v>
      </c>
      <c r="S21" s="514">
        <v>0</v>
      </c>
      <c r="T21" s="514">
        <v>0</v>
      </c>
      <c r="U21" s="515">
        <v>0</v>
      </c>
      <c r="V21" s="515">
        <v>1</v>
      </c>
    </row>
    <row r="22" spans="1:22" ht="12.75" thickBot="1">
      <c r="A22" s="132">
        <v>8</v>
      </c>
      <c r="B22" s="134" t="s">
        <v>35</v>
      </c>
      <c r="C22" s="134"/>
      <c r="F22" s="512">
        <f t="shared" ref="F22:V22" si="1">SUM(F19:F21)</f>
        <v>57782</v>
      </c>
      <c r="G22" s="512">
        <f t="shared" si="1"/>
        <v>107261</v>
      </c>
      <c r="H22" s="512">
        <f t="shared" si="1"/>
        <v>110630</v>
      </c>
      <c r="I22" s="512">
        <f t="shared" si="1"/>
        <v>97408</v>
      </c>
      <c r="J22" s="512">
        <f t="shared" si="1"/>
        <v>114740</v>
      </c>
      <c r="K22" s="512">
        <f t="shared" si="1"/>
        <v>159495</v>
      </c>
      <c r="L22" s="512">
        <f t="shared" si="1"/>
        <v>150455</v>
      </c>
      <c r="M22" s="512">
        <f t="shared" si="1"/>
        <v>223439</v>
      </c>
      <c r="N22" s="512">
        <f t="shared" si="1"/>
        <v>301175</v>
      </c>
      <c r="O22" s="512">
        <f t="shared" si="1"/>
        <v>205790</v>
      </c>
      <c r="P22" s="512">
        <f t="shared" si="1"/>
        <v>194972</v>
      </c>
      <c r="Q22" s="512">
        <f t="shared" si="1"/>
        <v>183815</v>
      </c>
      <c r="R22" s="512">
        <f t="shared" si="1"/>
        <v>143555</v>
      </c>
      <c r="S22" s="512">
        <f t="shared" si="1"/>
        <v>77692</v>
      </c>
      <c r="T22" s="512">
        <f t="shared" si="1"/>
        <v>84966</v>
      </c>
      <c r="U22" s="513">
        <f t="shared" si="1"/>
        <v>80474</v>
      </c>
      <c r="V22" s="513">
        <f t="shared" si="1"/>
        <v>64455</v>
      </c>
    </row>
    <row r="23" spans="1:22" ht="2.25" customHeight="1" thickBot="1">
      <c r="B23" s="134" t="s">
        <v>666</v>
      </c>
      <c r="C23" s="134"/>
      <c r="F23" s="831"/>
      <c r="G23" s="512"/>
      <c r="H23" s="512"/>
      <c r="I23" s="512"/>
      <c r="J23" s="512"/>
      <c r="K23" s="512"/>
      <c r="L23" s="512"/>
      <c r="M23" s="512"/>
      <c r="N23" s="512"/>
      <c r="O23" s="512"/>
      <c r="P23" s="512"/>
      <c r="Q23" s="512"/>
      <c r="R23" s="512"/>
      <c r="S23" s="512"/>
      <c r="T23" s="512"/>
      <c r="U23" s="513"/>
      <c r="V23" s="513"/>
    </row>
    <row r="24" spans="1:22">
      <c r="B24" s="134" t="s">
        <v>36</v>
      </c>
      <c r="D24" s="134"/>
      <c r="E24" s="134"/>
      <c r="F24" s="512"/>
      <c r="G24" s="512"/>
      <c r="H24" s="512"/>
      <c r="I24" s="512"/>
      <c r="J24" s="512"/>
      <c r="K24" s="512"/>
      <c r="L24" s="512"/>
      <c r="M24" s="512"/>
      <c r="N24" s="512"/>
      <c r="O24" s="512"/>
      <c r="P24" s="512"/>
      <c r="Q24" s="512"/>
      <c r="R24" s="512"/>
      <c r="S24" s="512"/>
      <c r="T24" s="512"/>
      <c r="U24" s="513"/>
      <c r="V24" s="513"/>
    </row>
    <row r="25" spans="1:22">
      <c r="A25" s="132">
        <v>9</v>
      </c>
      <c r="C25" s="134" t="s">
        <v>37</v>
      </c>
      <c r="D25" s="134"/>
      <c r="E25" s="134"/>
      <c r="F25" s="512">
        <v>312</v>
      </c>
      <c r="G25" s="512">
        <v>322</v>
      </c>
      <c r="H25" s="512">
        <v>357</v>
      </c>
      <c r="I25" s="512">
        <v>342</v>
      </c>
      <c r="J25" s="512">
        <v>381</v>
      </c>
      <c r="K25" s="512">
        <v>450</v>
      </c>
      <c r="L25" s="512">
        <v>492</v>
      </c>
      <c r="M25" s="512">
        <v>451</v>
      </c>
      <c r="N25" s="512">
        <v>436</v>
      </c>
      <c r="O25" s="512">
        <v>403</v>
      </c>
      <c r="P25" s="512">
        <v>380</v>
      </c>
      <c r="Q25" s="512">
        <v>585</v>
      </c>
      <c r="R25" s="512">
        <v>712</v>
      </c>
      <c r="S25" s="512">
        <v>820</v>
      </c>
      <c r="T25" s="512">
        <v>893</v>
      </c>
      <c r="U25" s="513">
        <v>857</v>
      </c>
      <c r="V25" s="513">
        <v>974</v>
      </c>
    </row>
    <row r="26" spans="1:22">
      <c r="A26" s="132">
        <v>10</v>
      </c>
      <c r="C26" s="134" t="s">
        <v>168</v>
      </c>
      <c r="D26" s="134"/>
      <c r="E26" s="134"/>
      <c r="F26" s="512">
        <v>314</v>
      </c>
      <c r="G26" s="512">
        <v>314</v>
      </c>
      <c r="H26" s="512">
        <v>297</v>
      </c>
      <c r="I26" s="512">
        <v>309</v>
      </c>
      <c r="J26" s="512">
        <v>309</v>
      </c>
      <c r="K26" s="512">
        <v>310</v>
      </c>
      <c r="L26" s="512">
        <v>312</v>
      </c>
      <c r="M26" s="512">
        <v>310</v>
      </c>
      <c r="N26" s="512">
        <v>276</v>
      </c>
      <c r="O26" s="512">
        <v>393</v>
      </c>
      <c r="P26" s="512">
        <v>348</v>
      </c>
      <c r="Q26" s="512">
        <v>395</v>
      </c>
      <c r="R26" s="512">
        <v>438</v>
      </c>
      <c r="S26" s="512">
        <v>380</v>
      </c>
      <c r="T26" s="512">
        <v>402</v>
      </c>
      <c r="U26" s="513">
        <v>439</v>
      </c>
      <c r="V26" s="513">
        <v>492</v>
      </c>
    </row>
    <row r="27" spans="1:22" ht="12.75" customHeight="1">
      <c r="A27" s="132">
        <v>11</v>
      </c>
      <c r="C27" s="134" t="s">
        <v>20</v>
      </c>
      <c r="D27" s="134"/>
      <c r="E27" s="134"/>
      <c r="F27" s="514">
        <v>111</v>
      </c>
      <c r="G27" s="514">
        <v>108</v>
      </c>
      <c r="H27" s="514">
        <v>120</v>
      </c>
      <c r="I27" s="514">
        <v>118</v>
      </c>
      <c r="J27" s="514">
        <v>120</v>
      </c>
      <c r="K27" s="514">
        <v>115</v>
      </c>
      <c r="L27" s="514">
        <v>122</v>
      </c>
      <c r="M27" s="514">
        <v>95</v>
      </c>
      <c r="N27" s="514">
        <v>113</v>
      </c>
      <c r="O27" s="514">
        <v>121</v>
      </c>
      <c r="P27" s="514">
        <v>116</v>
      </c>
      <c r="Q27" s="514">
        <v>19</v>
      </c>
      <c r="R27" s="514">
        <v>17</v>
      </c>
      <c r="S27" s="514">
        <v>158</v>
      </c>
      <c r="T27" s="514">
        <v>184</v>
      </c>
      <c r="U27" s="515">
        <v>196</v>
      </c>
      <c r="V27" s="515">
        <v>210</v>
      </c>
    </row>
    <row r="28" spans="1:22">
      <c r="A28" s="132">
        <v>12</v>
      </c>
      <c r="B28" s="134" t="s">
        <v>39</v>
      </c>
      <c r="C28" s="134"/>
      <c r="F28" s="512">
        <f t="shared" ref="F28:V28" si="2">SUM(F25:F27)</f>
        <v>737</v>
      </c>
      <c r="G28" s="512">
        <f t="shared" si="2"/>
        <v>744</v>
      </c>
      <c r="H28" s="512">
        <f t="shared" si="2"/>
        <v>774</v>
      </c>
      <c r="I28" s="512">
        <f t="shared" si="2"/>
        <v>769</v>
      </c>
      <c r="J28" s="512">
        <f t="shared" si="2"/>
        <v>810</v>
      </c>
      <c r="K28" s="512">
        <f t="shared" si="2"/>
        <v>875</v>
      </c>
      <c r="L28" s="512">
        <f t="shared" si="2"/>
        <v>926</v>
      </c>
      <c r="M28" s="512">
        <f t="shared" si="2"/>
        <v>856</v>
      </c>
      <c r="N28" s="512">
        <f t="shared" si="2"/>
        <v>825</v>
      </c>
      <c r="O28" s="512">
        <f t="shared" si="2"/>
        <v>917</v>
      </c>
      <c r="P28" s="512">
        <f t="shared" si="2"/>
        <v>844</v>
      </c>
      <c r="Q28" s="512">
        <f t="shared" si="2"/>
        <v>999</v>
      </c>
      <c r="R28" s="512">
        <f t="shared" si="2"/>
        <v>1167</v>
      </c>
      <c r="S28" s="512">
        <f t="shared" si="2"/>
        <v>1358</v>
      </c>
      <c r="T28" s="512">
        <f t="shared" si="2"/>
        <v>1479</v>
      </c>
      <c r="U28" s="513">
        <f t="shared" si="2"/>
        <v>1492</v>
      </c>
      <c r="V28" s="513">
        <f t="shared" si="2"/>
        <v>1676</v>
      </c>
    </row>
    <row r="29" spans="1:22" ht="2.25" customHeight="1">
      <c r="B29" s="134"/>
      <c r="C29" s="134"/>
      <c r="F29" s="512"/>
      <c r="G29" s="512"/>
      <c r="H29" s="512"/>
      <c r="I29" s="512"/>
      <c r="J29" s="512"/>
      <c r="K29" s="512"/>
      <c r="L29" s="512"/>
      <c r="M29" s="512"/>
      <c r="N29" s="512"/>
      <c r="O29" s="512"/>
      <c r="P29" s="512"/>
      <c r="Q29" s="512"/>
      <c r="R29" s="512"/>
      <c r="S29" s="512"/>
      <c r="T29" s="512"/>
      <c r="U29" s="513"/>
      <c r="V29" s="513"/>
    </row>
    <row r="30" spans="1:22" ht="11.25" customHeight="1">
      <c r="B30" s="134" t="s">
        <v>40</v>
      </c>
      <c r="D30" s="134"/>
      <c r="E30" s="134"/>
      <c r="F30" s="512"/>
      <c r="G30" s="512"/>
      <c r="H30" s="512"/>
      <c r="I30" s="512"/>
      <c r="J30" s="512"/>
      <c r="K30" s="512"/>
      <c r="L30" s="512"/>
      <c r="M30" s="512"/>
      <c r="N30" s="512"/>
      <c r="O30" s="512"/>
      <c r="P30" s="512"/>
      <c r="Q30" s="512"/>
      <c r="R30" s="512"/>
      <c r="S30" s="512"/>
      <c r="T30" s="512"/>
      <c r="U30" s="513"/>
      <c r="V30" s="513"/>
    </row>
    <row r="31" spans="1:22">
      <c r="A31" s="132">
        <v>13</v>
      </c>
      <c r="C31" s="134" t="s">
        <v>37</v>
      </c>
      <c r="D31" s="134"/>
      <c r="E31" s="134"/>
      <c r="F31" s="512">
        <v>3956</v>
      </c>
      <c r="G31" s="512">
        <v>4655</v>
      </c>
      <c r="H31" s="512">
        <v>5482</v>
      </c>
      <c r="I31" s="512">
        <v>5762</v>
      </c>
      <c r="J31" s="512">
        <v>5958</v>
      </c>
      <c r="K31" s="512">
        <v>6084</v>
      </c>
      <c r="L31" s="512">
        <v>6359</v>
      </c>
      <c r="M31" s="512">
        <v>6467</v>
      </c>
      <c r="N31" s="512">
        <v>6123</v>
      </c>
      <c r="O31" s="512">
        <v>7700</v>
      </c>
      <c r="P31" s="512">
        <v>7696</v>
      </c>
      <c r="Q31" s="512">
        <v>8854</v>
      </c>
      <c r="R31" s="512">
        <v>9511</v>
      </c>
      <c r="S31" s="512">
        <v>10820</v>
      </c>
      <c r="T31" s="512">
        <v>10704</v>
      </c>
      <c r="U31" s="513">
        <v>12315</v>
      </c>
      <c r="V31" s="513">
        <v>12050</v>
      </c>
    </row>
    <row r="32" spans="1:22" ht="12.95" customHeight="1">
      <c r="A32" s="132">
        <v>14</v>
      </c>
      <c r="C32" s="134" t="s">
        <v>168</v>
      </c>
      <c r="D32" s="134"/>
      <c r="E32" s="134"/>
      <c r="F32" s="512">
        <v>4184</v>
      </c>
      <c r="G32" s="512">
        <v>4390</v>
      </c>
      <c r="H32" s="512">
        <v>4496</v>
      </c>
      <c r="I32" s="512">
        <v>4707</v>
      </c>
      <c r="J32" s="512">
        <v>4902</v>
      </c>
      <c r="K32" s="512">
        <v>5088</v>
      </c>
      <c r="L32" s="512">
        <v>5369</v>
      </c>
      <c r="M32" s="512">
        <v>5605</v>
      </c>
      <c r="N32" s="512">
        <v>5673</v>
      </c>
      <c r="O32" s="512">
        <v>6064</v>
      </c>
      <c r="P32" s="512">
        <v>6367</v>
      </c>
      <c r="Q32" s="512">
        <v>6649</v>
      </c>
      <c r="R32" s="512">
        <v>6978</v>
      </c>
      <c r="S32" s="512">
        <v>7925</v>
      </c>
      <c r="T32" s="512">
        <v>8513</v>
      </c>
      <c r="U32" s="513">
        <v>9088</v>
      </c>
      <c r="V32" s="513">
        <v>9866</v>
      </c>
    </row>
    <row r="33" spans="1:22" ht="11.45" customHeight="1">
      <c r="A33" s="132">
        <v>15</v>
      </c>
      <c r="C33" s="134" t="s">
        <v>20</v>
      </c>
      <c r="D33" s="134"/>
      <c r="E33" s="134"/>
      <c r="F33" s="514">
        <v>4919</v>
      </c>
      <c r="G33" s="514">
        <v>7315</v>
      </c>
      <c r="H33" s="514">
        <v>8070</v>
      </c>
      <c r="I33" s="514">
        <v>7205</v>
      </c>
      <c r="J33" s="514">
        <v>8213</v>
      </c>
      <c r="K33" s="514">
        <v>8573</v>
      </c>
      <c r="L33" s="514">
        <v>9457</v>
      </c>
      <c r="M33" s="514">
        <v>9844</v>
      </c>
      <c r="N33" s="514">
        <v>8941</v>
      </c>
      <c r="O33" s="514">
        <v>8746</v>
      </c>
      <c r="P33" s="514">
        <v>7223</v>
      </c>
      <c r="Q33" s="514">
        <v>8050.6743270000006</v>
      </c>
      <c r="R33" s="514">
        <v>7825</v>
      </c>
      <c r="S33" s="514">
        <v>8116</v>
      </c>
      <c r="T33" s="514">
        <v>8719</v>
      </c>
      <c r="U33" s="515">
        <v>8554</v>
      </c>
      <c r="V33" s="515">
        <v>8383</v>
      </c>
    </row>
    <row r="34" spans="1:22" ht="12.95" customHeight="1">
      <c r="A34" s="132">
        <v>16</v>
      </c>
      <c r="B34" s="134" t="s">
        <v>41</v>
      </c>
      <c r="C34" s="516"/>
      <c r="F34" s="512">
        <f t="shared" ref="F34:V34" si="3">SUM(F31:F33)</f>
        <v>13059</v>
      </c>
      <c r="G34" s="512">
        <f t="shared" si="3"/>
        <v>16360</v>
      </c>
      <c r="H34" s="512">
        <f t="shared" si="3"/>
        <v>18048</v>
      </c>
      <c r="I34" s="512">
        <f t="shared" si="3"/>
        <v>17674</v>
      </c>
      <c r="J34" s="512">
        <f t="shared" si="3"/>
        <v>19073</v>
      </c>
      <c r="K34" s="512">
        <f t="shared" si="3"/>
        <v>19745</v>
      </c>
      <c r="L34" s="512">
        <f t="shared" si="3"/>
        <v>21185</v>
      </c>
      <c r="M34" s="512">
        <f t="shared" si="3"/>
        <v>21916</v>
      </c>
      <c r="N34" s="512">
        <f t="shared" si="3"/>
        <v>20737</v>
      </c>
      <c r="O34" s="512">
        <f t="shared" si="3"/>
        <v>22510</v>
      </c>
      <c r="P34" s="512">
        <f t="shared" si="3"/>
        <v>21286</v>
      </c>
      <c r="Q34" s="512">
        <f t="shared" si="3"/>
        <v>23553.674327000001</v>
      </c>
      <c r="R34" s="512">
        <f t="shared" si="3"/>
        <v>24314</v>
      </c>
      <c r="S34" s="512">
        <f t="shared" si="3"/>
        <v>26861</v>
      </c>
      <c r="T34" s="512">
        <f t="shared" si="3"/>
        <v>27936</v>
      </c>
      <c r="U34" s="513">
        <f t="shared" si="3"/>
        <v>29957</v>
      </c>
      <c r="V34" s="513">
        <f t="shared" si="3"/>
        <v>30299</v>
      </c>
    </row>
    <row r="35" spans="1:22">
      <c r="C35" s="134"/>
      <c r="D35" s="134"/>
      <c r="E35" s="134"/>
      <c r="F35" s="512"/>
      <c r="G35" s="512"/>
      <c r="H35" s="512">
        <f>H25/H33</f>
        <v>4.4237918215613382E-2</v>
      </c>
      <c r="I35" s="512"/>
      <c r="J35" s="512"/>
      <c r="K35" s="512"/>
      <c r="L35" s="512"/>
      <c r="M35" s="512"/>
      <c r="N35" s="512"/>
      <c r="O35" s="512"/>
      <c r="P35" s="512"/>
      <c r="Q35" s="512"/>
      <c r="R35" s="512"/>
      <c r="S35" s="512"/>
      <c r="T35" s="512"/>
      <c r="U35" s="513"/>
      <c r="V35" s="513"/>
    </row>
    <row r="36" spans="1:22">
      <c r="A36" s="132">
        <v>17</v>
      </c>
      <c r="B36" s="112" t="s">
        <v>42</v>
      </c>
      <c r="C36" s="134"/>
      <c r="D36" s="134"/>
      <c r="E36" s="134"/>
      <c r="F36" s="512">
        <v>3175</v>
      </c>
      <c r="G36" s="512">
        <v>3367</v>
      </c>
      <c r="H36" s="512">
        <v>4108</v>
      </c>
      <c r="I36" s="512">
        <v>4121</v>
      </c>
      <c r="J36" s="512">
        <v>4337</v>
      </c>
      <c r="K36" s="512">
        <v>4249</v>
      </c>
      <c r="L36" s="512">
        <v>4225</v>
      </c>
      <c r="M36" s="512">
        <v>4487</v>
      </c>
      <c r="N36" s="512">
        <v>4692</v>
      </c>
      <c r="O36" s="512">
        <v>5586</v>
      </c>
      <c r="P36" s="512">
        <v>5234</v>
      </c>
      <c r="Q36" s="512">
        <v>5739.734942</v>
      </c>
      <c r="R36" s="512">
        <v>5796</v>
      </c>
      <c r="S36" s="512">
        <v>6270</v>
      </c>
      <c r="T36" s="512">
        <v>6108</v>
      </c>
      <c r="U36" s="513">
        <v>6632</v>
      </c>
      <c r="V36" s="513">
        <v>6811</v>
      </c>
    </row>
    <row r="37" spans="1:22" ht="11.25" customHeight="1">
      <c r="A37" s="132">
        <v>18</v>
      </c>
      <c r="B37" s="112" t="s">
        <v>43</v>
      </c>
      <c r="C37" s="134"/>
      <c r="D37" s="134"/>
      <c r="E37" s="134"/>
      <c r="F37" s="512">
        <v>507</v>
      </c>
      <c r="G37" s="512">
        <v>1513</v>
      </c>
      <c r="H37" s="512">
        <v>2252</v>
      </c>
      <c r="I37" s="512">
        <v>2747</v>
      </c>
      <c r="J37" s="512">
        <v>480</v>
      </c>
      <c r="K37" s="512">
        <v>3523</v>
      </c>
      <c r="L37" s="512">
        <v>1061</v>
      </c>
      <c r="M37" s="512">
        <v>4658</v>
      </c>
      <c r="N37" s="512">
        <v>5169</v>
      </c>
      <c r="O37" s="512">
        <v>7609</v>
      </c>
      <c r="P37" s="512">
        <v>9505</v>
      </c>
      <c r="Q37" s="512">
        <v>9777</v>
      </c>
      <c r="R37" s="512">
        <v>6955</v>
      </c>
      <c r="S37" s="512">
        <v>983</v>
      </c>
      <c r="T37" s="512">
        <v>865</v>
      </c>
      <c r="U37" s="513">
        <v>837</v>
      </c>
      <c r="V37" s="513">
        <v>964</v>
      </c>
    </row>
    <row r="38" spans="1:22">
      <c r="A38" s="132">
        <v>19</v>
      </c>
      <c r="B38" s="112" t="s">
        <v>44</v>
      </c>
      <c r="C38" s="134"/>
      <c r="D38" s="134"/>
      <c r="E38" s="134"/>
      <c r="F38" s="512">
        <v>703</v>
      </c>
      <c r="G38" s="512">
        <v>445</v>
      </c>
      <c r="H38" s="512">
        <v>375</v>
      </c>
      <c r="I38" s="512">
        <v>492</v>
      </c>
      <c r="J38" s="512">
        <v>427</v>
      </c>
      <c r="K38" s="512">
        <v>320</v>
      </c>
      <c r="L38" s="512">
        <v>496</v>
      </c>
      <c r="M38" s="512">
        <v>516</v>
      </c>
      <c r="N38" s="512">
        <v>442</v>
      </c>
      <c r="O38" s="512">
        <v>497</v>
      </c>
      <c r="P38" s="512">
        <v>105</v>
      </c>
      <c r="Q38" s="512">
        <v>3</v>
      </c>
      <c r="R38" s="512">
        <v>3</v>
      </c>
      <c r="S38" s="512">
        <v>3</v>
      </c>
      <c r="T38" s="512">
        <v>0</v>
      </c>
      <c r="U38" s="513">
        <v>0</v>
      </c>
      <c r="V38" s="513">
        <v>0</v>
      </c>
    </row>
    <row r="39" spans="1:22" ht="2.25" customHeight="1">
      <c r="C39" s="134"/>
      <c r="D39" s="134"/>
      <c r="E39" s="134"/>
      <c r="F39" s="512"/>
      <c r="G39" s="512"/>
      <c r="H39" s="512"/>
      <c r="I39" s="512"/>
      <c r="J39" s="512"/>
      <c r="K39" s="512"/>
      <c r="L39" s="512"/>
      <c r="M39" s="512"/>
      <c r="N39" s="512"/>
      <c r="O39" s="512"/>
      <c r="P39" s="512"/>
      <c r="Q39" s="512"/>
      <c r="R39" s="512"/>
      <c r="S39" s="512"/>
      <c r="T39" s="512"/>
      <c r="U39" s="513"/>
      <c r="V39" s="513"/>
    </row>
    <row r="40" spans="1:22">
      <c r="B40" s="112" t="s">
        <v>45</v>
      </c>
      <c r="C40" s="134"/>
      <c r="D40" s="134"/>
      <c r="E40" s="134"/>
      <c r="F40" s="512"/>
      <c r="G40" s="512"/>
      <c r="H40" s="512"/>
      <c r="I40" s="512"/>
      <c r="J40" s="512"/>
      <c r="K40" s="512"/>
      <c r="L40" s="512"/>
      <c r="M40" s="512"/>
      <c r="N40" s="512"/>
      <c r="O40" s="512"/>
      <c r="P40" s="512"/>
      <c r="Q40" s="512"/>
      <c r="R40" s="512"/>
      <c r="S40" s="512"/>
      <c r="T40" s="512"/>
      <c r="U40" s="513"/>
      <c r="V40" s="513"/>
    </row>
    <row r="41" spans="1:22">
      <c r="A41" s="132">
        <v>20</v>
      </c>
      <c r="C41" s="134" t="s">
        <v>37</v>
      </c>
      <c r="D41" s="134"/>
      <c r="E41" s="134"/>
      <c r="F41" s="512">
        <v>8004</v>
      </c>
      <c r="G41" s="512">
        <v>7578</v>
      </c>
      <c r="H41" s="512">
        <v>9399</v>
      </c>
      <c r="I41" s="512">
        <v>9827</v>
      </c>
      <c r="J41" s="512">
        <v>8911</v>
      </c>
      <c r="K41" s="512">
        <v>9196</v>
      </c>
      <c r="L41" s="512">
        <v>8393</v>
      </c>
      <c r="M41" s="512">
        <v>8901</v>
      </c>
      <c r="N41" s="512">
        <v>9706</v>
      </c>
      <c r="O41" s="512">
        <v>9770</v>
      </c>
      <c r="P41" s="512">
        <v>11383</v>
      </c>
      <c r="Q41" s="512">
        <v>11585.118</v>
      </c>
      <c r="R41" s="512">
        <v>13419</v>
      </c>
      <c r="S41" s="512">
        <v>11862</v>
      </c>
      <c r="T41" s="512">
        <v>12777</v>
      </c>
      <c r="U41" s="513">
        <v>14007</v>
      </c>
      <c r="V41" s="513">
        <v>13267</v>
      </c>
    </row>
    <row r="42" spans="1:22">
      <c r="A42" s="132">
        <v>21</v>
      </c>
      <c r="C42" s="134" t="s">
        <v>168</v>
      </c>
      <c r="D42" s="134"/>
      <c r="E42" s="134"/>
      <c r="F42" s="512">
        <f>'Reg Amort and Other RB'!E17</f>
        <v>1027</v>
      </c>
      <c r="G42" s="512">
        <f>'Reg Amort and Other RB'!F17</f>
        <v>1020</v>
      </c>
      <c r="H42" s="512">
        <f>'Reg Amort and Other RB'!G17</f>
        <v>1275</v>
      </c>
      <c r="I42" s="512">
        <f>'Reg Amort and Other RB'!H17</f>
        <v>1363</v>
      </c>
      <c r="J42" s="512">
        <f>'Reg Amort and Other RB'!I17</f>
        <v>1180</v>
      </c>
      <c r="K42" s="512">
        <f>'Reg Amort and Other RB'!J17</f>
        <v>1343</v>
      </c>
      <c r="L42" s="512">
        <f>'Reg Amort and Other RB'!K17</f>
        <v>1282</v>
      </c>
      <c r="M42" s="512">
        <f>'Reg Amort and Other RB'!L17</f>
        <v>1498</v>
      </c>
      <c r="N42" s="512">
        <f>'Reg Amort and Other RB'!M17</f>
        <v>1803</v>
      </c>
      <c r="O42" s="512">
        <f>'Reg Amort and Other RB'!N17</f>
        <v>1999</v>
      </c>
      <c r="P42" s="512">
        <f>'Reg Amort and Other RB'!O17</f>
        <v>2412</v>
      </c>
      <c r="Q42" s="512">
        <v>2734</v>
      </c>
      <c r="R42" s="512">
        <v>3276</v>
      </c>
      <c r="S42" s="512">
        <v>3868</v>
      </c>
      <c r="T42" s="512">
        <v>4389</v>
      </c>
      <c r="U42" s="513">
        <v>5649</v>
      </c>
      <c r="V42" s="513">
        <v>6260</v>
      </c>
    </row>
    <row r="43" spans="1:22">
      <c r="A43" s="132">
        <v>22</v>
      </c>
      <c r="C43" s="517" t="s">
        <v>379</v>
      </c>
      <c r="D43" s="134"/>
      <c r="E43" s="134"/>
      <c r="F43" s="512">
        <f>'Reg Amort and Other RB'!E25</f>
        <v>0</v>
      </c>
      <c r="G43" s="512">
        <f>'Reg Amort and Other RB'!F25</f>
        <v>167</v>
      </c>
      <c r="H43" s="512">
        <f>'Reg Amort and Other RB'!G25</f>
        <v>185</v>
      </c>
      <c r="I43" s="512">
        <f>'Reg Amort and Other RB'!H25</f>
        <v>159</v>
      </c>
      <c r="J43" s="512">
        <f>'Reg Amort and Other RB'!I25</f>
        <v>169</v>
      </c>
      <c r="K43" s="512">
        <f>'Reg Amort and Other RB'!J25</f>
        <v>0</v>
      </c>
      <c r="L43" s="512">
        <f>'Reg Amort and Other RB'!K25</f>
        <v>0</v>
      </c>
      <c r="M43" s="512">
        <f>'Reg Amort and Other RB'!L25</f>
        <v>-815</v>
      </c>
      <c r="N43" s="512">
        <f>'Reg Amort and Other RB'!M25</f>
        <v>-242</v>
      </c>
      <c r="O43" s="512">
        <f>'Reg Amort and Other RB'!N25</f>
        <v>440</v>
      </c>
      <c r="P43" s="512">
        <f>'Reg Amort and Other RB'!O25</f>
        <v>216</v>
      </c>
      <c r="Q43" s="512">
        <v>-186</v>
      </c>
      <c r="R43" s="512">
        <v>171</v>
      </c>
      <c r="S43" s="512">
        <v>91</v>
      </c>
      <c r="T43" s="512">
        <v>-91</v>
      </c>
      <c r="U43" s="513">
        <v>-2087</v>
      </c>
      <c r="V43" s="513">
        <v>1079</v>
      </c>
    </row>
    <row r="44" spans="1:22" ht="12" customHeight="1">
      <c r="A44" s="132">
        <v>23</v>
      </c>
      <c r="C44" s="134" t="s">
        <v>20</v>
      </c>
      <c r="D44" s="134"/>
      <c r="E44" s="134"/>
      <c r="F44" s="514">
        <v>22</v>
      </c>
      <c r="G44" s="514">
        <v>21</v>
      </c>
      <c r="H44" s="514">
        <v>23</v>
      </c>
      <c r="I44" s="514">
        <v>24</v>
      </c>
      <c r="J44" s="514">
        <v>24</v>
      </c>
      <c r="K44" s="514">
        <v>23</v>
      </c>
      <c r="L44" s="514">
        <v>24</v>
      </c>
      <c r="M44" s="514">
        <v>20</v>
      </c>
      <c r="N44" s="514">
        <v>17</v>
      </c>
      <c r="O44" s="514">
        <v>19</v>
      </c>
      <c r="P44" s="514">
        <v>24</v>
      </c>
      <c r="Q44" s="514">
        <v>0</v>
      </c>
      <c r="R44" s="514">
        <v>-1</v>
      </c>
      <c r="S44" s="514">
        <v>0</v>
      </c>
      <c r="T44" s="514">
        <v>0</v>
      </c>
      <c r="U44" s="515">
        <v>0</v>
      </c>
      <c r="V44" s="515">
        <v>0</v>
      </c>
    </row>
    <row r="45" spans="1:22" ht="10.9" customHeight="1">
      <c r="A45" s="132">
        <v>24</v>
      </c>
      <c r="B45" s="134" t="s">
        <v>46</v>
      </c>
      <c r="C45" s="134"/>
      <c r="F45" s="514">
        <f t="shared" ref="F45:V45" si="4">SUM(F41:F44)</f>
        <v>9053</v>
      </c>
      <c r="G45" s="514">
        <f t="shared" si="4"/>
        <v>8786</v>
      </c>
      <c r="H45" s="514">
        <f t="shared" si="4"/>
        <v>10882</v>
      </c>
      <c r="I45" s="514">
        <f t="shared" si="4"/>
        <v>11373</v>
      </c>
      <c r="J45" s="514">
        <f t="shared" si="4"/>
        <v>10284</v>
      </c>
      <c r="K45" s="514">
        <f t="shared" si="4"/>
        <v>10562</v>
      </c>
      <c r="L45" s="514">
        <f t="shared" si="4"/>
        <v>9699</v>
      </c>
      <c r="M45" s="514">
        <f t="shared" si="4"/>
        <v>9604</v>
      </c>
      <c r="N45" s="514">
        <f t="shared" si="4"/>
        <v>11284</v>
      </c>
      <c r="O45" s="514">
        <f t="shared" si="4"/>
        <v>12228</v>
      </c>
      <c r="P45" s="514">
        <f t="shared" si="4"/>
        <v>14035</v>
      </c>
      <c r="Q45" s="514">
        <f t="shared" si="4"/>
        <v>14133.118</v>
      </c>
      <c r="R45" s="514">
        <f t="shared" si="4"/>
        <v>16865</v>
      </c>
      <c r="S45" s="514">
        <f t="shared" si="4"/>
        <v>15821</v>
      </c>
      <c r="T45" s="514">
        <f t="shared" si="4"/>
        <v>17075</v>
      </c>
      <c r="U45" s="515">
        <f t="shared" si="4"/>
        <v>17569</v>
      </c>
      <c r="V45" s="515">
        <f t="shared" si="4"/>
        <v>20606</v>
      </c>
    </row>
    <row r="46" spans="1:22" ht="12.95" customHeight="1">
      <c r="A46" s="132">
        <v>25</v>
      </c>
      <c r="B46" s="112" t="s">
        <v>47</v>
      </c>
      <c r="C46" s="134"/>
      <c r="D46" s="134"/>
      <c r="E46" s="134"/>
      <c r="F46" s="514">
        <f t="shared" ref="F46:V46" si="5">F22+F28+F34+F36+F37+F38+F45</f>
        <v>85016</v>
      </c>
      <c r="G46" s="514">
        <f t="shared" si="5"/>
        <v>138476</v>
      </c>
      <c r="H46" s="514">
        <f t="shared" si="5"/>
        <v>147069</v>
      </c>
      <c r="I46" s="514">
        <f t="shared" si="5"/>
        <v>134584</v>
      </c>
      <c r="J46" s="514">
        <f t="shared" si="5"/>
        <v>150151</v>
      </c>
      <c r="K46" s="514">
        <f t="shared" si="5"/>
        <v>198769</v>
      </c>
      <c r="L46" s="514">
        <f t="shared" si="5"/>
        <v>188047</v>
      </c>
      <c r="M46" s="514">
        <f t="shared" si="5"/>
        <v>265476</v>
      </c>
      <c r="N46" s="514">
        <f t="shared" si="5"/>
        <v>344324</v>
      </c>
      <c r="O46" s="514">
        <f t="shared" si="5"/>
        <v>255137</v>
      </c>
      <c r="P46" s="514">
        <f t="shared" si="5"/>
        <v>245981</v>
      </c>
      <c r="Q46" s="514">
        <f t="shared" si="5"/>
        <v>238020.52726899998</v>
      </c>
      <c r="R46" s="514">
        <f t="shared" si="5"/>
        <v>198655</v>
      </c>
      <c r="S46" s="514">
        <f t="shared" si="5"/>
        <v>128988</v>
      </c>
      <c r="T46" s="514">
        <f t="shared" si="5"/>
        <v>138429</v>
      </c>
      <c r="U46" s="515">
        <f t="shared" si="5"/>
        <v>136961</v>
      </c>
      <c r="V46" s="515">
        <f t="shared" si="5"/>
        <v>124811</v>
      </c>
    </row>
    <row r="47" spans="1:22" ht="9" customHeight="1">
      <c r="C47" s="134"/>
      <c r="D47" s="134"/>
      <c r="E47" s="134"/>
      <c r="F47" s="512"/>
      <c r="G47" s="512"/>
      <c r="H47" s="512"/>
      <c r="I47" s="512"/>
      <c r="J47" s="512"/>
      <c r="K47" s="512"/>
      <c r="L47" s="512"/>
      <c r="M47" s="512"/>
      <c r="N47" s="512"/>
      <c r="O47" s="512"/>
      <c r="P47" s="512"/>
      <c r="Q47" s="512"/>
      <c r="R47" s="512"/>
      <c r="S47" s="512"/>
      <c r="T47" s="512"/>
      <c r="U47" s="513"/>
      <c r="V47" s="513"/>
    </row>
    <row r="48" spans="1:22" ht="12.95" customHeight="1">
      <c r="A48" s="132">
        <v>26</v>
      </c>
      <c r="B48" s="112" t="s">
        <v>48</v>
      </c>
      <c r="C48" s="134"/>
      <c r="D48" s="134"/>
      <c r="E48" s="134"/>
      <c r="F48" s="512">
        <f t="shared" ref="F48:V48" si="6">F15-F46</f>
        <v>11408</v>
      </c>
      <c r="G48" s="512">
        <f t="shared" si="6"/>
        <v>12913</v>
      </c>
      <c r="H48" s="512">
        <f t="shared" si="6"/>
        <v>7729</v>
      </c>
      <c r="I48" s="512">
        <f t="shared" si="6"/>
        <v>8022</v>
      </c>
      <c r="J48" s="512">
        <f t="shared" si="6"/>
        <v>14124</v>
      </c>
      <c r="K48" s="512">
        <f t="shared" si="6"/>
        <v>13526</v>
      </c>
      <c r="L48" s="512">
        <f t="shared" si="6"/>
        <v>15257</v>
      </c>
      <c r="M48" s="512">
        <f t="shared" si="6"/>
        <v>15389</v>
      </c>
      <c r="N48" s="512">
        <f t="shared" si="6"/>
        <v>15865</v>
      </c>
      <c r="O48" s="512">
        <f t="shared" si="6"/>
        <v>14929</v>
      </c>
      <c r="P48" s="512">
        <f t="shared" si="6"/>
        <v>14801</v>
      </c>
      <c r="Q48" s="512">
        <f t="shared" si="6"/>
        <v>16725.472731000016</v>
      </c>
      <c r="R48" s="512">
        <f t="shared" si="6"/>
        <v>15127</v>
      </c>
      <c r="S48" s="512">
        <f t="shared" si="6"/>
        <v>19587</v>
      </c>
      <c r="T48" s="512">
        <f t="shared" si="6"/>
        <v>20409</v>
      </c>
      <c r="U48" s="512">
        <f t="shared" si="6"/>
        <v>24087</v>
      </c>
      <c r="V48" s="513">
        <f t="shared" si="6"/>
        <v>31656</v>
      </c>
    </row>
    <row r="49" spans="1:22" ht="2.25" customHeight="1">
      <c r="C49" s="134"/>
      <c r="D49" s="134"/>
      <c r="E49" s="134"/>
      <c r="F49" s="512"/>
      <c r="G49" s="512"/>
      <c r="H49" s="512"/>
      <c r="I49" s="512"/>
      <c r="J49" s="512"/>
      <c r="K49" s="512"/>
      <c r="L49" s="512"/>
      <c r="M49" s="512"/>
      <c r="N49" s="512"/>
      <c r="O49" s="512"/>
      <c r="P49" s="512"/>
      <c r="Q49" s="512"/>
      <c r="R49" s="512"/>
      <c r="S49" s="512"/>
      <c r="T49" s="512"/>
      <c r="U49" s="513"/>
      <c r="V49" s="513"/>
    </row>
    <row r="50" spans="1:22">
      <c r="B50" s="112" t="s">
        <v>49</v>
      </c>
      <c r="C50" s="134"/>
      <c r="D50" s="134"/>
      <c r="E50" s="134"/>
      <c r="F50" s="512"/>
      <c r="G50" s="512"/>
      <c r="H50" s="512"/>
      <c r="I50" s="512"/>
      <c r="J50" s="512"/>
      <c r="K50" s="512"/>
      <c r="L50" s="512"/>
      <c r="M50" s="512"/>
      <c r="N50" s="512"/>
      <c r="O50" s="512"/>
      <c r="P50" s="512"/>
      <c r="Q50" s="512"/>
      <c r="R50" s="512"/>
      <c r="S50" s="512"/>
      <c r="T50" s="512"/>
      <c r="U50" s="513"/>
      <c r="V50" s="513"/>
    </row>
    <row r="51" spans="1:22">
      <c r="A51" s="132">
        <v>27</v>
      </c>
      <c r="B51" s="134" t="s">
        <v>50</v>
      </c>
      <c r="D51" s="134"/>
      <c r="E51" s="134"/>
      <c r="F51" s="512">
        <v>-4775</v>
      </c>
      <c r="G51" s="512">
        <v>-256</v>
      </c>
      <c r="H51" s="512">
        <v>6949</v>
      </c>
      <c r="I51" s="512">
        <v>651</v>
      </c>
      <c r="J51" s="512">
        <v>655</v>
      </c>
      <c r="K51" s="512">
        <v>-3110</v>
      </c>
      <c r="L51" s="512">
        <v>6693</v>
      </c>
      <c r="M51" s="512">
        <v>5010</v>
      </c>
      <c r="N51" s="512">
        <v>506</v>
      </c>
      <c r="O51" s="512">
        <v>2468</v>
      </c>
      <c r="P51" s="512">
        <v>-5811</v>
      </c>
      <c r="Q51" s="512">
        <v>-907.43454415000008</v>
      </c>
      <c r="R51" s="512">
        <v>-1185</v>
      </c>
      <c r="S51" s="512">
        <v>4253</v>
      </c>
      <c r="T51" s="512">
        <v>-6945</v>
      </c>
      <c r="U51" s="513">
        <v>-729</v>
      </c>
      <c r="V51" s="513">
        <v>-1133</v>
      </c>
    </row>
    <row r="52" spans="1:22">
      <c r="A52" s="132">
        <v>28</v>
      </c>
      <c r="B52" s="134" t="s">
        <v>153</v>
      </c>
      <c r="D52" s="134"/>
      <c r="E52" s="134"/>
      <c r="F52" s="512"/>
      <c r="G52" s="512"/>
      <c r="H52" s="512"/>
      <c r="I52" s="512"/>
      <c r="J52" s="512"/>
      <c r="K52" s="512"/>
      <c r="L52" s="512"/>
      <c r="M52" s="512"/>
      <c r="N52" s="512"/>
      <c r="O52" s="512"/>
      <c r="P52" s="512"/>
      <c r="Q52" s="512">
        <v>62.982525000000003</v>
      </c>
      <c r="R52" s="512">
        <v>3</v>
      </c>
      <c r="S52" s="512">
        <v>-56</v>
      </c>
      <c r="T52" s="512">
        <v>-137</v>
      </c>
      <c r="U52" s="513">
        <v>-37</v>
      </c>
      <c r="V52" s="513">
        <v>11</v>
      </c>
    </row>
    <row r="53" spans="1:22">
      <c r="A53" s="132">
        <v>29</v>
      </c>
      <c r="B53" s="134" t="s">
        <v>51</v>
      </c>
      <c r="D53" s="134"/>
      <c r="E53" s="134"/>
      <c r="F53" s="512">
        <v>6605</v>
      </c>
      <c r="G53" s="512">
        <v>3078</v>
      </c>
      <c r="H53" s="512">
        <v>-6302</v>
      </c>
      <c r="I53" s="512">
        <v>325</v>
      </c>
      <c r="J53" s="512">
        <v>2340</v>
      </c>
      <c r="K53" s="512">
        <v>5522</v>
      </c>
      <c r="L53" s="512">
        <v>-3072</v>
      </c>
      <c r="M53" s="512">
        <v>-1442</v>
      </c>
      <c r="N53" s="512">
        <v>3320</v>
      </c>
      <c r="O53" s="512">
        <v>1238</v>
      </c>
      <c r="P53" s="512">
        <v>9594</v>
      </c>
      <c r="Q53" s="512">
        <v>5691</v>
      </c>
      <c r="R53" s="512">
        <v>5033</v>
      </c>
      <c r="S53" s="512">
        <v>1403</v>
      </c>
      <c r="T53" s="512">
        <v>13105</v>
      </c>
      <c r="U53" s="513">
        <v>7842</v>
      </c>
      <c r="V53" s="513">
        <v>9923</v>
      </c>
    </row>
    <row r="54" spans="1:22" s="133" customFormat="1">
      <c r="A54" s="132">
        <v>30</v>
      </c>
      <c r="B54" s="134" t="s">
        <v>52</v>
      </c>
      <c r="C54" s="112"/>
      <c r="D54" s="134"/>
      <c r="E54" s="134"/>
      <c r="F54" s="514">
        <v>-31</v>
      </c>
      <c r="G54" s="514">
        <v>-30</v>
      </c>
      <c r="H54" s="514">
        <v>-31</v>
      </c>
      <c r="I54" s="514">
        <v>-31</v>
      </c>
      <c r="J54" s="514">
        <v>-31</v>
      </c>
      <c r="K54" s="514">
        <v>-30</v>
      </c>
      <c r="L54" s="514">
        <v>-30</v>
      </c>
      <c r="M54" s="514">
        <v>-31</v>
      </c>
      <c r="N54" s="514">
        <v>-31</v>
      </c>
      <c r="O54" s="514">
        <v>-30</v>
      </c>
      <c r="P54" s="514">
        <v>-29</v>
      </c>
      <c r="Q54" s="514">
        <v>-27</v>
      </c>
      <c r="R54" s="514">
        <v>-25</v>
      </c>
      <c r="S54" s="514">
        <v>-24</v>
      </c>
      <c r="T54" s="514">
        <f>-21+1</f>
        <v>-20</v>
      </c>
      <c r="U54" s="515">
        <v>-20</v>
      </c>
      <c r="V54" s="515">
        <v>-17</v>
      </c>
    </row>
    <row r="55" spans="1:22" ht="12.75" customHeight="1">
      <c r="F55" s="512"/>
      <c r="G55" s="512"/>
      <c r="H55" s="512"/>
      <c r="I55" s="512"/>
      <c r="J55" s="512"/>
      <c r="K55" s="512"/>
      <c r="L55" s="512"/>
      <c r="M55" s="512"/>
      <c r="N55" s="512"/>
      <c r="O55" s="512"/>
      <c r="P55" s="512"/>
      <c r="Q55" s="512"/>
      <c r="R55" s="512"/>
      <c r="S55" s="512"/>
      <c r="T55" s="512"/>
      <c r="U55" s="513"/>
      <c r="V55" s="513"/>
    </row>
    <row r="56" spans="1:22" ht="12.75" customHeight="1" thickBot="1">
      <c r="A56" s="132">
        <v>31</v>
      </c>
      <c r="B56" s="133" t="s">
        <v>53</v>
      </c>
      <c r="C56" s="133"/>
      <c r="D56" s="133"/>
      <c r="E56" s="133"/>
      <c r="F56" s="257">
        <f t="shared" ref="F56:T56" si="7">F48-F51-F52-F53-F54</f>
        <v>9609</v>
      </c>
      <c r="G56" s="257">
        <f t="shared" si="7"/>
        <v>10121</v>
      </c>
      <c r="H56" s="257">
        <f t="shared" si="7"/>
        <v>7113</v>
      </c>
      <c r="I56" s="257">
        <f t="shared" si="7"/>
        <v>7077</v>
      </c>
      <c r="J56" s="257">
        <f t="shared" si="7"/>
        <v>11160</v>
      </c>
      <c r="K56" s="257">
        <f t="shared" si="7"/>
        <v>11144</v>
      </c>
      <c r="L56" s="257">
        <f t="shared" si="7"/>
        <v>11666</v>
      </c>
      <c r="M56" s="257">
        <f t="shared" si="7"/>
        <v>11852</v>
      </c>
      <c r="N56" s="257">
        <f t="shared" si="7"/>
        <v>12070</v>
      </c>
      <c r="O56" s="257">
        <f t="shared" si="7"/>
        <v>11253</v>
      </c>
      <c r="P56" s="257">
        <f t="shared" si="7"/>
        <v>11047</v>
      </c>
      <c r="Q56" s="257">
        <f t="shared" si="7"/>
        <v>11905.924750150018</v>
      </c>
      <c r="R56" s="257">
        <f t="shared" si="7"/>
        <v>11301</v>
      </c>
      <c r="S56" s="257">
        <f t="shared" si="7"/>
        <v>14011</v>
      </c>
      <c r="T56" s="257">
        <f t="shared" si="7"/>
        <v>14406</v>
      </c>
      <c r="U56" s="518">
        <f>U48-U51-U52-U53-U54</f>
        <v>17031</v>
      </c>
      <c r="V56" s="518">
        <f>V48-V51-V52-V53-V54</f>
        <v>22872</v>
      </c>
    </row>
    <row r="57" spans="1:22" ht="3.75" customHeight="1" thickTop="1">
      <c r="B57" s="133"/>
      <c r="C57" s="133"/>
      <c r="D57" s="133"/>
      <c r="E57" s="133"/>
      <c r="F57" s="519"/>
      <c r="G57" s="519"/>
      <c r="H57" s="519"/>
      <c r="I57" s="519"/>
      <c r="J57" s="519"/>
      <c r="K57" s="519"/>
      <c r="L57" s="519"/>
      <c r="M57" s="519"/>
      <c r="N57" s="519"/>
      <c r="O57" s="519"/>
      <c r="P57" s="519"/>
      <c r="Q57" s="519"/>
      <c r="R57" s="519"/>
    </row>
    <row r="58" spans="1:22" ht="1.5" customHeight="1">
      <c r="B58" s="133"/>
      <c r="C58" s="133"/>
      <c r="D58" s="520"/>
      <c r="E58" s="133"/>
      <c r="F58" s="519"/>
      <c r="G58" s="519"/>
      <c r="H58" s="519"/>
      <c r="I58" s="519"/>
      <c r="J58" s="519"/>
      <c r="K58" s="519"/>
      <c r="L58" s="519"/>
      <c r="M58" s="519"/>
      <c r="N58" s="519"/>
      <c r="O58" s="519"/>
      <c r="P58" s="519"/>
      <c r="Q58" s="519"/>
      <c r="R58" s="519"/>
    </row>
    <row r="59" spans="1:22" ht="5.25" hidden="1" customHeight="1">
      <c r="A59" s="884"/>
      <c r="B59" s="884"/>
      <c r="C59" s="884"/>
      <c r="D59" s="884"/>
      <c r="E59" s="884"/>
      <c r="F59" s="884"/>
      <c r="G59" s="884"/>
      <c r="H59" s="884"/>
      <c r="I59" s="884"/>
      <c r="J59" s="884"/>
      <c r="K59" s="884"/>
      <c r="L59" s="884"/>
      <c r="M59" s="884"/>
      <c r="N59" s="884"/>
      <c r="O59" s="884"/>
      <c r="P59" s="884"/>
      <c r="Q59" s="884"/>
      <c r="R59" s="884"/>
    </row>
    <row r="60" spans="1:22" ht="21" hidden="1" customHeight="1">
      <c r="A60" s="521" t="s">
        <v>103</v>
      </c>
      <c r="B60" s="522"/>
      <c r="C60" s="522"/>
      <c r="D60" s="522"/>
      <c r="E60" s="522"/>
      <c r="F60" s="523"/>
      <c r="G60" s="523"/>
      <c r="H60" s="523"/>
      <c r="I60" s="523"/>
      <c r="J60" s="523"/>
      <c r="K60" s="523"/>
      <c r="L60" s="523"/>
      <c r="M60" s="523"/>
      <c r="N60" s="523"/>
      <c r="R60" s="114"/>
    </row>
    <row r="61" spans="1:22" ht="14.25" hidden="1" customHeight="1">
      <c r="A61" s="521" t="s">
        <v>169</v>
      </c>
      <c r="B61" s="522"/>
      <c r="C61" s="522"/>
      <c r="D61" s="522"/>
      <c r="E61" s="522"/>
      <c r="F61" s="523"/>
      <c r="G61" s="523"/>
      <c r="H61" s="523"/>
      <c r="I61" s="523"/>
      <c r="J61" s="523"/>
      <c r="K61" s="523"/>
      <c r="L61" s="523"/>
      <c r="M61" s="523"/>
      <c r="N61" s="523"/>
    </row>
    <row r="62" spans="1:22" ht="14.25" hidden="1" customHeight="1">
      <c r="A62" s="885" t="str">
        <f>A5</f>
        <v>Commission Basis Results of Operations</v>
      </c>
      <c r="B62" s="885"/>
      <c r="C62" s="885"/>
      <c r="D62" s="885"/>
      <c r="E62" s="885"/>
      <c r="F62" s="885"/>
      <c r="G62" s="885"/>
      <c r="H62" s="885"/>
      <c r="I62" s="885"/>
      <c r="J62" s="885"/>
      <c r="K62" s="885"/>
      <c r="L62" s="885"/>
      <c r="M62" s="885"/>
      <c r="N62" s="885"/>
      <c r="R62" s="114"/>
    </row>
    <row r="63" spans="1:22" s="116" customFormat="1" ht="14.25" hidden="1">
      <c r="A63" s="521" t="s">
        <v>69</v>
      </c>
      <c r="B63" s="521"/>
      <c r="C63" s="521"/>
      <c r="D63" s="521"/>
      <c r="E63" s="521"/>
      <c r="F63" s="523"/>
      <c r="G63" s="523"/>
      <c r="H63" s="523"/>
      <c r="I63" s="523"/>
      <c r="J63" s="523"/>
      <c r="K63" s="523"/>
      <c r="L63" s="523"/>
      <c r="M63" s="523"/>
      <c r="N63" s="523"/>
      <c r="O63" s="114"/>
      <c r="P63" s="114"/>
      <c r="Q63" s="114"/>
      <c r="R63" s="114"/>
      <c r="S63" s="134"/>
      <c r="T63" s="504"/>
      <c r="U63" s="504"/>
      <c r="V63" s="504"/>
    </row>
    <row r="64" spans="1:22" s="116" customFormat="1" ht="5.25" hidden="1" customHeight="1">
      <c r="A64" s="111"/>
      <c r="B64" s="112"/>
      <c r="C64" s="112"/>
      <c r="D64" s="112"/>
      <c r="E64" s="112"/>
      <c r="F64" s="114"/>
      <c r="G64" s="114"/>
      <c r="H64" s="114"/>
      <c r="I64" s="114"/>
      <c r="J64" s="114"/>
      <c r="K64" s="114"/>
      <c r="L64" s="114"/>
      <c r="M64" s="114"/>
      <c r="N64" s="114"/>
      <c r="O64" s="114"/>
      <c r="P64" s="114"/>
      <c r="Q64" s="114"/>
      <c r="R64" s="114"/>
      <c r="U64" s="504"/>
      <c r="V64" s="504"/>
    </row>
    <row r="65" spans="1:22" s="116" customFormat="1" ht="6.75" hidden="1" customHeight="1">
      <c r="A65" s="115"/>
      <c r="F65" s="117"/>
      <c r="G65" s="117"/>
      <c r="H65" s="117"/>
      <c r="I65" s="117"/>
      <c r="J65" s="117"/>
      <c r="K65" s="117"/>
      <c r="L65" s="117"/>
      <c r="M65" s="117"/>
      <c r="N65" s="117"/>
      <c r="O65" s="117"/>
      <c r="P65" s="117"/>
      <c r="Q65" s="117"/>
      <c r="R65" s="117"/>
      <c r="U65" s="504"/>
      <c r="V65" s="504"/>
    </row>
    <row r="66" spans="1:22" s="116" customFormat="1" hidden="1">
      <c r="A66" s="118"/>
      <c r="B66" s="119"/>
      <c r="C66" s="120"/>
      <c r="D66" s="121"/>
      <c r="E66" s="121"/>
      <c r="F66" s="505">
        <v>2000</v>
      </c>
      <c r="G66" s="505">
        <v>2001</v>
      </c>
      <c r="H66" s="505">
        <v>2002</v>
      </c>
      <c r="I66" s="505">
        <v>2003</v>
      </c>
      <c r="J66" s="505">
        <v>2004</v>
      </c>
      <c r="K66" s="505">
        <v>2005</v>
      </c>
      <c r="L66" s="505">
        <v>2006</v>
      </c>
      <c r="M66" s="505">
        <v>2007</v>
      </c>
      <c r="N66" s="505">
        <v>2008</v>
      </c>
      <c r="O66" s="505">
        <v>2009</v>
      </c>
      <c r="P66" s="505">
        <v>2010</v>
      </c>
      <c r="Q66" s="505">
        <v>2011</v>
      </c>
      <c r="R66" s="505">
        <v>2012</v>
      </c>
      <c r="S66" s="505">
        <v>2013</v>
      </c>
      <c r="T66" s="505">
        <v>2014</v>
      </c>
      <c r="U66" s="505">
        <f>U8</f>
        <v>2015</v>
      </c>
      <c r="V66" s="524" t="str">
        <f>V8</f>
        <v>2016</v>
      </c>
    </row>
    <row r="67" spans="1:22" hidden="1">
      <c r="A67" s="122" t="s">
        <v>7</v>
      </c>
      <c r="B67" s="123"/>
      <c r="C67" s="124"/>
      <c r="D67" s="125"/>
      <c r="E67" s="125"/>
      <c r="F67" s="126" t="s">
        <v>405</v>
      </c>
      <c r="G67" s="126" t="s">
        <v>405</v>
      </c>
      <c r="H67" s="126" t="s">
        <v>405</v>
      </c>
      <c r="I67" s="126" t="s">
        <v>405</v>
      </c>
      <c r="J67" s="126" t="s">
        <v>405</v>
      </c>
      <c r="K67" s="126" t="s">
        <v>405</v>
      </c>
      <c r="L67" s="126" t="s">
        <v>405</v>
      </c>
      <c r="M67" s="126" t="s">
        <v>405</v>
      </c>
      <c r="N67" s="126" t="s">
        <v>405</v>
      </c>
      <c r="O67" s="126" t="s">
        <v>405</v>
      </c>
      <c r="P67" s="126" t="s">
        <v>405</v>
      </c>
      <c r="Q67" s="126" t="s">
        <v>405</v>
      </c>
      <c r="R67" s="126" t="s">
        <v>405</v>
      </c>
      <c r="S67" s="126" t="s">
        <v>405</v>
      </c>
      <c r="T67" s="126" t="s">
        <v>405</v>
      </c>
      <c r="U67" s="507" t="s">
        <v>405</v>
      </c>
      <c r="V67" s="507" t="s">
        <v>405</v>
      </c>
    </row>
    <row r="68" spans="1:22" hidden="1">
      <c r="A68" s="127" t="s">
        <v>15</v>
      </c>
      <c r="B68" s="128"/>
      <c r="C68" s="129"/>
      <c r="D68" s="130" t="s">
        <v>16</v>
      </c>
      <c r="E68" s="130"/>
      <c r="F68" s="131" t="s">
        <v>25</v>
      </c>
      <c r="G68" s="131" t="s">
        <v>25</v>
      </c>
      <c r="H68" s="131" t="s">
        <v>25</v>
      </c>
      <c r="I68" s="131" t="s">
        <v>25</v>
      </c>
      <c r="J68" s="131" t="s">
        <v>25</v>
      </c>
      <c r="K68" s="131" t="s">
        <v>25</v>
      </c>
      <c r="L68" s="131" t="s">
        <v>25</v>
      </c>
      <c r="M68" s="131" t="s">
        <v>25</v>
      </c>
      <c r="N68" s="131" t="s">
        <v>25</v>
      </c>
      <c r="O68" s="131" t="s">
        <v>25</v>
      </c>
      <c r="P68" s="131" t="s">
        <v>25</v>
      </c>
      <c r="Q68" s="131" t="s">
        <v>25</v>
      </c>
      <c r="R68" s="131" t="s">
        <v>25</v>
      </c>
      <c r="S68" s="131" t="s">
        <v>25</v>
      </c>
      <c r="T68" s="131" t="s">
        <v>25</v>
      </c>
      <c r="U68" s="508" t="s">
        <v>25</v>
      </c>
      <c r="V68" s="508" t="s">
        <v>25</v>
      </c>
    </row>
    <row r="69" spans="1:22" ht="8.25" hidden="1" customHeight="1">
      <c r="F69" s="512"/>
      <c r="G69" s="512"/>
      <c r="H69" s="512"/>
      <c r="I69" s="512"/>
      <c r="J69" s="512"/>
      <c r="K69" s="512"/>
      <c r="L69" s="512"/>
      <c r="M69" s="512"/>
      <c r="N69" s="512"/>
      <c r="O69" s="512"/>
      <c r="P69" s="512"/>
      <c r="Q69" s="512"/>
      <c r="R69" s="512"/>
      <c r="S69" s="512"/>
      <c r="T69" s="512"/>
      <c r="U69" s="513"/>
      <c r="V69" s="513"/>
    </row>
    <row r="70" spans="1:22">
      <c r="B70" s="112" t="s">
        <v>95</v>
      </c>
      <c r="F70" s="512"/>
      <c r="G70" s="512"/>
      <c r="H70" s="512"/>
      <c r="I70" s="512"/>
      <c r="J70" s="512"/>
      <c r="K70" s="512"/>
      <c r="L70" s="512"/>
      <c r="M70" s="512"/>
      <c r="N70" s="512"/>
      <c r="O70" s="512"/>
      <c r="P70" s="512"/>
      <c r="Q70" s="512"/>
      <c r="R70" s="512"/>
      <c r="S70" s="512"/>
      <c r="T70" s="512"/>
      <c r="U70" s="513"/>
      <c r="V70" s="513"/>
    </row>
    <row r="71" spans="1:22">
      <c r="B71" s="112" t="s">
        <v>96</v>
      </c>
      <c r="F71" s="512"/>
      <c r="G71" s="512"/>
      <c r="H71" s="512"/>
      <c r="I71" s="512"/>
      <c r="J71" s="512"/>
      <c r="K71" s="512"/>
      <c r="L71" s="512"/>
      <c r="M71" s="512"/>
      <c r="N71" s="512"/>
      <c r="O71" s="512"/>
      <c r="P71" s="512"/>
      <c r="Q71" s="512"/>
      <c r="R71" s="512"/>
      <c r="S71" s="512"/>
      <c r="T71" s="512"/>
      <c r="U71" s="513"/>
      <c r="V71" s="513"/>
    </row>
    <row r="72" spans="1:22">
      <c r="A72" s="132">
        <v>32</v>
      </c>
      <c r="B72" s="134"/>
      <c r="C72" s="134" t="s">
        <v>36</v>
      </c>
      <c r="D72" s="134"/>
      <c r="E72" s="134"/>
      <c r="F72" s="510">
        <v>13695</v>
      </c>
      <c r="G72" s="510">
        <v>13533</v>
      </c>
      <c r="H72" s="510">
        <v>13439</v>
      </c>
      <c r="I72" s="510">
        <v>13712</v>
      </c>
      <c r="J72" s="510">
        <v>13632</v>
      </c>
      <c r="K72" s="510">
        <v>13708</v>
      </c>
      <c r="L72" s="510">
        <v>13854</v>
      </c>
      <c r="M72" s="510">
        <v>13758</v>
      </c>
      <c r="N72" s="510">
        <v>15260</v>
      </c>
      <c r="O72" s="510">
        <v>21798</v>
      </c>
      <c r="P72" s="510">
        <v>20047</v>
      </c>
      <c r="Q72" s="510">
        <v>22008</v>
      </c>
      <c r="R72" s="510">
        <v>24365</v>
      </c>
      <c r="S72" s="510">
        <v>24711</v>
      </c>
      <c r="T72" s="510">
        <v>25235</v>
      </c>
      <c r="U72" s="511">
        <v>25720</v>
      </c>
      <c r="V72" s="511">
        <v>26868</v>
      </c>
    </row>
    <row r="73" spans="1:22" ht="18" customHeight="1">
      <c r="A73" s="132">
        <v>33</v>
      </c>
      <c r="B73" s="134"/>
      <c r="C73" s="134" t="s">
        <v>54</v>
      </c>
      <c r="D73" s="134"/>
      <c r="E73" s="134"/>
      <c r="F73" s="512">
        <f>'Reg Amort and Other RB'!E36-'Reg Amort and Other RB'!E66</f>
        <v>169436</v>
      </c>
      <c r="G73" s="512">
        <f>'Reg Amort and Other RB'!F36-'Reg Amort and Other RB'!F66</f>
        <v>178943</v>
      </c>
      <c r="H73" s="512">
        <f>'Reg Amort and Other RB'!G36-'Reg Amort and Other RB'!G66</f>
        <v>185314</v>
      </c>
      <c r="I73" s="512">
        <f>'Reg Amort and Other RB'!H36-'Reg Amort and Other RB'!H66</f>
        <v>191970</v>
      </c>
      <c r="J73" s="512">
        <f>'Reg Amort and Other RB'!I36-'Reg Amort and Other RB'!I66</f>
        <v>200079</v>
      </c>
      <c r="K73" s="512">
        <f>'Reg Amort and Other RB'!J36-'Reg Amort and Other RB'!J66</f>
        <v>208396</v>
      </c>
      <c r="L73" s="512">
        <f>'Reg Amort and Other RB'!K36-'Reg Amort and Other RB'!K66</f>
        <v>219287</v>
      </c>
      <c r="M73" s="512">
        <f>'Reg Amort and Other RB'!L36-'Reg Amort and Other RB'!L66</f>
        <v>229417</v>
      </c>
      <c r="N73" s="512">
        <f>'Reg Amort and Other RB'!M36-'Reg Amort and Other RB'!M66</f>
        <v>240778</v>
      </c>
      <c r="O73" s="512">
        <f>'Reg Amort and Other RB'!N36-'Reg Amort and Other RB'!N66</f>
        <v>255976</v>
      </c>
      <c r="P73" s="512">
        <f>'Reg Amort and Other RB'!O36-'Reg Amort and Other RB'!O66</f>
        <v>269469</v>
      </c>
      <c r="Q73" s="512">
        <f>'Reg Amort and Other RB'!P36-'Reg Amort and Other RB'!P66</f>
        <v>281279</v>
      </c>
      <c r="R73" s="512">
        <f>'Reg Amort and Other RB'!Q36-'Reg Amort and Other RB'!Q66</f>
        <v>296152</v>
      </c>
      <c r="S73" s="513">
        <f>'Reg Amort and Other RB'!R36-'Reg Amort and Other RB'!R66</f>
        <v>313469</v>
      </c>
      <c r="T73" s="513">
        <f>'Reg Amort and Other RB'!S36-'Reg Amort and Other RB'!S66</f>
        <v>337894</v>
      </c>
      <c r="U73" s="513">
        <v>360612</v>
      </c>
      <c r="V73" s="513">
        <v>390508</v>
      </c>
    </row>
    <row r="74" spans="1:22" ht="12.6" customHeight="1">
      <c r="A74" s="132">
        <v>34</v>
      </c>
      <c r="B74" s="134"/>
      <c r="C74" s="134" t="s">
        <v>55</v>
      </c>
      <c r="D74" s="134"/>
      <c r="E74" s="134"/>
      <c r="F74" s="514">
        <v>14347</v>
      </c>
      <c r="G74" s="514">
        <v>15060</v>
      </c>
      <c r="H74" s="514">
        <v>15368</v>
      </c>
      <c r="I74" s="514">
        <v>16112</v>
      </c>
      <c r="J74" s="514">
        <v>16499</v>
      </c>
      <c r="K74" s="514">
        <v>17878</v>
      </c>
      <c r="L74" s="514">
        <v>20791</v>
      </c>
      <c r="M74" s="514">
        <v>21708</v>
      </c>
      <c r="N74" s="514">
        <v>24256</v>
      </c>
      <c r="O74" s="514">
        <v>27747</v>
      </c>
      <c r="P74" s="514">
        <v>33401</v>
      </c>
      <c r="Q74" s="514">
        <v>38971</v>
      </c>
      <c r="R74" s="514">
        <v>44809</v>
      </c>
      <c r="S74" s="514">
        <v>52223</v>
      </c>
      <c r="T74" s="514">
        <v>59169</v>
      </c>
      <c r="U74" s="515">
        <v>75514</v>
      </c>
      <c r="V74" s="515">
        <v>82624</v>
      </c>
    </row>
    <row r="75" spans="1:22">
      <c r="A75" s="132">
        <v>35</v>
      </c>
      <c r="B75" s="134" t="s">
        <v>56</v>
      </c>
      <c r="C75" s="134"/>
      <c r="F75" s="512">
        <f t="shared" ref="F75:S75" si="8">SUM(F72:F74)</f>
        <v>197478</v>
      </c>
      <c r="G75" s="512">
        <f t="shared" si="8"/>
        <v>207536</v>
      </c>
      <c r="H75" s="512">
        <f t="shared" si="8"/>
        <v>214121</v>
      </c>
      <c r="I75" s="512">
        <f t="shared" si="8"/>
        <v>221794</v>
      </c>
      <c r="J75" s="512">
        <f t="shared" si="8"/>
        <v>230210</v>
      </c>
      <c r="K75" s="512">
        <f t="shared" si="8"/>
        <v>239982</v>
      </c>
      <c r="L75" s="512">
        <f t="shared" si="8"/>
        <v>253932</v>
      </c>
      <c r="M75" s="513">
        <f t="shared" si="8"/>
        <v>264883</v>
      </c>
      <c r="N75" s="513">
        <f t="shared" si="8"/>
        <v>280294</v>
      </c>
      <c r="O75" s="513">
        <f t="shared" si="8"/>
        <v>305521</v>
      </c>
      <c r="P75" s="513">
        <f t="shared" si="8"/>
        <v>322917</v>
      </c>
      <c r="Q75" s="513">
        <f t="shared" si="8"/>
        <v>342258</v>
      </c>
      <c r="R75" s="513">
        <f t="shared" si="8"/>
        <v>365326</v>
      </c>
      <c r="S75" s="513">
        <f t="shared" si="8"/>
        <v>390403</v>
      </c>
      <c r="T75" s="513">
        <f>SUM(T72:T74)</f>
        <v>422298</v>
      </c>
      <c r="U75" s="513">
        <f>SUM(U72:U74)</f>
        <v>461846</v>
      </c>
      <c r="V75" s="513">
        <f>SUM(V72:V74)</f>
        <v>500000</v>
      </c>
    </row>
    <row r="76" spans="1:22" ht="6.75" customHeight="1">
      <c r="B76" s="134"/>
      <c r="C76" s="134"/>
      <c r="F76" s="512"/>
      <c r="G76" s="512"/>
      <c r="H76" s="512"/>
      <c r="I76" s="512"/>
      <c r="J76" s="512"/>
      <c r="K76" s="512"/>
      <c r="L76" s="512"/>
      <c r="M76" s="513"/>
      <c r="N76" s="513"/>
      <c r="O76" s="513"/>
      <c r="P76" s="513"/>
      <c r="Q76" s="513"/>
      <c r="R76" s="513"/>
      <c r="S76" s="513"/>
      <c r="T76" s="513"/>
      <c r="U76" s="513"/>
      <c r="V76" s="513"/>
    </row>
    <row r="77" spans="1:22">
      <c r="B77" s="134" t="s">
        <v>170</v>
      </c>
      <c r="C77" s="134"/>
      <c r="D77" s="134"/>
      <c r="E77" s="134"/>
      <c r="F77" s="512"/>
      <c r="G77" s="512"/>
      <c r="H77" s="512"/>
      <c r="I77" s="512"/>
      <c r="J77" s="512"/>
      <c r="K77" s="512"/>
      <c r="L77" s="512"/>
      <c r="M77" s="513"/>
      <c r="N77" s="513"/>
      <c r="O77" s="513"/>
      <c r="P77" s="513"/>
      <c r="Q77" s="513"/>
      <c r="R77" s="513"/>
      <c r="S77" s="513"/>
      <c r="T77" s="513"/>
      <c r="U77" s="513"/>
      <c r="V77" s="513"/>
    </row>
    <row r="78" spans="1:22">
      <c r="A78" s="132">
        <v>36</v>
      </c>
      <c r="B78" s="134"/>
      <c r="C78" s="134" t="s">
        <v>36</v>
      </c>
      <c r="D78" s="134"/>
      <c r="E78" s="134"/>
      <c r="F78" s="512">
        <v>6192</v>
      </c>
      <c r="G78" s="512">
        <v>6220</v>
      </c>
      <c r="H78" s="512">
        <v>6115</v>
      </c>
      <c r="I78" s="512">
        <v>6495</v>
      </c>
      <c r="J78" s="512">
        <v>6659</v>
      </c>
      <c r="K78" s="512">
        <v>6924</v>
      </c>
      <c r="L78" s="512">
        <v>7249</v>
      </c>
      <c r="M78" s="513">
        <v>7427</v>
      </c>
      <c r="N78" s="513">
        <v>7581</v>
      </c>
      <c r="O78" s="513">
        <v>7807</v>
      </c>
      <c r="P78" s="513">
        <v>7912</v>
      </c>
      <c r="Q78" s="513">
        <v>8286</v>
      </c>
      <c r="R78" s="513">
        <v>8677</v>
      </c>
      <c r="S78" s="513">
        <v>9088</v>
      </c>
      <c r="T78" s="513">
        <v>9521</v>
      </c>
      <c r="U78" s="513">
        <v>9906</v>
      </c>
      <c r="V78" s="513">
        <v>10318</v>
      </c>
    </row>
    <row r="79" spans="1:22">
      <c r="A79" s="132">
        <v>37</v>
      </c>
      <c r="B79" s="134"/>
      <c r="C79" s="134" t="s">
        <v>54</v>
      </c>
      <c r="D79" s="134"/>
      <c r="E79" s="134"/>
      <c r="F79" s="512">
        <v>47423</v>
      </c>
      <c r="G79" s="512">
        <v>51645</v>
      </c>
      <c r="H79" s="512">
        <v>55845</v>
      </c>
      <c r="I79" s="512">
        <v>60239</v>
      </c>
      <c r="J79" s="512">
        <v>64817</v>
      </c>
      <c r="K79" s="512">
        <v>69428</v>
      </c>
      <c r="L79" s="512">
        <v>74019</v>
      </c>
      <c r="M79" s="513">
        <v>77997</v>
      </c>
      <c r="N79" s="513">
        <v>81405</v>
      </c>
      <c r="O79" s="513">
        <v>84021</v>
      </c>
      <c r="P79" s="513">
        <v>89620</v>
      </c>
      <c r="Q79" s="513">
        <v>97489</v>
      </c>
      <c r="R79" s="513">
        <v>102678</v>
      </c>
      <c r="S79" s="513">
        <v>108662</v>
      </c>
      <c r="T79" s="513">
        <v>114795</v>
      </c>
      <c r="U79" s="513">
        <v>121623</v>
      </c>
      <c r="V79" s="513">
        <v>129098</v>
      </c>
    </row>
    <row r="80" spans="1:22">
      <c r="A80" s="132">
        <v>38</v>
      </c>
      <c r="B80" s="134"/>
      <c r="C80" s="134" t="s">
        <v>55</v>
      </c>
      <c r="D80" s="134"/>
      <c r="E80" s="134"/>
      <c r="F80" s="512">
        <v>5661</v>
      </c>
      <c r="G80" s="512">
        <v>5695</v>
      </c>
      <c r="H80" s="512">
        <v>6442</v>
      </c>
      <c r="I80" s="512">
        <v>7446</v>
      </c>
      <c r="J80" s="512">
        <v>6984</v>
      </c>
      <c r="K80" s="512">
        <v>7208</v>
      </c>
      <c r="L80" s="512">
        <v>7230</v>
      </c>
      <c r="M80" s="513">
        <v>7136</v>
      </c>
      <c r="N80" s="513">
        <v>8309</v>
      </c>
      <c r="O80" s="513">
        <v>8882</v>
      </c>
      <c r="P80" s="513">
        <v>10722</v>
      </c>
      <c r="Q80" s="513">
        <v>10926</v>
      </c>
      <c r="R80" s="513">
        <v>12186</v>
      </c>
      <c r="S80" s="513">
        <v>14724</v>
      </c>
      <c r="T80" s="513">
        <v>17429</v>
      </c>
      <c r="U80" s="513">
        <v>20741</v>
      </c>
      <c r="V80" s="513">
        <v>23473</v>
      </c>
    </row>
    <row r="81" spans="1:22" s="137" customFormat="1" ht="18.95" customHeight="1">
      <c r="A81" s="132">
        <v>39</v>
      </c>
      <c r="B81" s="134" t="s">
        <v>383</v>
      </c>
      <c r="C81" s="134"/>
      <c r="D81" s="112"/>
      <c r="E81" s="112"/>
      <c r="F81" s="525">
        <f t="shared" ref="F81:V81" si="9">SUM(F78:F80)</f>
        <v>59276</v>
      </c>
      <c r="G81" s="525">
        <f t="shared" si="9"/>
        <v>63560</v>
      </c>
      <c r="H81" s="525">
        <f t="shared" si="9"/>
        <v>68402</v>
      </c>
      <c r="I81" s="525">
        <f t="shared" si="9"/>
        <v>74180</v>
      </c>
      <c r="J81" s="525">
        <f t="shared" si="9"/>
        <v>78460</v>
      </c>
      <c r="K81" s="525">
        <f t="shared" si="9"/>
        <v>83560</v>
      </c>
      <c r="L81" s="525">
        <f t="shared" si="9"/>
        <v>88498</v>
      </c>
      <c r="M81" s="526">
        <f t="shared" si="9"/>
        <v>92560</v>
      </c>
      <c r="N81" s="526">
        <f t="shared" si="9"/>
        <v>97295</v>
      </c>
      <c r="O81" s="526">
        <f t="shared" si="9"/>
        <v>100710</v>
      </c>
      <c r="P81" s="526">
        <f t="shared" si="9"/>
        <v>108254</v>
      </c>
      <c r="Q81" s="526">
        <f t="shared" si="9"/>
        <v>116701</v>
      </c>
      <c r="R81" s="526">
        <f t="shared" si="9"/>
        <v>123541</v>
      </c>
      <c r="S81" s="526">
        <f t="shared" si="9"/>
        <v>132474</v>
      </c>
      <c r="T81" s="526">
        <f t="shared" si="9"/>
        <v>141745</v>
      </c>
      <c r="U81" s="526">
        <f t="shared" si="9"/>
        <v>152270</v>
      </c>
      <c r="V81" s="526">
        <f t="shared" si="9"/>
        <v>162889</v>
      </c>
    </row>
    <row r="82" spans="1:22" s="137" customFormat="1" ht="18.95" customHeight="1">
      <c r="A82" s="132">
        <v>40</v>
      </c>
      <c r="B82" s="134" t="s">
        <v>147</v>
      </c>
      <c r="C82" s="134"/>
      <c r="D82" s="134"/>
      <c r="E82" s="134"/>
      <c r="F82" s="527">
        <f t="shared" ref="F82:T82" si="10">F75-F81</f>
        <v>138202</v>
      </c>
      <c r="G82" s="527">
        <f t="shared" si="10"/>
        <v>143976</v>
      </c>
      <c r="H82" s="527">
        <f t="shared" si="10"/>
        <v>145719</v>
      </c>
      <c r="I82" s="527">
        <f t="shared" si="10"/>
        <v>147614</v>
      </c>
      <c r="J82" s="527">
        <f t="shared" si="10"/>
        <v>151750</v>
      </c>
      <c r="K82" s="527">
        <f t="shared" si="10"/>
        <v>156422</v>
      </c>
      <c r="L82" s="527">
        <f t="shared" si="10"/>
        <v>165434</v>
      </c>
      <c r="M82" s="528">
        <f t="shared" si="10"/>
        <v>172323</v>
      </c>
      <c r="N82" s="528">
        <f t="shared" si="10"/>
        <v>182999</v>
      </c>
      <c r="O82" s="528">
        <f t="shared" si="10"/>
        <v>204811</v>
      </c>
      <c r="P82" s="528">
        <f t="shared" si="10"/>
        <v>214663</v>
      </c>
      <c r="Q82" s="528">
        <f t="shared" si="10"/>
        <v>225557</v>
      </c>
      <c r="R82" s="528">
        <f t="shared" si="10"/>
        <v>241785</v>
      </c>
      <c r="S82" s="528">
        <f t="shared" si="10"/>
        <v>257929</v>
      </c>
      <c r="T82" s="528">
        <f t="shared" si="10"/>
        <v>280553</v>
      </c>
      <c r="U82" s="528">
        <f>U75-U81</f>
        <v>309576</v>
      </c>
      <c r="V82" s="528">
        <f>V75-V81</f>
        <v>337111</v>
      </c>
    </row>
    <row r="83" spans="1:22">
      <c r="A83" s="135">
        <v>41</v>
      </c>
      <c r="B83" s="136" t="s">
        <v>101</v>
      </c>
      <c r="C83" s="136"/>
      <c r="D83" s="136"/>
      <c r="E83" s="136"/>
      <c r="F83" s="514">
        <f>'Reg Amort and Other RB'!E46-'Reg Amort and Other RB'!E67</f>
        <v>-13317</v>
      </c>
      <c r="G83" s="514">
        <f>'Reg Amort and Other RB'!F46-'Reg Amort and Other RB'!F67</f>
        <v>-14476</v>
      </c>
      <c r="H83" s="514">
        <f>'Reg Amort and Other RB'!G46-'Reg Amort and Other RB'!G67</f>
        <v>-15979</v>
      </c>
      <c r="I83" s="514">
        <f>'Reg Amort and Other RB'!H46-'Reg Amort and Other RB'!H67</f>
        <v>-22570</v>
      </c>
      <c r="J83" s="514">
        <f>'Reg Amort and Other RB'!I46-'Reg Amort and Other RB'!I67</f>
        <v>-26800</v>
      </c>
      <c r="K83" s="514">
        <f>'Reg Amort and Other RB'!J46-'Reg Amort and Other RB'!J67</f>
        <v>-23805</v>
      </c>
      <c r="L83" s="514">
        <f>'Reg Amort and Other RB'!K46-'Reg Amort and Other RB'!K67</f>
        <v>-24645</v>
      </c>
      <c r="M83" s="515">
        <f>'Reg Amort and Other RB'!L46-'Reg Amort and Other RB'!L67</f>
        <v>-26823</v>
      </c>
      <c r="N83" s="515">
        <f>'Reg Amort and Other RB'!M46-'Reg Amort and Other RB'!M67</f>
        <v>-28945</v>
      </c>
      <c r="O83" s="515">
        <f>'Reg Amort and Other RB'!N46-'Reg Amort and Other RB'!N67</f>
        <v>-31005</v>
      </c>
      <c r="P83" s="515">
        <f>'Reg Amort and Other RB'!O46-'Reg Amort and Other RB'!O67</f>
        <v>-36762</v>
      </c>
      <c r="Q83" s="515">
        <f>'Reg Amort and Other RB'!P46-'Reg Amort and Other RB'!P67</f>
        <v>-42004</v>
      </c>
      <c r="R83" s="515">
        <f>'Reg Amort and Other RB'!Q46-'Reg Amort and Other RB'!Q67</f>
        <v>-46498</v>
      </c>
      <c r="S83" s="515">
        <f>'Reg Amort and Other RB'!R46-'Reg Amort and Other RB'!R67</f>
        <v>-50170</v>
      </c>
      <c r="T83" s="515">
        <f>'Reg Amort and Other RB'!S46-'Reg Amort and Other RB'!S67</f>
        <v>-54652</v>
      </c>
      <c r="U83" s="515">
        <v>-64929</v>
      </c>
      <c r="V83" s="515">
        <v>-74181</v>
      </c>
    </row>
    <row r="84" spans="1:22" s="137" customFormat="1">
      <c r="A84" s="135">
        <v>42</v>
      </c>
      <c r="B84" s="136" t="s">
        <v>171</v>
      </c>
      <c r="C84" s="136"/>
      <c r="D84" s="136"/>
      <c r="E84" s="136"/>
      <c r="F84" s="527">
        <f t="shared" ref="F84:T84" si="11">F82+F83</f>
        <v>124885</v>
      </c>
      <c r="G84" s="527">
        <f t="shared" si="11"/>
        <v>129500</v>
      </c>
      <c r="H84" s="527">
        <f t="shared" si="11"/>
        <v>129740</v>
      </c>
      <c r="I84" s="527">
        <f t="shared" si="11"/>
        <v>125044</v>
      </c>
      <c r="J84" s="527">
        <f t="shared" si="11"/>
        <v>124950</v>
      </c>
      <c r="K84" s="527">
        <f t="shared" si="11"/>
        <v>132617</v>
      </c>
      <c r="L84" s="527">
        <f t="shared" si="11"/>
        <v>140789</v>
      </c>
      <c r="M84" s="528">
        <f t="shared" si="11"/>
        <v>145500</v>
      </c>
      <c r="N84" s="528">
        <f t="shared" si="11"/>
        <v>154054</v>
      </c>
      <c r="O84" s="528">
        <f t="shared" si="11"/>
        <v>173806</v>
      </c>
      <c r="P84" s="528">
        <f t="shared" si="11"/>
        <v>177901</v>
      </c>
      <c r="Q84" s="528">
        <f t="shared" si="11"/>
        <v>183553</v>
      </c>
      <c r="R84" s="528">
        <f t="shared" si="11"/>
        <v>195287</v>
      </c>
      <c r="S84" s="528">
        <f t="shared" si="11"/>
        <v>207759</v>
      </c>
      <c r="T84" s="528">
        <f t="shared" si="11"/>
        <v>225901</v>
      </c>
      <c r="U84" s="528">
        <f>U82+U83</f>
        <v>244647</v>
      </c>
      <c r="V84" s="528">
        <f>V82+V83</f>
        <v>262930</v>
      </c>
    </row>
    <row r="85" spans="1:22" s="137" customFormat="1">
      <c r="A85" s="132">
        <v>43</v>
      </c>
      <c r="B85" s="134" t="s">
        <v>58</v>
      </c>
      <c r="C85" s="134"/>
      <c r="D85" s="134"/>
      <c r="E85" s="134"/>
      <c r="F85" s="512">
        <v>2810</v>
      </c>
      <c r="G85" s="512">
        <v>3190</v>
      </c>
      <c r="H85" s="512">
        <v>4191</v>
      </c>
      <c r="I85" s="512">
        <v>4568</v>
      </c>
      <c r="J85" s="512">
        <v>4807</v>
      </c>
      <c r="K85" s="512">
        <v>6936</v>
      </c>
      <c r="L85" s="512">
        <v>7628</v>
      </c>
      <c r="M85" s="513">
        <v>5607</v>
      </c>
      <c r="N85" s="513">
        <v>15327</v>
      </c>
      <c r="O85" s="513">
        <v>8440</v>
      </c>
      <c r="P85" s="513">
        <v>10226</v>
      </c>
      <c r="Q85" s="513">
        <v>13753</v>
      </c>
      <c r="R85" s="513">
        <v>13107</v>
      </c>
      <c r="S85" s="513">
        <v>11702</v>
      </c>
      <c r="T85" s="513">
        <v>14762</v>
      </c>
      <c r="U85" s="513">
        <v>12740</v>
      </c>
      <c r="V85" s="513">
        <v>9116</v>
      </c>
    </row>
    <row r="86" spans="1:22">
      <c r="A86" s="135">
        <v>44</v>
      </c>
      <c r="B86" s="136" t="s">
        <v>59</v>
      </c>
      <c r="C86" s="136"/>
      <c r="D86" s="136"/>
      <c r="E86" s="136"/>
      <c r="F86" s="527">
        <v>-517</v>
      </c>
      <c r="G86" s="527">
        <v>-470</v>
      </c>
      <c r="H86" s="527">
        <v>-424</v>
      </c>
      <c r="I86" s="527">
        <v>-378</v>
      </c>
      <c r="J86" s="527">
        <v>-243</v>
      </c>
      <c r="K86" s="527">
        <v>-286</v>
      </c>
      <c r="L86" s="527">
        <v>-153</v>
      </c>
      <c r="M86" s="527">
        <v>-197</v>
      </c>
      <c r="N86" s="527">
        <v>-152</v>
      </c>
      <c r="O86" s="527">
        <v>-109</v>
      </c>
      <c r="P86" s="527">
        <v>-44</v>
      </c>
      <c r="Q86" s="527">
        <v>-14</v>
      </c>
      <c r="R86" s="527">
        <v>0</v>
      </c>
      <c r="S86" s="527">
        <v>0</v>
      </c>
      <c r="T86" s="527">
        <v>0</v>
      </c>
      <c r="U86" s="528">
        <v>0</v>
      </c>
      <c r="V86" s="528">
        <v>0</v>
      </c>
    </row>
    <row r="87" spans="1:22" ht="15" customHeight="1">
      <c r="A87" s="135">
        <v>45</v>
      </c>
      <c r="B87" s="136" t="s">
        <v>384</v>
      </c>
      <c r="C87" s="136"/>
      <c r="D87" s="136"/>
      <c r="E87" s="136"/>
      <c r="F87" s="527">
        <f>'Reg Amort and Other RB'!E64</f>
        <v>3742</v>
      </c>
      <c r="G87" s="527">
        <f>'Reg Amort and Other RB'!F64</f>
        <v>3304</v>
      </c>
      <c r="H87" s="527">
        <f>'Reg Amort and Other RB'!G64</f>
        <v>2855</v>
      </c>
      <c r="I87" s="527">
        <f>'Reg Amort and Other RB'!H64</f>
        <v>2393</v>
      </c>
      <c r="J87" s="527">
        <f>'Reg Amort and Other RB'!I64</f>
        <v>1204</v>
      </c>
      <c r="K87" s="527">
        <f>'Reg Amort and Other RB'!J64</f>
        <v>1529</v>
      </c>
      <c r="L87" s="527">
        <f>'Reg Amort and Other RB'!K64</f>
        <v>1098</v>
      </c>
      <c r="M87" s="527">
        <f>'Reg Amort and Other RB'!L64</f>
        <v>789</v>
      </c>
      <c r="N87" s="527">
        <f>'Reg Amort and Other RB'!M64</f>
        <v>452</v>
      </c>
      <c r="O87" s="527">
        <f>'Reg Amort and Other RB'!N64</f>
        <v>-1359</v>
      </c>
      <c r="P87" s="527">
        <f>'Reg Amort and Other RB'!O64</f>
        <v>-1163</v>
      </c>
      <c r="Q87" s="527">
        <f>'Reg Amort and Other RB'!P64</f>
        <v>-1012</v>
      </c>
      <c r="R87" s="527">
        <f>'Reg Amort and Other RB'!Q64</f>
        <v>-816</v>
      </c>
      <c r="S87" s="528">
        <f>'Reg Amort and Other RB'!R64</f>
        <v>-332</v>
      </c>
      <c r="T87" s="528">
        <f>'Reg Amort and Other RB'!S64</f>
        <v>-479</v>
      </c>
      <c r="U87" s="528">
        <v>-485</v>
      </c>
      <c r="V87" s="528">
        <v>-249</v>
      </c>
    </row>
    <row r="88" spans="1:22" ht="13.15" customHeight="1">
      <c r="A88" s="132">
        <v>46</v>
      </c>
      <c r="B88" s="134" t="s">
        <v>149</v>
      </c>
      <c r="C88" s="134"/>
      <c r="D88" s="134"/>
      <c r="E88" s="134"/>
      <c r="F88" s="514">
        <v>0</v>
      </c>
      <c r="G88" s="514">
        <v>0</v>
      </c>
      <c r="H88" s="514">
        <v>0</v>
      </c>
      <c r="I88" s="514">
        <v>0</v>
      </c>
      <c r="J88" s="514">
        <v>0</v>
      </c>
      <c r="K88" s="514">
        <v>0</v>
      </c>
      <c r="L88" s="514">
        <v>0</v>
      </c>
      <c r="M88" s="514">
        <v>0</v>
      </c>
      <c r="N88" s="514">
        <v>0</v>
      </c>
      <c r="O88" s="514">
        <v>0</v>
      </c>
      <c r="P88" s="514">
        <v>0</v>
      </c>
      <c r="Q88" s="514">
        <v>0</v>
      </c>
      <c r="R88" s="514">
        <v>0</v>
      </c>
      <c r="S88" s="514">
        <v>5695</v>
      </c>
      <c r="T88" s="514">
        <v>10073</v>
      </c>
      <c r="U88" s="515">
        <v>16069</v>
      </c>
      <c r="V88" s="515">
        <v>14800</v>
      </c>
    </row>
    <row r="89" spans="1:22" s="256" customFormat="1" ht="3" customHeight="1">
      <c r="A89" s="132"/>
      <c r="B89" s="112"/>
      <c r="C89" s="112"/>
      <c r="D89" s="112"/>
      <c r="E89" s="112"/>
      <c r="F89" s="114"/>
      <c r="G89" s="114"/>
      <c r="H89" s="114"/>
      <c r="I89" s="114"/>
      <c r="J89" s="114"/>
      <c r="K89" s="114"/>
      <c r="L89" s="114"/>
      <c r="M89" s="114"/>
      <c r="N89" s="114"/>
      <c r="O89" s="114"/>
      <c r="P89" s="114"/>
      <c r="Q89" s="114"/>
      <c r="R89" s="114"/>
      <c r="S89" s="114"/>
      <c r="T89" s="114"/>
      <c r="U89" s="509"/>
      <c r="V89" s="509"/>
    </row>
    <row r="90" spans="1:22" s="138" customFormat="1" hidden="1">
      <c r="A90" s="132"/>
      <c r="B90" s="112"/>
      <c r="C90" s="112"/>
      <c r="D90" s="112"/>
      <c r="E90" s="112"/>
      <c r="F90" s="512"/>
      <c r="G90" s="512"/>
      <c r="H90" s="512"/>
      <c r="I90" s="512"/>
      <c r="J90" s="512"/>
      <c r="K90" s="512"/>
      <c r="L90" s="512"/>
      <c r="M90" s="512"/>
      <c r="N90" s="512"/>
      <c r="O90" s="512"/>
      <c r="P90" s="512"/>
      <c r="Q90" s="512"/>
      <c r="R90" s="512"/>
      <c r="S90" s="512"/>
      <c r="T90" s="512"/>
      <c r="U90" s="513"/>
      <c r="V90" s="513"/>
    </row>
    <row r="91" spans="1:22" s="138" customFormat="1" ht="12.75" thickBot="1">
      <c r="A91" s="115">
        <v>47</v>
      </c>
      <c r="B91" s="256" t="s">
        <v>60</v>
      </c>
      <c r="C91" s="256"/>
      <c r="D91" s="256"/>
      <c r="E91" s="256"/>
      <c r="F91" s="257">
        <f t="shared" ref="F91:L91" si="12">SUM(F84:F88)</f>
        <v>130920</v>
      </c>
      <c r="G91" s="257">
        <f t="shared" si="12"/>
        <v>135524</v>
      </c>
      <c r="H91" s="257">
        <f t="shared" si="12"/>
        <v>136362</v>
      </c>
      <c r="I91" s="257">
        <f t="shared" si="12"/>
        <v>131627</v>
      </c>
      <c r="J91" s="257">
        <f t="shared" si="12"/>
        <v>130718</v>
      </c>
      <c r="K91" s="257">
        <f t="shared" si="12"/>
        <v>140796</v>
      </c>
      <c r="L91" s="257">
        <f t="shared" si="12"/>
        <v>149362</v>
      </c>
      <c r="M91" s="257">
        <f t="shared" ref="M91:V91" si="13">SUM(M84:M88)</f>
        <v>151699</v>
      </c>
      <c r="N91" s="257">
        <f t="shared" si="13"/>
        <v>169681</v>
      </c>
      <c r="O91" s="257">
        <f t="shared" si="13"/>
        <v>180778</v>
      </c>
      <c r="P91" s="257">
        <f t="shared" si="13"/>
        <v>186920</v>
      </c>
      <c r="Q91" s="257">
        <f t="shared" si="13"/>
        <v>196280</v>
      </c>
      <c r="R91" s="257">
        <f t="shared" si="13"/>
        <v>207578</v>
      </c>
      <c r="S91" s="257">
        <f t="shared" si="13"/>
        <v>224824</v>
      </c>
      <c r="T91" s="257">
        <f t="shared" si="13"/>
        <v>250257</v>
      </c>
      <c r="U91" s="518">
        <f t="shared" si="13"/>
        <v>272971</v>
      </c>
      <c r="V91" s="518">
        <f t="shared" si="13"/>
        <v>286597</v>
      </c>
    </row>
    <row r="92" spans="1:22" s="138" customFormat="1" ht="5.25" customHeight="1" thickTop="1">
      <c r="A92" s="115"/>
      <c r="B92" s="256"/>
      <c r="C92" s="256"/>
      <c r="D92" s="256"/>
      <c r="E92" s="256"/>
      <c r="F92" s="519"/>
      <c r="G92" s="519"/>
      <c r="H92" s="519"/>
      <c r="I92" s="519"/>
      <c r="J92" s="519"/>
      <c r="K92" s="519"/>
      <c r="L92" s="519"/>
      <c r="M92" s="519"/>
      <c r="N92" s="519"/>
      <c r="O92" s="519"/>
      <c r="P92" s="519"/>
      <c r="Q92" s="519"/>
      <c r="R92" s="519"/>
    </row>
    <row r="93" spans="1:22" s="138" customFormat="1" ht="4.5" customHeight="1">
      <c r="A93" s="139"/>
      <c r="D93" s="520"/>
      <c r="E93" s="140"/>
      <c r="F93" s="509"/>
      <c r="G93" s="509"/>
      <c r="H93" s="509"/>
      <c r="I93" s="509"/>
      <c r="J93" s="509"/>
      <c r="K93" s="509"/>
      <c r="L93" s="509"/>
      <c r="M93" s="509"/>
      <c r="N93" s="509"/>
      <c r="O93" s="509"/>
      <c r="P93" s="509"/>
      <c r="Q93" s="509"/>
      <c r="R93" s="509"/>
    </row>
    <row r="94" spans="1:22" s="138" customFormat="1" ht="4.5" customHeight="1">
      <c r="A94" s="139"/>
      <c r="D94" s="520"/>
      <c r="E94" s="140"/>
      <c r="F94" s="509"/>
      <c r="G94" s="509"/>
      <c r="H94" s="509"/>
      <c r="I94" s="509"/>
      <c r="J94" s="509"/>
      <c r="K94" s="509"/>
      <c r="L94" s="509"/>
      <c r="M94" s="509"/>
      <c r="N94" s="509"/>
      <c r="O94" s="509"/>
      <c r="P94" s="509"/>
      <c r="Q94" s="509"/>
      <c r="R94" s="509"/>
    </row>
    <row r="95" spans="1:22" s="138" customFormat="1" ht="12.75">
      <c r="A95" s="529" t="s">
        <v>103</v>
      </c>
      <c r="D95" s="520"/>
      <c r="E95" s="140"/>
      <c r="F95" s="509"/>
      <c r="G95" s="509"/>
      <c r="H95" s="509"/>
      <c r="I95" s="509"/>
      <c r="J95" s="509"/>
      <c r="K95" s="509"/>
      <c r="L95" s="509"/>
      <c r="M95" s="509"/>
      <c r="N95" s="509"/>
      <c r="O95" s="509"/>
      <c r="P95" s="509"/>
      <c r="Q95" s="509"/>
      <c r="R95" s="509"/>
    </row>
    <row r="96" spans="1:22" s="138" customFormat="1" ht="12.75">
      <c r="A96" s="529" t="s">
        <v>169</v>
      </c>
      <c r="D96" s="520"/>
      <c r="E96" s="140"/>
      <c r="F96" s="509"/>
      <c r="G96" s="509"/>
      <c r="H96" s="509"/>
      <c r="I96" s="509"/>
      <c r="J96" s="509"/>
      <c r="K96" s="509"/>
      <c r="L96" s="509"/>
      <c r="M96" s="509"/>
      <c r="N96" s="509"/>
      <c r="O96" s="509"/>
      <c r="P96" s="509"/>
      <c r="Q96" s="509"/>
      <c r="R96" s="509"/>
    </row>
    <row r="97" spans="1:27" s="138" customFormat="1" ht="12.75">
      <c r="A97" s="529" t="s">
        <v>69</v>
      </c>
      <c r="D97" s="520"/>
      <c r="E97" s="140"/>
      <c r="F97" s="509"/>
      <c r="G97" s="509"/>
      <c r="H97" s="509"/>
      <c r="I97" s="509"/>
      <c r="J97" s="509"/>
      <c r="K97" s="509"/>
      <c r="L97" s="509"/>
      <c r="M97" s="509"/>
      <c r="N97" s="509"/>
      <c r="O97" s="509"/>
      <c r="P97" s="509"/>
      <c r="Q97" s="509"/>
      <c r="R97" s="509"/>
    </row>
    <row r="98" spans="1:27" s="138" customFormat="1" ht="14.25" customHeight="1">
      <c r="A98" s="530" t="s">
        <v>467</v>
      </c>
      <c r="B98" s="530"/>
      <c r="C98" s="530"/>
      <c r="D98" s="530"/>
      <c r="E98" s="530"/>
      <c r="F98" s="530"/>
      <c r="G98" s="530"/>
      <c r="H98" s="530"/>
      <c r="I98" s="530"/>
      <c r="J98" s="530"/>
      <c r="K98" s="530"/>
      <c r="L98" s="530"/>
      <c r="M98" s="530"/>
      <c r="N98" s="530"/>
      <c r="T98" s="504"/>
      <c r="U98" s="504"/>
      <c r="V98" s="504"/>
    </row>
    <row r="99" spans="1:27" s="138" customFormat="1" ht="3" customHeight="1">
      <c r="A99" s="139"/>
      <c r="D99" s="520"/>
      <c r="E99" s="140"/>
      <c r="F99" s="531"/>
      <c r="G99" s="531"/>
      <c r="H99" s="531"/>
      <c r="I99" s="531"/>
      <c r="J99" s="531"/>
      <c r="K99" s="531"/>
      <c r="L99" s="531"/>
      <c r="M99" s="531"/>
      <c r="N99" s="531"/>
      <c r="O99" s="531"/>
      <c r="P99" s="531"/>
      <c r="Q99" s="531"/>
      <c r="R99" s="531"/>
    </row>
    <row r="100" spans="1:27" s="138" customFormat="1" ht="12" customHeight="1">
      <c r="A100" s="139"/>
      <c r="D100" s="520"/>
      <c r="E100" s="140"/>
      <c r="F100" s="532">
        <f>F8</f>
        <v>2000</v>
      </c>
      <c r="G100" s="532">
        <f t="shared" ref="G100:R100" si="14">G8</f>
        <v>2001</v>
      </c>
      <c r="H100" s="532">
        <f t="shared" si="14"/>
        <v>2002</v>
      </c>
      <c r="I100" s="532">
        <f t="shared" si="14"/>
        <v>2003</v>
      </c>
      <c r="J100" s="532">
        <f t="shared" si="14"/>
        <v>2004</v>
      </c>
      <c r="K100" s="532">
        <f t="shared" si="14"/>
        <v>2005</v>
      </c>
      <c r="L100" s="532">
        <f t="shared" si="14"/>
        <v>2006</v>
      </c>
      <c r="M100" s="532">
        <f t="shared" si="14"/>
        <v>2007</v>
      </c>
      <c r="N100" s="532">
        <f t="shared" si="14"/>
        <v>2008</v>
      </c>
      <c r="O100" s="532">
        <f t="shared" si="14"/>
        <v>2009</v>
      </c>
      <c r="P100" s="532">
        <f t="shared" si="14"/>
        <v>2010</v>
      </c>
      <c r="Q100" s="532">
        <f t="shared" si="14"/>
        <v>2011</v>
      </c>
      <c r="R100" s="532">
        <f t="shared" si="14"/>
        <v>2012</v>
      </c>
      <c r="S100" s="532">
        <f>S8</f>
        <v>2013</v>
      </c>
      <c r="T100" s="532">
        <f>T8</f>
        <v>2014</v>
      </c>
      <c r="U100" s="532">
        <f>U8</f>
        <v>2015</v>
      </c>
      <c r="V100" s="533" t="str">
        <f>V8</f>
        <v>2016</v>
      </c>
    </row>
    <row r="101" spans="1:27" s="138" customFormat="1" ht="24">
      <c r="A101" s="534" t="s">
        <v>468</v>
      </c>
      <c r="D101" s="535" t="s">
        <v>469</v>
      </c>
      <c r="E101" s="140"/>
      <c r="F101" s="509"/>
      <c r="G101" s="509"/>
      <c r="H101" s="509"/>
      <c r="I101" s="509"/>
      <c r="J101" s="509"/>
      <c r="K101" s="509"/>
      <c r="L101" s="509"/>
      <c r="M101" s="509"/>
      <c r="N101" s="509"/>
      <c r="O101" s="509"/>
      <c r="P101" s="509"/>
      <c r="Q101" s="509"/>
      <c r="R101" s="509"/>
      <c r="S101" s="509"/>
      <c r="T101" s="509"/>
      <c r="U101" s="509"/>
      <c r="V101" s="509"/>
    </row>
    <row r="102" spans="1:27" s="138" customFormat="1">
      <c r="A102" s="139">
        <v>1</v>
      </c>
      <c r="C102" s="138" t="s">
        <v>36</v>
      </c>
      <c r="E102" s="536" t="s">
        <v>470</v>
      </c>
      <c r="F102" s="110">
        <f>F25</f>
        <v>312</v>
      </c>
      <c r="G102" s="110">
        <f t="shared" ref="G102:R102" si="15">G25</f>
        <v>322</v>
      </c>
      <c r="H102" s="110">
        <f t="shared" si="15"/>
        <v>357</v>
      </c>
      <c r="I102" s="110">
        <f t="shared" si="15"/>
        <v>342</v>
      </c>
      <c r="J102" s="110">
        <f t="shared" si="15"/>
        <v>381</v>
      </c>
      <c r="K102" s="110">
        <f t="shared" si="15"/>
        <v>450</v>
      </c>
      <c r="L102" s="110">
        <f t="shared" si="15"/>
        <v>492</v>
      </c>
      <c r="M102" s="110">
        <f t="shared" si="15"/>
        <v>451</v>
      </c>
      <c r="N102" s="110">
        <f t="shared" si="15"/>
        <v>436</v>
      </c>
      <c r="O102" s="110">
        <f t="shared" si="15"/>
        <v>403</v>
      </c>
      <c r="P102" s="110">
        <f t="shared" si="15"/>
        <v>380</v>
      </c>
      <c r="Q102" s="110">
        <f t="shared" si="15"/>
        <v>585</v>
      </c>
      <c r="R102" s="110">
        <f t="shared" si="15"/>
        <v>712</v>
      </c>
      <c r="S102" s="110">
        <f>S25</f>
        <v>820</v>
      </c>
      <c r="T102" s="110">
        <f>T25</f>
        <v>893</v>
      </c>
      <c r="U102" s="110">
        <f>U25</f>
        <v>857</v>
      </c>
      <c r="V102" s="110">
        <f>V25</f>
        <v>974</v>
      </c>
    </row>
    <row r="103" spans="1:27" s="138" customFormat="1">
      <c r="A103" s="139">
        <v>2</v>
      </c>
      <c r="C103" s="138" t="s">
        <v>40</v>
      </c>
      <c r="E103" s="536" t="s">
        <v>471</v>
      </c>
      <c r="F103" s="110">
        <f>F31</f>
        <v>3956</v>
      </c>
      <c r="G103" s="110">
        <f t="shared" ref="G103:R103" si="16">G31</f>
        <v>4655</v>
      </c>
      <c r="H103" s="110">
        <f t="shared" si="16"/>
        <v>5482</v>
      </c>
      <c r="I103" s="110">
        <f t="shared" si="16"/>
        <v>5762</v>
      </c>
      <c r="J103" s="110">
        <f t="shared" si="16"/>
        <v>5958</v>
      </c>
      <c r="K103" s="110">
        <f t="shared" si="16"/>
        <v>6084</v>
      </c>
      <c r="L103" s="110">
        <f t="shared" si="16"/>
        <v>6359</v>
      </c>
      <c r="M103" s="110">
        <f t="shared" si="16"/>
        <v>6467</v>
      </c>
      <c r="N103" s="110">
        <f t="shared" si="16"/>
        <v>6123</v>
      </c>
      <c r="O103" s="110">
        <f t="shared" si="16"/>
        <v>7700</v>
      </c>
      <c r="P103" s="110">
        <f t="shared" si="16"/>
        <v>7696</v>
      </c>
      <c r="Q103" s="110">
        <f t="shared" si="16"/>
        <v>8854</v>
      </c>
      <c r="R103" s="110">
        <f t="shared" si="16"/>
        <v>9511</v>
      </c>
      <c r="S103" s="110">
        <f>S31</f>
        <v>10820</v>
      </c>
      <c r="T103" s="110">
        <f>T31</f>
        <v>10704</v>
      </c>
      <c r="U103" s="110">
        <f>U31</f>
        <v>12315</v>
      </c>
      <c r="V103" s="110">
        <f>V31</f>
        <v>12050</v>
      </c>
    </row>
    <row r="104" spans="1:27" s="138" customFormat="1">
      <c r="A104" s="139">
        <v>3</v>
      </c>
      <c r="C104" s="138" t="s">
        <v>42</v>
      </c>
      <c r="E104" s="536" t="s">
        <v>472</v>
      </c>
      <c r="F104" s="110">
        <f>F36</f>
        <v>3175</v>
      </c>
      <c r="G104" s="110">
        <f t="shared" ref="G104:V106" si="17">G36</f>
        <v>3367</v>
      </c>
      <c r="H104" s="110">
        <f t="shared" si="17"/>
        <v>4108</v>
      </c>
      <c r="I104" s="110">
        <f t="shared" si="17"/>
        <v>4121</v>
      </c>
      <c r="J104" s="110">
        <f t="shared" si="17"/>
        <v>4337</v>
      </c>
      <c r="K104" s="110">
        <f t="shared" si="17"/>
        <v>4249</v>
      </c>
      <c r="L104" s="110">
        <f t="shared" si="17"/>
        <v>4225</v>
      </c>
      <c r="M104" s="110">
        <f t="shared" si="17"/>
        <v>4487</v>
      </c>
      <c r="N104" s="110">
        <f t="shared" si="17"/>
        <v>4692</v>
      </c>
      <c r="O104" s="110">
        <f t="shared" si="17"/>
        <v>5586</v>
      </c>
      <c r="P104" s="110">
        <f t="shared" si="17"/>
        <v>5234</v>
      </c>
      <c r="Q104" s="110">
        <f t="shared" si="17"/>
        <v>5739.734942</v>
      </c>
      <c r="R104" s="110">
        <f t="shared" si="17"/>
        <v>5796</v>
      </c>
      <c r="S104" s="110">
        <f t="shared" si="17"/>
        <v>6270</v>
      </c>
      <c r="T104" s="110">
        <f t="shared" si="17"/>
        <v>6108</v>
      </c>
      <c r="U104" s="110">
        <f t="shared" si="17"/>
        <v>6632</v>
      </c>
      <c r="V104" s="110">
        <f t="shared" si="17"/>
        <v>6811</v>
      </c>
    </row>
    <row r="105" spans="1:27" s="138" customFormat="1">
      <c r="A105" s="139">
        <v>4</v>
      </c>
      <c r="C105" s="138" t="s">
        <v>473</v>
      </c>
      <c r="E105" s="536" t="s">
        <v>474</v>
      </c>
      <c r="F105" s="110">
        <f t="shared" ref="F105:R106" si="18">F37</f>
        <v>507</v>
      </c>
      <c r="G105" s="110">
        <f t="shared" si="18"/>
        <v>1513</v>
      </c>
      <c r="H105" s="110">
        <f t="shared" si="18"/>
        <v>2252</v>
      </c>
      <c r="I105" s="110">
        <f t="shared" si="18"/>
        <v>2747</v>
      </c>
      <c r="J105" s="110">
        <f t="shared" si="18"/>
        <v>480</v>
      </c>
      <c r="K105" s="110">
        <f t="shared" si="18"/>
        <v>3523</v>
      </c>
      <c r="L105" s="110">
        <f t="shared" si="18"/>
        <v>1061</v>
      </c>
      <c r="M105" s="110">
        <f t="shared" si="18"/>
        <v>4658</v>
      </c>
      <c r="N105" s="110">
        <f t="shared" si="18"/>
        <v>5169</v>
      </c>
      <c r="O105" s="110">
        <f t="shared" si="18"/>
        <v>7609</v>
      </c>
      <c r="P105" s="110">
        <f t="shared" si="18"/>
        <v>9505</v>
      </c>
      <c r="Q105" s="110">
        <f t="shared" si="18"/>
        <v>9777</v>
      </c>
      <c r="R105" s="110">
        <f t="shared" si="18"/>
        <v>6955</v>
      </c>
      <c r="S105" s="110">
        <f t="shared" si="17"/>
        <v>983</v>
      </c>
      <c r="T105" s="110">
        <f t="shared" si="17"/>
        <v>865</v>
      </c>
      <c r="U105" s="110">
        <f t="shared" si="17"/>
        <v>837</v>
      </c>
      <c r="V105" s="110">
        <f t="shared" si="17"/>
        <v>964</v>
      </c>
    </row>
    <row r="106" spans="1:27" s="138" customFormat="1">
      <c r="A106" s="139">
        <v>5</v>
      </c>
      <c r="C106" s="138" t="s">
        <v>87</v>
      </c>
      <c r="E106" s="536" t="s">
        <v>475</v>
      </c>
      <c r="F106" s="110">
        <f t="shared" si="18"/>
        <v>703</v>
      </c>
      <c r="G106" s="110">
        <f t="shared" si="18"/>
        <v>445</v>
      </c>
      <c r="H106" s="110">
        <f t="shared" si="18"/>
        <v>375</v>
      </c>
      <c r="I106" s="110">
        <f t="shared" si="18"/>
        <v>492</v>
      </c>
      <c r="J106" s="110">
        <f t="shared" si="18"/>
        <v>427</v>
      </c>
      <c r="K106" s="110">
        <f t="shared" si="18"/>
        <v>320</v>
      </c>
      <c r="L106" s="110">
        <f t="shared" si="18"/>
        <v>496</v>
      </c>
      <c r="M106" s="110">
        <f t="shared" si="18"/>
        <v>516</v>
      </c>
      <c r="N106" s="110">
        <f t="shared" si="18"/>
        <v>442</v>
      </c>
      <c r="O106" s="110">
        <f t="shared" si="18"/>
        <v>497</v>
      </c>
      <c r="P106" s="110">
        <f t="shared" si="18"/>
        <v>105</v>
      </c>
      <c r="Q106" s="110">
        <f t="shared" si="18"/>
        <v>3</v>
      </c>
      <c r="R106" s="110">
        <f t="shared" si="18"/>
        <v>3</v>
      </c>
      <c r="S106" s="110">
        <f t="shared" si="17"/>
        <v>3</v>
      </c>
      <c r="T106" s="110">
        <f t="shared" si="17"/>
        <v>0</v>
      </c>
      <c r="U106" s="110">
        <f t="shared" si="17"/>
        <v>0</v>
      </c>
      <c r="V106" s="110">
        <f t="shared" si="17"/>
        <v>0</v>
      </c>
    </row>
    <row r="107" spans="1:27" s="138" customFormat="1">
      <c r="A107" s="139">
        <v>6</v>
      </c>
      <c r="C107" s="138" t="s">
        <v>88</v>
      </c>
      <c r="E107" s="536" t="s">
        <v>476</v>
      </c>
      <c r="F107" s="110">
        <f>F41</f>
        <v>8004</v>
      </c>
      <c r="G107" s="110">
        <f t="shared" ref="G107:R107" si="19">G41</f>
        <v>7578</v>
      </c>
      <c r="H107" s="110">
        <f t="shared" si="19"/>
        <v>9399</v>
      </c>
      <c r="I107" s="110">
        <f t="shared" si="19"/>
        <v>9827</v>
      </c>
      <c r="J107" s="110">
        <f t="shared" si="19"/>
        <v>8911</v>
      </c>
      <c r="K107" s="110">
        <f t="shared" si="19"/>
        <v>9196</v>
      </c>
      <c r="L107" s="110">
        <f t="shared" si="19"/>
        <v>8393</v>
      </c>
      <c r="M107" s="110">
        <f t="shared" si="19"/>
        <v>8901</v>
      </c>
      <c r="N107" s="110">
        <f t="shared" si="19"/>
        <v>9706</v>
      </c>
      <c r="O107" s="110">
        <f t="shared" si="19"/>
        <v>9770</v>
      </c>
      <c r="P107" s="110">
        <f t="shared" si="19"/>
        <v>11383</v>
      </c>
      <c r="Q107" s="110">
        <f t="shared" si="19"/>
        <v>11585.118</v>
      </c>
      <c r="R107" s="110">
        <f t="shared" si="19"/>
        <v>13419</v>
      </c>
      <c r="S107" s="110">
        <f>S41</f>
        <v>11862</v>
      </c>
      <c r="T107" s="110">
        <f>T41</f>
        <v>12777</v>
      </c>
      <c r="U107" s="110">
        <f>U41</f>
        <v>14007</v>
      </c>
      <c r="V107" s="110">
        <f>V41</f>
        <v>13267</v>
      </c>
    </row>
    <row r="108" spans="1:27" s="138" customFormat="1">
      <c r="A108" s="139">
        <v>7</v>
      </c>
      <c r="B108" s="138" t="s">
        <v>477</v>
      </c>
      <c r="F108" s="537">
        <f>SUM(F102:F107)</f>
        <v>16657</v>
      </c>
      <c r="G108" s="537">
        <f t="shared" ref="G108:R108" si="20">SUM(G102:G107)</f>
        <v>17880</v>
      </c>
      <c r="H108" s="537">
        <f t="shared" si="20"/>
        <v>21973</v>
      </c>
      <c r="I108" s="537">
        <f t="shared" si="20"/>
        <v>23291</v>
      </c>
      <c r="J108" s="537">
        <f t="shared" si="20"/>
        <v>20494</v>
      </c>
      <c r="K108" s="537">
        <f t="shared" si="20"/>
        <v>23822</v>
      </c>
      <c r="L108" s="537">
        <f t="shared" si="20"/>
        <v>21026</v>
      </c>
      <c r="M108" s="537">
        <f t="shared" si="20"/>
        <v>25480</v>
      </c>
      <c r="N108" s="537">
        <f t="shared" si="20"/>
        <v>26568</v>
      </c>
      <c r="O108" s="537">
        <f t="shared" si="20"/>
        <v>31565</v>
      </c>
      <c r="P108" s="537">
        <f t="shared" si="20"/>
        <v>34303</v>
      </c>
      <c r="Q108" s="537">
        <f t="shared" si="20"/>
        <v>36543.852941999998</v>
      </c>
      <c r="R108" s="537">
        <f t="shared" si="20"/>
        <v>36396</v>
      </c>
      <c r="S108" s="537">
        <f>SUM(S102:S107)</f>
        <v>30758</v>
      </c>
      <c r="T108" s="537">
        <f>SUM(T102:T107)</f>
        <v>31347</v>
      </c>
      <c r="U108" s="537">
        <f>SUM(U102:U107)</f>
        <v>34648</v>
      </c>
      <c r="V108" s="537">
        <f>SUM(V102:V107)</f>
        <v>34066</v>
      </c>
    </row>
    <row r="109" spans="1:27" s="138" customFormat="1">
      <c r="A109" s="139">
        <v>8</v>
      </c>
      <c r="C109" s="138" t="s">
        <v>478</v>
      </c>
      <c r="F109" s="110">
        <f>'Riders and Gas Cost Revenue'!H63</f>
        <v>163</v>
      </c>
      <c r="G109" s="110">
        <f>'Riders and Gas Cost Revenue'!J63</f>
        <v>232</v>
      </c>
      <c r="H109" s="110">
        <f>'Riders and Gas Cost Revenue'!L63</f>
        <v>261</v>
      </c>
      <c r="I109" s="110">
        <f>'Riders and Gas Cost Revenue'!N63</f>
        <v>285</v>
      </c>
      <c r="J109" s="110">
        <f>'Riders and Gas Cost Revenue'!P63</f>
        <v>369</v>
      </c>
      <c r="K109" s="110">
        <f>'Riders and Gas Cost Revenue'!R63</f>
        <v>651</v>
      </c>
      <c r="L109" s="110">
        <f>'Riders and Gas Cost Revenue'!T63</f>
        <v>653</v>
      </c>
      <c r="M109" s="110">
        <f>'Riders and Gas Cost Revenue'!W63</f>
        <v>792</v>
      </c>
      <c r="N109" s="110">
        <f>'Riders and Gas Cost Revenue'!Z63</f>
        <v>783</v>
      </c>
      <c r="O109" s="110">
        <f>'Riders and Gas Cost Revenue'!AC63</f>
        <v>802</v>
      </c>
      <c r="P109" s="110">
        <f>'Riders and Gas Cost Revenue'!AF63</f>
        <v>800</v>
      </c>
      <c r="Q109" s="110">
        <f>'Riders and Gas Cost Revenue'!AI63</f>
        <v>981</v>
      </c>
      <c r="R109" s="110">
        <f>'Riders and Gas Cost Revenue'!AL63</f>
        <v>928</v>
      </c>
      <c r="S109" s="110">
        <f>'Riders and Gas Cost Revenue'!AO63</f>
        <v>891</v>
      </c>
      <c r="T109" s="110">
        <f>'Riders and Gas Cost Revenue'!AR63</f>
        <v>779</v>
      </c>
      <c r="U109" s="110">
        <f>'Riders and Gas Cost Revenue'!AU63</f>
        <v>840</v>
      </c>
      <c r="V109" s="110">
        <f>'Riders and Gas Cost Revenue'!AX63</f>
        <v>994</v>
      </c>
    </row>
    <row r="110" spans="1:27" s="138" customFormat="1" ht="12" customHeight="1">
      <c r="A110" s="139">
        <v>9</v>
      </c>
      <c r="C110" s="138" t="s">
        <v>479</v>
      </c>
      <c r="F110" s="110">
        <f>SUM('Riders and Gas Cost Revenue'!H35:H40)</f>
        <v>-410</v>
      </c>
      <c r="G110" s="110">
        <f>SUM('Riders and Gas Cost Revenue'!J35:J40)</f>
        <v>-764</v>
      </c>
      <c r="H110" s="110">
        <f>SUM('Riders and Gas Cost Revenue'!L35:L40)</f>
        <v>-788</v>
      </c>
      <c r="I110" s="110">
        <f>SUM('Riders and Gas Cost Revenue'!N35:N40)</f>
        <v>-694</v>
      </c>
      <c r="J110" s="110">
        <f>SUM('Riders and Gas Cost Revenue'!P35:P40)</f>
        <v>-818</v>
      </c>
      <c r="K110" s="110">
        <f>SUM('Riders and Gas Cost Revenue'!R35:R40)</f>
        <v>-933</v>
      </c>
      <c r="L110" s="110">
        <f>SUM('Riders and Gas Cost Revenue'!T35:T40)</f>
        <v>-1071</v>
      </c>
      <c r="M110" s="110">
        <f>SUM('Riders and Gas Cost Revenue'!W35:W40)</f>
        <v>-1115</v>
      </c>
      <c r="N110" s="110">
        <f>SUM('Riders and Gas Cost Revenue'!Z35:Z40)</f>
        <v>-1054</v>
      </c>
      <c r="O110" s="110">
        <f>SUM('Riders and Gas Cost Revenue'!AC35:AC40)</f>
        <v>-865</v>
      </c>
      <c r="P110" s="110">
        <f>SUM('Riders and Gas Cost Revenue'!AF35:AF40)</f>
        <v>-564</v>
      </c>
      <c r="Q110" s="110">
        <f>SUM('Riders and Gas Cost Revenue'!AI35:AI40)</f>
        <v>-601</v>
      </c>
      <c r="R110" s="110">
        <f>SUM('Riders and Gas Cost Revenue'!AL35:AL40)</f>
        <v>-535</v>
      </c>
      <c r="S110" s="110">
        <f>SUM('Riders and Gas Cost Revenue'!AO35:AO40)</f>
        <v>-549</v>
      </c>
      <c r="T110" s="110">
        <f>SUM('Riders and Gas Cost Revenue'!AR35:AR40)</f>
        <v>-602</v>
      </c>
      <c r="U110" s="110">
        <f>SUM('Riders and Gas Cost Revenue'!AU35:AU40)</f>
        <v>-570</v>
      </c>
      <c r="V110" s="110">
        <f>SUM('Riders and Gas Cost Revenue'!AX35:AX40)</f>
        <v>-454</v>
      </c>
      <c r="W110" s="538"/>
      <c r="X110" s="538"/>
      <c r="Y110" s="538"/>
      <c r="Z110" s="538"/>
      <c r="AA110" s="538"/>
    </row>
    <row r="111" spans="1:27" s="138" customFormat="1">
      <c r="A111" s="139">
        <v>10</v>
      </c>
      <c r="C111" s="138" t="s">
        <v>480</v>
      </c>
      <c r="F111" s="110">
        <f>'Riders and Gas Cost Revenue'!G35+'Riders and Gas Cost Revenue'!G36+'Riders and Gas Cost Revenue'!G40</f>
        <v>0</v>
      </c>
      <c r="G111" s="110">
        <f>'Riders and Gas Cost Revenue'!I35+'Riders and Gas Cost Revenue'!I36+'Riders and Gas Cost Revenue'!I40</f>
        <v>-956</v>
      </c>
      <c r="H111" s="110">
        <f>'Riders and Gas Cost Revenue'!K35+'Riders and Gas Cost Revenue'!K36+'Riders and Gas Cost Revenue'!K40</f>
        <v>-1709</v>
      </c>
      <c r="I111" s="110">
        <f>'Riders and Gas Cost Revenue'!M35+'Riders and Gas Cost Revenue'!M36+'Riders and Gas Cost Revenue'!M40</f>
        <v>-2043</v>
      </c>
      <c r="J111" s="110">
        <f>'Riders and Gas Cost Revenue'!O35+'Riders and Gas Cost Revenue'!O36+'Riders and Gas Cost Revenue'!O40</f>
        <v>0</v>
      </c>
      <c r="K111" s="110">
        <f>'Riders and Gas Cost Revenue'!Q35+'Riders and Gas Cost Revenue'!Q36+'Riders and Gas Cost Revenue'!Q40</f>
        <v>-2862</v>
      </c>
      <c r="L111" s="110">
        <f>'Riders and Gas Cost Revenue'!S35+'Riders and Gas Cost Revenue'!S36+'Riders and Gas Cost Revenue'!S40</f>
        <v>0</v>
      </c>
      <c r="M111" s="110">
        <f>'Riders and Gas Cost Revenue'!U35+'Riders and Gas Cost Revenue'!U36+'Riders and Gas Cost Revenue'!U40</f>
        <v>-3862</v>
      </c>
      <c r="N111" s="110">
        <f>'Riders and Gas Cost Revenue'!X35+'Riders and Gas Cost Revenue'!X36+'Riders and Gas Cost Revenue'!X40</f>
        <v>-4412</v>
      </c>
      <c r="O111" s="110">
        <f>'Riders and Gas Cost Revenue'!AA35+'Riders and Gas Cost Revenue'!AA36+'Riders and Gas Cost Revenue'!AA40</f>
        <v>-6825</v>
      </c>
      <c r="P111" s="110">
        <f>'Riders and Gas Cost Revenue'!AD35+'Riders and Gas Cost Revenue'!AD36+'Riders and Gas Cost Revenue'!AD40</f>
        <v>-8477</v>
      </c>
      <c r="Q111" s="110">
        <f>'Riders and Gas Cost Revenue'!AG35+'Riders and Gas Cost Revenue'!AG36+'Riders and Gas Cost Revenue'!AG40</f>
        <v>-9017</v>
      </c>
      <c r="R111" s="110">
        <f>'Riders and Gas Cost Revenue'!AJ35+'Riders and Gas Cost Revenue'!AJ36+'Riders and Gas Cost Revenue'!AJ40</f>
        <v>-5984</v>
      </c>
      <c r="S111" s="110">
        <v>0</v>
      </c>
      <c r="T111" s="110">
        <v>0</v>
      </c>
      <c r="U111" s="110">
        <v>0</v>
      </c>
      <c r="V111" s="110">
        <v>0</v>
      </c>
      <c r="W111" s="539"/>
      <c r="X111" s="539"/>
      <c r="Y111" s="539"/>
      <c r="Z111" s="539"/>
      <c r="AA111" s="538"/>
    </row>
    <row r="112" spans="1:27">
      <c r="A112" s="139">
        <v>11</v>
      </c>
      <c r="B112" s="138"/>
      <c r="C112" s="138" t="s">
        <v>481</v>
      </c>
      <c r="D112" s="138"/>
      <c r="E112" s="138"/>
      <c r="F112" s="540">
        <v>0</v>
      </c>
      <c r="G112" s="540">
        <v>0</v>
      </c>
      <c r="H112" s="540">
        <v>0</v>
      </c>
      <c r="I112" s="540">
        <v>0</v>
      </c>
      <c r="J112" s="540">
        <v>0</v>
      </c>
      <c r="K112" s="540">
        <v>0</v>
      </c>
      <c r="L112" s="540">
        <v>0</v>
      </c>
      <c r="M112" s="540">
        <f>'Riders and Gas Cost Revenue'!V35+'Riders and Gas Cost Revenue'!V40</f>
        <v>0</v>
      </c>
      <c r="N112" s="540">
        <f>'Riders and Gas Cost Revenue'!Y35+'Riders and Gas Cost Revenue'!Y40</f>
        <v>-3</v>
      </c>
      <c r="O112" s="540">
        <f>'Riders and Gas Cost Revenue'!AB35+'Riders and Gas Cost Revenue'!AB40</f>
        <v>-5</v>
      </c>
      <c r="P112" s="540">
        <f>'Riders and Gas Cost Revenue'!AE35+'Riders and Gas Cost Revenue'!AE40</f>
        <v>-3</v>
      </c>
      <c r="Q112" s="540">
        <f>'Riders and Gas Cost Revenue'!AH35+'Riders and Gas Cost Revenue'!AH40</f>
        <v>-3</v>
      </c>
      <c r="R112" s="540">
        <f>'Riders and Gas Cost Revenue'!AK35+'Riders and Gas Cost Revenue'!AK40</f>
        <v>-1</v>
      </c>
      <c r="S112" s="540">
        <v>0</v>
      </c>
      <c r="T112" s="540">
        <v>0</v>
      </c>
      <c r="U112" s="540">
        <v>0</v>
      </c>
      <c r="V112" s="540">
        <v>0</v>
      </c>
      <c r="W112" s="541"/>
      <c r="X112" s="541"/>
      <c r="Y112" s="541"/>
      <c r="Z112" s="541"/>
      <c r="AA112" s="538"/>
    </row>
    <row r="113" spans="1:27" ht="12.75" thickBot="1">
      <c r="A113" s="139">
        <v>12</v>
      </c>
      <c r="B113" s="542" t="s">
        <v>482</v>
      </c>
      <c r="C113" s="542"/>
      <c r="D113" s="542"/>
      <c r="E113" s="542"/>
      <c r="F113" s="543">
        <f>SUM(F103:F112)</f>
        <v>32755</v>
      </c>
      <c r="G113" s="543">
        <f>SUM(G108:G112)</f>
        <v>16392</v>
      </c>
      <c r="H113" s="543">
        <f t="shared" ref="H113:V113" si="21">SUM(H108:H112)</f>
        <v>19737</v>
      </c>
      <c r="I113" s="543">
        <f t="shared" si="21"/>
        <v>20839</v>
      </c>
      <c r="J113" s="543">
        <f t="shared" si="21"/>
        <v>20045</v>
      </c>
      <c r="K113" s="543">
        <f t="shared" si="21"/>
        <v>20678</v>
      </c>
      <c r="L113" s="543">
        <f t="shared" si="21"/>
        <v>20608</v>
      </c>
      <c r="M113" s="543">
        <f t="shared" si="21"/>
        <v>21295</v>
      </c>
      <c r="N113" s="543">
        <f t="shared" si="21"/>
        <v>21882</v>
      </c>
      <c r="O113" s="543">
        <f t="shared" si="21"/>
        <v>24672</v>
      </c>
      <c r="P113" s="543">
        <f t="shared" si="21"/>
        <v>26059</v>
      </c>
      <c r="Q113" s="543">
        <f t="shared" si="21"/>
        <v>27903.852941999998</v>
      </c>
      <c r="R113" s="543">
        <f t="shared" si="21"/>
        <v>30804</v>
      </c>
      <c r="S113" s="543">
        <f t="shared" si="21"/>
        <v>31100</v>
      </c>
      <c r="T113" s="543">
        <f t="shared" si="21"/>
        <v>31524</v>
      </c>
      <c r="U113" s="543">
        <f t="shared" si="21"/>
        <v>34918</v>
      </c>
      <c r="V113" s="543">
        <f t="shared" si="21"/>
        <v>34606</v>
      </c>
      <c r="W113" s="544"/>
      <c r="X113" s="544"/>
      <c r="Y113" s="544"/>
      <c r="Z113" s="544"/>
      <c r="AA113" s="538"/>
    </row>
    <row r="114" spans="1:27" ht="12.75" thickTop="1">
      <c r="A114" s="139"/>
      <c r="D114" s="112" t="s">
        <v>483</v>
      </c>
      <c r="G114" s="545">
        <f>(G113-F113)/F113</f>
        <v>-0.49955731949320714</v>
      </c>
      <c r="H114" s="545">
        <f t="shared" ref="H114:S114" si="22">(H113-G113)/G113</f>
        <v>0.20406295754026355</v>
      </c>
      <c r="I114" s="545">
        <f t="shared" si="22"/>
        <v>5.5834219992906726E-2</v>
      </c>
      <c r="J114" s="545">
        <f t="shared" si="22"/>
        <v>-3.8101636354911463E-2</v>
      </c>
      <c r="K114" s="545">
        <f t="shared" si="22"/>
        <v>3.1578947368421054E-2</v>
      </c>
      <c r="L114" s="545">
        <f t="shared" si="22"/>
        <v>-3.3852403520649968E-3</v>
      </c>
      <c r="M114" s="545">
        <f t="shared" si="22"/>
        <v>3.3336568322981368E-2</v>
      </c>
      <c r="N114" s="545">
        <f t="shared" si="22"/>
        <v>2.7565156139938953E-2</v>
      </c>
      <c r="O114" s="545">
        <f t="shared" si="22"/>
        <v>0.12750205648478202</v>
      </c>
      <c r="P114" s="545">
        <f t="shared" si="22"/>
        <v>5.6217574578469522E-2</v>
      </c>
      <c r="Q114" s="545">
        <f t="shared" si="22"/>
        <v>7.079523166660262E-2</v>
      </c>
      <c r="R114" s="545">
        <f t="shared" si="22"/>
        <v>0.10393357017857532</v>
      </c>
      <c r="S114" s="545">
        <f t="shared" si="22"/>
        <v>9.6091416699129982E-3</v>
      </c>
      <c r="T114" s="545">
        <f>(T113-S113)/S113</f>
        <v>1.3633440514469453E-2</v>
      </c>
      <c r="U114" s="546">
        <f>(U113-T113)/T113</f>
        <v>0.10766400203019921</v>
      </c>
      <c r="V114" s="546">
        <f>(V113-U113)/U113</f>
        <v>-8.9352196574832461E-3</v>
      </c>
      <c r="W114" s="547"/>
      <c r="X114" s="547"/>
      <c r="Y114" s="547"/>
      <c r="Z114" s="547"/>
      <c r="AA114" s="538"/>
    </row>
    <row r="115" spans="1:27" ht="4.5" customHeight="1">
      <c r="A115" s="139"/>
      <c r="E115" s="138"/>
      <c r="F115" s="509"/>
      <c r="G115" s="509"/>
      <c r="R115" s="114"/>
      <c r="S115" s="114"/>
      <c r="T115" s="114"/>
      <c r="U115" s="509"/>
      <c r="V115" s="509"/>
      <c r="W115" s="538"/>
      <c r="X115" s="538"/>
      <c r="Y115" s="538"/>
      <c r="Z115" s="538"/>
      <c r="AA115" s="538"/>
    </row>
    <row r="116" spans="1:27">
      <c r="A116" s="139"/>
      <c r="D116" s="146" t="s">
        <v>168</v>
      </c>
      <c r="R116" s="114"/>
      <c r="S116" s="114"/>
      <c r="T116" s="114"/>
      <c r="U116" s="509"/>
      <c r="V116" s="509"/>
      <c r="W116" s="538"/>
      <c r="X116" s="538"/>
      <c r="Y116" s="538"/>
      <c r="Z116" s="538"/>
      <c r="AA116" s="538"/>
    </row>
    <row r="117" spans="1:27">
      <c r="A117" s="139">
        <v>13</v>
      </c>
      <c r="C117" s="138" t="s">
        <v>36</v>
      </c>
      <c r="D117" s="146"/>
      <c r="E117" s="536" t="s">
        <v>484</v>
      </c>
      <c r="F117" s="113">
        <f>F26</f>
        <v>314</v>
      </c>
      <c r="G117" s="113">
        <f t="shared" ref="G117:R117" si="23">G26</f>
        <v>314</v>
      </c>
      <c r="H117" s="113">
        <f t="shared" si="23"/>
        <v>297</v>
      </c>
      <c r="I117" s="113">
        <f t="shared" si="23"/>
        <v>309</v>
      </c>
      <c r="J117" s="113">
        <f t="shared" si="23"/>
        <v>309</v>
      </c>
      <c r="K117" s="113">
        <f t="shared" si="23"/>
        <v>310</v>
      </c>
      <c r="L117" s="113">
        <f t="shared" si="23"/>
        <v>312</v>
      </c>
      <c r="M117" s="113">
        <f t="shared" si="23"/>
        <v>310</v>
      </c>
      <c r="N117" s="113">
        <f t="shared" si="23"/>
        <v>276</v>
      </c>
      <c r="O117" s="113">
        <f t="shared" si="23"/>
        <v>393</v>
      </c>
      <c r="P117" s="113">
        <f t="shared" si="23"/>
        <v>348</v>
      </c>
      <c r="Q117" s="113">
        <f t="shared" si="23"/>
        <v>395</v>
      </c>
      <c r="R117" s="113">
        <f t="shared" si="23"/>
        <v>438</v>
      </c>
      <c r="S117" s="113">
        <f>S26</f>
        <v>380</v>
      </c>
      <c r="T117" s="113">
        <f>T26</f>
        <v>402</v>
      </c>
      <c r="U117" s="110">
        <f>U26</f>
        <v>439</v>
      </c>
      <c r="V117" s="110">
        <f>V26</f>
        <v>492</v>
      </c>
      <c r="W117" s="538"/>
      <c r="X117" s="538"/>
      <c r="Y117" s="538"/>
      <c r="Z117" s="538"/>
      <c r="AA117" s="538"/>
    </row>
    <row r="118" spans="1:27">
      <c r="A118" s="139">
        <v>14</v>
      </c>
      <c r="C118" s="138" t="s">
        <v>40</v>
      </c>
      <c r="E118" s="536" t="s">
        <v>485</v>
      </c>
      <c r="F118" s="113">
        <f>F32</f>
        <v>4184</v>
      </c>
      <c r="G118" s="113">
        <f t="shared" ref="G118:R118" si="24">G32</f>
        <v>4390</v>
      </c>
      <c r="H118" s="113">
        <f t="shared" si="24"/>
        <v>4496</v>
      </c>
      <c r="I118" s="113">
        <f t="shared" si="24"/>
        <v>4707</v>
      </c>
      <c r="J118" s="113">
        <f t="shared" si="24"/>
        <v>4902</v>
      </c>
      <c r="K118" s="113">
        <f t="shared" si="24"/>
        <v>5088</v>
      </c>
      <c r="L118" s="113">
        <f t="shared" si="24"/>
        <v>5369</v>
      </c>
      <c r="M118" s="113">
        <f t="shared" si="24"/>
        <v>5605</v>
      </c>
      <c r="N118" s="113">
        <f t="shared" si="24"/>
        <v>5673</v>
      </c>
      <c r="O118" s="113">
        <f t="shared" si="24"/>
        <v>6064</v>
      </c>
      <c r="P118" s="113">
        <f t="shared" si="24"/>
        <v>6367</v>
      </c>
      <c r="Q118" s="113">
        <f t="shared" si="24"/>
        <v>6649</v>
      </c>
      <c r="R118" s="113">
        <f t="shared" si="24"/>
        <v>6978</v>
      </c>
      <c r="S118" s="113">
        <f>S32</f>
        <v>7925</v>
      </c>
      <c r="T118" s="113">
        <f>T32</f>
        <v>8513</v>
      </c>
      <c r="U118" s="110">
        <f>U32</f>
        <v>9088</v>
      </c>
      <c r="V118" s="110">
        <f>V32</f>
        <v>9866</v>
      </c>
      <c r="W118" s="137"/>
      <c r="X118" s="886"/>
      <c r="Y118" s="886"/>
      <c r="Z118" s="886"/>
      <c r="AA118" s="137"/>
    </row>
    <row r="119" spans="1:27">
      <c r="A119" s="139">
        <v>15</v>
      </c>
      <c r="C119" s="112" t="s">
        <v>45</v>
      </c>
      <c r="E119" s="536" t="s">
        <v>487</v>
      </c>
      <c r="F119" s="113">
        <f>F42</f>
        <v>1027</v>
      </c>
      <c r="G119" s="113">
        <f t="shared" ref="G119:R119" si="25">G42</f>
        <v>1020</v>
      </c>
      <c r="H119" s="113">
        <f t="shared" si="25"/>
        <v>1275</v>
      </c>
      <c r="I119" s="113">
        <f t="shared" si="25"/>
        <v>1363</v>
      </c>
      <c r="J119" s="113">
        <f t="shared" si="25"/>
        <v>1180</v>
      </c>
      <c r="K119" s="113">
        <f t="shared" si="25"/>
        <v>1343</v>
      </c>
      <c r="L119" s="113">
        <f t="shared" si="25"/>
        <v>1282</v>
      </c>
      <c r="M119" s="113">
        <f t="shared" si="25"/>
        <v>1498</v>
      </c>
      <c r="N119" s="113">
        <f t="shared" si="25"/>
        <v>1803</v>
      </c>
      <c r="O119" s="113">
        <f t="shared" si="25"/>
        <v>1999</v>
      </c>
      <c r="P119" s="113">
        <f t="shared" si="25"/>
        <v>2412</v>
      </c>
      <c r="Q119" s="113">
        <f t="shared" si="25"/>
        <v>2734</v>
      </c>
      <c r="R119" s="113">
        <f t="shared" si="25"/>
        <v>3276</v>
      </c>
      <c r="S119" s="113">
        <f>S42</f>
        <v>3868</v>
      </c>
      <c r="T119" s="113">
        <f>T42</f>
        <v>4389</v>
      </c>
      <c r="U119" s="110">
        <f>U42</f>
        <v>5649</v>
      </c>
      <c r="V119" s="110">
        <f>V42</f>
        <v>6260</v>
      </c>
      <c r="W119" s="541"/>
      <c r="X119" s="541"/>
      <c r="Y119" s="541"/>
      <c r="Z119" s="541"/>
      <c r="AA119" s="137"/>
    </row>
    <row r="120" spans="1:27" ht="12.75" thickBot="1">
      <c r="A120" s="139">
        <v>16</v>
      </c>
      <c r="B120" s="549" t="s">
        <v>489</v>
      </c>
      <c r="E120" s="536"/>
      <c r="F120" s="550">
        <f>SUM(F117:F119)</f>
        <v>5525</v>
      </c>
      <c r="G120" s="550">
        <f t="shared" ref="G120:R120" si="26">SUM(G117:G119)</f>
        <v>5724</v>
      </c>
      <c r="H120" s="550">
        <f t="shared" si="26"/>
        <v>6068</v>
      </c>
      <c r="I120" s="550">
        <f t="shared" si="26"/>
        <v>6379</v>
      </c>
      <c r="J120" s="550">
        <f t="shared" si="26"/>
        <v>6391</v>
      </c>
      <c r="K120" s="550">
        <f t="shared" si="26"/>
        <v>6741</v>
      </c>
      <c r="L120" s="550">
        <f t="shared" si="26"/>
        <v>6963</v>
      </c>
      <c r="M120" s="550">
        <f t="shared" si="26"/>
        <v>7413</v>
      </c>
      <c r="N120" s="550">
        <f t="shared" si="26"/>
        <v>7752</v>
      </c>
      <c r="O120" s="550">
        <f t="shared" si="26"/>
        <v>8456</v>
      </c>
      <c r="P120" s="550">
        <f t="shared" si="26"/>
        <v>9127</v>
      </c>
      <c r="Q120" s="550">
        <f t="shared" si="26"/>
        <v>9778</v>
      </c>
      <c r="R120" s="550">
        <f t="shared" si="26"/>
        <v>10692</v>
      </c>
      <c r="S120" s="550">
        <f>SUM(S117:S119)</f>
        <v>12173</v>
      </c>
      <c r="T120" s="550">
        <f>SUM(T117:T119)</f>
        <v>13304</v>
      </c>
      <c r="U120" s="543">
        <f>SUM(U117:U119)</f>
        <v>15176</v>
      </c>
      <c r="V120" s="543">
        <f>SUM(V117:V119)</f>
        <v>16618</v>
      </c>
      <c r="W120" s="551"/>
      <c r="X120" s="551"/>
      <c r="Y120" s="551"/>
      <c r="Z120" s="551"/>
      <c r="AA120" s="137"/>
    </row>
    <row r="121" spans="1:27" ht="12.75" thickTop="1">
      <c r="A121" s="139"/>
      <c r="B121" s="146"/>
      <c r="D121" s="112" t="s">
        <v>483</v>
      </c>
      <c r="E121" s="536"/>
      <c r="F121" s="552"/>
      <c r="G121" s="545">
        <f>(G120-F120)/F120</f>
        <v>3.6018099547511312E-2</v>
      </c>
      <c r="H121" s="545">
        <f t="shared" ref="H121:V121" si="27">(H120-G120)/G120</f>
        <v>6.0097833682739341E-2</v>
      </c>
      <c r="I121" s="545">
        <f t="shared" si="27"/>
        <v>5.1252471984179301E-2</v>
      </c>
      <c r="J121" s="545">
        <f t="shared" si="27"/>
        <v>1.8811725975858284E-3</v>
      </c>
      <c r="K121" s="545">
        <f t="shared" si="27"/>
        <v>5.4764512595837894E-2</v>
      </c>
      <c r="L121" s="545">
        <f t="shared" si="27"/>
        <v>3.2932799287939477E-2</v>
      </c>
      <c r="M121" s="545">
        <f t="shared" si="27"/>
        <v>6.4627315812149935E-2</v>
      </c>
      <c r="N121" s="545">
        <f t="shared" si="27"/>
        <v>4.5730473492513156E-2</v>
      </c>
      <c r="O121" s="545">
        <f t="shared" si="27"/>
        <v>9.0815273477812181E-2</v>
      </c>
      <c r="P121" s="545">
        <f t="shared" si="27"/>
        <v>7.9351939451277206E-2</v>
      </c>
      <c r="Q121" s="545">
        <f t="shared" si="27"/>
        <v>7.1326832475073959E-2</v>
      </c>
      <c r="R121" s="545">
        <f t="shared" si="27"/>
        <v>9.3475148292084267E-2</v>
      </c>
      <c r="S121" s="545">
        <f t="shared" si="27"/>
        <v>0.1385147774036663</v>
      </c>
      <c r="T121" s="545">
        <f t="shared" si="27"/>
        <v>9.2910539719050361E-2</v>
      </c>
      <c r="U121" s="546">
        <f t="shared" si="27"/>
        <v>0.1407095610342754</v>
      </c>
      <c r="V121" s="546">
        <f t="shared" si="27"/>
        <v>9.5018450184501849E-2</v>
      </c>
      <c r="W121" s="553"/>
      <c r="X121" s="547"/>
      <c r="Y121" s="547"/>
      <c r="Z121" s="547"/>
      <c r="AA121" s="137"/>
    </row>
    <row r="122" spans="1:27" ht="5.25" customHeight="1">
      <c r="A122" s="139"/>
      <c r="E122" s="536"/>
      <c r="F122" s="113"/>
      <c r="R122" s="114"/>
      <c r="S122" s="114"/>
      <c r="T122" s="114"/>
      <c r="U122" s="509"/>
      <c r="V122" s="509"/>
      <c r="W122" s="137"/>
      <c r="X122" s="700"/>
      <c r="Y122" s="137"/>
      <c r="Z122" s="137"/>
      <c r="AA122" s="137"/>
    </row>
    <row r="123" spans="1:27">
      <c r="A123" s="139"/>
      <c r="D123" s="112" t="s">
        <v>490</v>
      </c>
      <c r="E123" s="536"/>
      <c r="F123" s="113"/>
      <c r="R123" s="114"/>
      <c r="S123" s="114"/>
      <c r="T123" s="114"/>
      <c r="U123" s="509"/>
      <c r="V123" s="509"/>
      <c r="W123" s="137"/>
      <c r="X123" s="137"/>
      <c r="Y123" s="137"/>
      <c r="Z123" s="137"/>
      <c r="AA123" s="137"/>
    </row>
    <row r="124" spans="1:27">
      <c r="A124" s="139">
        <v>17</v>
      </c>
      <c r="B124" s="146" t="s">
        <v>379</v>
      </c>
      <c r="D124" s="146"/>
      <c r="E124" s="536" t="s">
        <v>491</v>
      </c>
      <c r="F124" s="113">
        <f>F43</f>
        <v>0</v>
      </c>
      <c r="G124" s="113">
        <f t="shared" ref="G124:R124" si="28">G43</f>
        <v>167</v>
      </c>
      <c r="H124" s="113">
        <f t="shared" si="28"/>
        <v>185</v>
      </c>
      <c r="I124" s="113">
        <f t="shared" si="28"/>
        <v>159</v>
      </c>
      <c r="J124" s="113">
        <f t="shared" si="28"/>
        <v>169</v>
      </c>
      <c r="K124" s="113">
        <f t="shared" si="28"/>
        <v>0</v>
      </c>
      <c r="L124" s="113">
        <f t="shared" si="28"/>
        <v>0</v>
      </c>
      <c r="M124" s="113">
        <f t="shared" si="28"/>
        <v>-815</v>
      </c>
      <c r="N124" s="113">
        <f t="shared" si="28"/>
        <v>-242</v>
      </c>
      <c r="O124" s="113">
        <f t="shared" si="28"/>
        <v>440</v>
      </c>
      <c r="P124" s="113">
        <f t="shared" si="28"/>
        <v>216</v>
      </c>
      <c r="Q124" s="113">
        <f t="shared" si="28"/>
        <v>-186</v>
      </c>
      <c r="R124" s="113">
        <f t="shared" si="28"/>
        <v>171</v>
      </c>
      <c r="S124" s="110">
        <f>S43</f>
        <v>91</v>
      </c>
      <c r="T124" s="110">
        <f>T43</f>
        <v>-91</v>
      </c>
      <c r="U124" s="110">
        <f>U43</f>
        <v>-2087</v>
      </c>
      <c r="V124" s="110">
        <f>V43</f>
        <v>1079</v>
      </c>
    </row>
    <row r="125" spans="1:27">
      <c r="A125" s="139">
        <v>18</v>
      </c>
      <c r="B125" s="138"/>
      <c r="C125" s="138" t="str">
        <f>C112</f>
        <v>Deduct Decoupling Surcharge/Rebate Expenses</v>
      </c>
      <c r="F125" s="113">
        <f>-'Reg Amort and Other RB'!E22</f>
        <v>0</v>
      </c>
      <c r="G125" s="113">
        <f>-'Reg Amort and Other RB'!F22</f>
        <v>0</v>
      </c>
      <c r="H125" s="113">
        <f>-'Reg Amort and Other RB'!G22</f>
        <v>0</v>
      </c>
      <c r="I125" s="113">
        <f>-'Reg Amort and Other RB'!H22</f>
        <v>0</v>
      </c>
      <c r="J125" s="113">
        <f>-'Reg Amort and Other RB'!I22</f>
        <v>0</v>
      </c>
      <c r="K125" s="113">
        <f>-'Reg Amort and Other RB'!J22</f>
        <v>0</v>
      </c>
      <c r="L125" s="113">
        <f>-'Reg Amort and Other RB'!K22</f>
        <v>0</v>
      </c>
      <c r="M125" s="113">
        <f>-'Reg Amort and Other RB'!L22</f>
        <v>-85</v>
      </c>
      <c r="N125" s="113">
        <f>-'Reg Amort and Other RB'!M22</f>
        <v>-432</v>
      </c>
      <c r="O125" s="113">
        <f>-'Reg Amort and Other RB'!N22</f>
        <v>-710</v>
      </c>
      <c r="P125" s="113">
        <f>-'Reg Amort and Other RB'!O22</f>
        <v>-494</v>
      </c>
      <c r="Q125" s="113">
        <f>-'Reg Amort and Other RB'!P22</f>
        <v>-494</v>
      </c>
      <c r="R125" s="113">
        <f>-'Reg Amort and Other RB'!Q22</f>
        <v>-184</v>
      </c>
      <c r="S125" s="110">
        <f>-'Reg Amort and Other RB'!R22</f>
        <v>0</v>
      </c>
      <c r="T125" s="110">
        <f>-'Reg Amort and Other RB'!S22</f>
        <v>0</v>
      </c>
      <c r="U125" s="110">
        <f>-'Reg Amort and Other RB'!T22</f>
        <v>0</v>
      </c>
      <c r="V125" s="110">
        <f>-'Reg Amort and Other RB'!U22</f>
        <v>0</v>
      </c>
    </row>
    <row r="126" spans="1:27" ht="12.75" thickBot="1">
      <c r="A126" s="139">
        <v>19</v>
      </c>
      <c r="B126" s="542" t="s">
        <v>492</v>
      </c>
      <c r="C126" s="542"/>
      <c r="D126" s="554"/>
      <c r="E126" s="554"/>
      <c r="F126" s="550">
        <f t="shared" ref="F126:R126" si="29">SUM(F124:F125)</f>
        <v>0</v>
      </c>
      <c r="G126" s="550">
        <f t="shared" si="29"/>
        <v>167</v>
      </c>
      <c r="H126" s="550">
        <f t="shared" si="29"/>
        <v>185</v>
      </c>
      <c r="I126" s="550">
        <f t="shared" si="29"/>
        <v>159</v>
      </c>
      <c r="J126" s="550">
        <f t="shared" si="29"/>
        <v>169</v>
      </c>
      <c r="K126" s="550">
        <f t="shared" si="29"/>
        <v>0</v>
      </c>
      <c r="L126" s="550">
        <f t="shared" si="29"/>
        <v>0</v>
      </c>
      <c r="M126" s="550">
        <f t="shared" si="29"/>
        <v>-900</v>
      </c>
      <c r="N126" s="550">
        <f t="shared" si="29"/>
        <v>-674</v>
      </c>
      <c r="O126" s="550">
        <f t="shared" si="29"/>
        <v>-270</v>
      </c>
      <c r="P126" s="550">
        <f t="shared" si="29"/>
        <v>-278</v>
      </c>
      <c r="Q126" s="550">
        <f t="shared" si="29"/>
        <v>-680</v>
      </c>
      <c r="R126" s="550">
        <f t="shared" si="29"/>
        <v>-13</v>
      </c>
      <c r="S126" s="543">
        <f>SUM(S124:S125)</f>
        <v>91</v>
      </c>
      <c r="T126" s="543">
        <f>SUM(T124:T125)</f>
        <v>-91</v>
      </c>
      <c r="U126" s="543">
        <f>SUM(U124:U125)</f>
        <v>-2087</v>
      </c>
      <c r="V126" s="543">
        <f>SUM(V124:V125)</f>
        <v>1079</v>
      </c>
    </row>
    <row r="127" spans="1:27" ht="3" customHeight="1" thickTop="1">
      <c r="A127" s="139"/>
      <c r="R127" s="114"/>
      <c r="S127" s="114"/>
      <c r="T127" s="114"/>
      <c r="U127" s="509"/>
      <c r="V127" s="509"/>
    </row>
    <row r="128" spans="1:27">
      <c r="A128" s="139"/>
      <c r="D128" s="112" t="s">
        <v>493</v>
      </c>
      <c r="R128" s="114"/>
      <c r="S128" s="114"/>
      <c r="T128" s="114"/>
      <c r="U128" s="509"/>
      <c r="V128" s="509"/>
    </row>
    <row r="129" spans="1:26">
      <c r="A129" s="139">
        <v>20</v>
      </c>
      <c r="C129" s="138" t="s">
        <v>36</v>
      </c>
      <c r="D129" s="146"/>
      <c r="E129" s="536" t="s">
        <v>494</v>
      </c>
      <c r="F129" s="113">
        <f>F27</f>
        <v>111</v>
      </c>
      <c r="G129" s="113">
        <f t="shared" ref="G129:R129" si="30">G27</f>
        <v>108</v>
      </c>
      <c r="H129" s="113">
        <f t="shared" si="30"/>
        <v>120</v>
      </c>
      <c r="I129" s="113">
        <f t="shared" si="30"/>
        <v>118</v>
      </c>
      <c r="J129" s="113">
        <f t="shared" si="30"/>
        <v>120</v>
      </c>
      <c r="K129" s="113">
        <f t="shared" si="30"/>
        <v>115</v>
      </c>
      <c r="L129" s="113">
        <f t="shared" si="30"/>
        <v>122</v>
      </c>
      <c r="M129" s="113">
        <f t="shared" si="30"/>
        <v>95</v>
      </c>
      <c r="N129" s="113">
        <f t="shared" si="30"/>
        <v>113</v>
      </c>
      <c r="O129" s="113">
        <f t="shared" si="30"/>
        <v>121</v>
      </c>
      <c r="P129" s="113">
        <f t="shared" si="30"/>
        <v>116</v>
      </c>
      <c r="Q129" s="113">
        <f t="shared" si="30"/>
        <v>19</v>
      </c>
      <c r="R129" s="113">
        <f t="shared" si="30"/>
        <v>17</v>
      </c>
      <c r="S129" s="113">
        <f>S27</f>
        <v>158</v>
      </c>
      <c r="T129" s="113">
        <f>T27</f>
        <v>184</v>
      </c>
      <c r="U129" s="110">
        <f>U27</f>
        <v>196</v>
      </c>
      <c r="V129" s="110">
        <f>V27</f>
        <v>210</v>
      </c>
    </row>
    <row r="130" spans="1:26">
      <c r="A130" s="139">
        <v>21</v>
      </c>
      <c r="C130" s="138" t="s">
        <v>40</v>
      </c>
      <c r="E130" s="536" t="s">
        <v>495</v>
      </c>
      <c r="F130" s="113">
        <f>F33</f>
        <v>4919</v>
      </c>
      <c r="G130" s="113">
        <f t="shared" ref="G130:R130" si="31">G33</f>
        <v>7315</v>
      </c>
      <c r="H130" s="113">
        <f t="shared" si="31"/>
        <v>8070</v>
      </c>
      <c r="I130" s="113">
        <f t="shared" si="31"/>
        <v>7205</v>
      </c>
      <c r="J130" s="113">
        <f t="shared" si="31"/>
        <v>8213</v>
      </c>
      <c r="K130" s="113">
        <f t="shared" si="31"/>
        <v>8573</v>
      </c>
      <c r="L130" s="113">
        <f t="shared" si="31"/>
        <v>9457</v>
      </c>
      <c r="M130" s="113">
        <f t="shared" si="31"/>
        <v>9844</v>
      </c>
      <c r="N130" s="113">
        <f t="shared" si="31"/>
        <v>8941</v>
      </c>
      <c r="O130" s="113">
        <f t="shared" si="31"/>
        <v>8746</v>
      </c>
      <c r="P130" s="113">
        <f t="shared" si="31"/>
        <v>7223</v>
      </c>
      <c r="Q130" s="113">
        <f t="shared" si="31"/>
        <v>8050.6743270000006</v>
      </c>
      <c r="R130" s="113">
        <f t="shared" si="31"/>
        <v>7825</v>
      </c>
      <c r="S130" s="113">
        <f>S33</f>
        <v>8116</v>
      </c>
      <c r="T130" s="113">
        <f>T33</f>
        <v>8719</v>
      </c>
      <c r="U130" s="110">
        <f>U33</f>
        <v>8554</v>
      </c>
      <c r="V130" s="110">
        <f>V33</f>
        <v>8383</v>
      </c>
    </row>
    <row r="131" spans="1:26">
      <c r="A131" s="139">
        <v>22</v>
      </c>
      <c r="C131" s="112" t="s">
        <v>45</v>
      </c>
      <c r="E131" s="536" t="s">
        <v>496</v>
      </c>
      <c r="F131" s="113">
        <f>F44</f>
        <v>22</v>
      </c>
      <c r="G131" s="113">
        <f t="shared" ref="G131:R131" si="32">G44</f>
        <v>21</v>
      </c>
      <c r="H131" s="113">
        <f t="shared" si="32"/>
        <v>23</v>
      </c>
      <c r="I131" s="113">
        <f t="shared" si="32"/>
        <v>24</v>
      </c>
      <c r="J131" s="113">
        <f t="shared" si="32"/>
        <v>24</v>
      </c>
      <c r="K131" s="113">
        <f t="shared" si="32"/>
        <v>23</v>
      </c>
      <c r="L131" s="113">
        <f t="shared" si="32"/>
        <v>24</v>
      </c>
      <c r="M131" s="113">
        <f t="shared" si="32"/>
        <v>20</v>
      </c>
      <c r="N131" s="113">
        <f t="shared" si="32"/>
        <v>17</v>
      </c>
      <c r="O131" s="113">
        <f t="shared" si="32"/>
        <v>19</v>
      </c>
      <c r="P131" s="113">
        <f t="shared" si="32"/>
        <v>24</v>
      </c>
      <c r="Q131" s="113">
        <f t="shared" si="32"/>
        <v>0</v>
      </c>
      <c r="R131" s="113">
        <f t="shared" si="32"/>
        <v>-1</v>
      </c>
      <c r="S131" s="113">
        <f>S44</f>
        <v>0</v>
      </c>
      <c r="T131" s="113">
        <f>T44</f>
        <v>0</v>
      </c>
      <c r="U131" s="110">
        <f>U44</f>
        <v>0</v>
      </c>
      <c r="V131" s="110">
        <f>V44</f>
        <v>0</v>
      </c>
    </row>
    <row r="132" spans="1:26">
      <c r="A132" s="139">
        <v>23</v>
      </c>
      <c r="B132" s="112" t="s">
        <v>497</v>
      </c>
      <c r="F132" s="555">
        <f>F27+F33+F44</f>
        <v>5052</v>
      </c>
      <c r="G132" s="555">
        <f t="shared" ref="G132:R132" si="33">G27+G33+G44</f>
        <v>7444</v>
      </c>
      <c r="H132" s="555">
        <f t="shared" si="33"/>
        <v>8213</v>
      </c>
      <c r="I132" s="555">
        <f t="shared" si="33"/>
        <v>7347</v>
      </c>
      <c r="J132" s="555">
        <f t="shared" si="33"/>
        <v>8357</v>
      </c>
      <c r="K132" s="555">
        <f t="shared" si="33"/>
        <v>8711</v>
      </c>
      <c r="L132" s="555">
        <f t="shared" si="33"/>
        <v>9603</v>
      </c>
      <c r="M132" s="555">
        <f t="shared" si="33"/>
        <v>9959</v>
      </c>
      <c r="N132" s="555">
        <f t="shared" si="33"/>
        <v>9071</v>
      </c>
      <c r="O132" s="555">
        <f t="shared" si="33"/>
        <v>8886</v>
      </c>
      <c r="P132" s="555">
        <f t="shared" si="33"/>
        <v>7363</v>
      </c>
      <c r="Q132" s="555">
        <f t="shared" si="33"/>
        <v>8069.6743270000006</v>
      </c>
      <c r="R132" s="555">
        <f t="shared" si="33"/>
        <v>7841</v>
      </c>
      <c r="S132" s="555">
        <f>S27+S33+S44</f>
        <v>8274</v>
      </c>
      <c r="T132" s="555">
        <f>T27+T33+T44</f>
        <v>8903</v>
      </c>
      <c r="U132" s="537">
        <f>U27+U33+U44</f>
        <v>8750</v>
      </c>
      <c r="V132" s="537">
        <f>V27+V33+V44</f>
        <v>8593</v>
      </c>
    </row>
    <row r="133" spans="1:26">
      <c r="A133" s="139">
        <v>24</v>
      </c>
      <c r="B133" s="138"/>
      <c r="C133" s="138" t="s">
        <v>498</v>
      </c>
      <c r="F133" s="110">
        <f>'Riders and Gas Cost Revenue'!H32</f>
        <v>-2304</v>
      </c>
      <c r="G133" s="110">
        <f>'Riders and Gas Cost Revenue'!J32</f>
        <v>-4287</v>
      </c>
      <c r="H133" s="110">
        <f>'Riders and Gas Cost Revenue'!L32</f>
        <v>-4425</v>
      </c>
      <c r="I133" s="110">
        <f>'Riders and Gas Cost Revenue'!N32</f>
        <v>-3899</v>
      </c>
      <c r="J133" s="110">
        <f>'Riders and Gas Cost Revenue'!P32</f>
        <v>-4592</v>
      </c>
      <c r="K133" s="110">
        <f>'Riders and Gas Cost Revenue'!R32</f>
        <v>-5240</v>
      </c>
      <c r="L133" s="110">
        <f>'Riders and Gas Cost Revenue'!T32</f>
        <v>-6014</v>
      </c>
      <c r="M133" s="110">
        <f>'Riders and Gas Cost Revenue'!W32</f>
        <v>-6261</v>
      </c>
      <c r="N133" s="110">
        <f>'Riders and Gas Cost Revenue'!Z32</f>
        <v>-5917</v>
      </c>
      <c r="O133" s="110">
        <f>'Riders and Gas Cost Revenue'!AC32</f>
        <v>-4858</v>
      </c>
      <c r="P133" s="110">
        <f>'Riders and Gas Cost Revenue'!AF32</f>
        <v>-3171</v>
      </c>
      <c r="Q133" s="110">
        <f>'Riders and Gas Cost Revenue'!AI32</f>
        <v>-3374</v>
      </c>
      <c r="R133" s="110">
        <f>'Riders and Gas Cost Revenue'!AL32</f>
        <v>-3003</v>
      </c>
      <c r="S133" s="110">
        <f>'Riders and Gas Cost Revenue'!AO32</f>
        <v>-3083</v>
      </c>
      <c r="T133" s="110">
        <f>'Riders and Gas Cost Revenue'!AR32</f>
        <v>-3380</v>
      </c>
      <c r="U133" s="110">
        <f>'Riders and Gas Cost Revenue'!AU32</f>
        <v>-3197</v>
      </c>
      <c r="V133" s="110">
        <f>'Riders and Gas Cost Revenue'!AX32</f>
        <v>-2548</v>
      </c>
    </row>
    <row r="134" spans="1:26">
      <c r="A134" s="139">
        <v>25</v>
      </c>
      <c r="C134" s="112" t="s">
        <v>499</v>
      </c>
      <c r="F134" s="113">
        <f>'Riders and Gas Cost Revenue'!G32</f>
        <v>0</v>
      </c>
      <c r="G134" s="113">
        <f>'Riders and Gas Cost Revenue'!I32</f>
        <v>-38</v>
      </c>
      <c r="H134" s="113">
        <f>'Riders and Gas Cost Revenue'!K32</f>
        <v>-68</v>
      </c>
      <c r="I134" s="113">
        <f>'Riders and Gas Cost Revenue'!M32</f>
        <v>-81</v>
      </c>
      <c r="J134" s="113">
        <f>'Riders and Gas Cost Revenue'!O32</f>
        <v>0</v>
      </c>
      <c r="K134" s="113">
        <f>'Riders and Gas Cost Revenue'!Q32</f>
        <v>-114</v>
      </c>
      <c r="L134" s="113">
        <f>'Riders and Gas Cost Revenue'!S32</f>
        <v>0</v>
      </c>
      <c r="M134" s="113">
        <f>'Riders and Gas Cost Revenue'!U32</f>
        <v>-154</v>
      </c>
      <c r="N134" s="113">
        <f>'Riders and Gas Cost Revenue'!X32</f>
        <v>-176</v>
      </c>
      <c r="O134" s="113">
        <f>'Riders and Gas Cost Revenue'!AA32</f>
        <v>-272</v>
      </c>
      <c r="P134" s="113">
        <f>'Riders and Gas Cost Revenue'!AD32</f>
        <v>-338</v>
      </c>
      <c r="Q134" s="113">
        <f>'Riders and Gas Cost Revenue'!AG32</f>
        <v>-359</v>
      </c>
      <c r="R134" s="113">
        <f>'Riders and Gas Cost Revenue'!AJ32</f>
        <v>-239</v>
      </c>
      <c r="S134" s="113">
        <v>0</v>
      </c>
      <c r="T134" s="113">
        <v>0</v>
      </c>
      <c r="U134" s="113">
        <v>0</v>
      </c>
      <c r="V134" s="110">
        <v>0</v>
      </c>
    </row>
    <row r="135" spans="1:26">
      <c r="A135" s="139">
        <v>26</v>
      </c>
      <c r="C135" s="112" t="s">
        <v>500</v>
      </c>
      <c r="F135" s="556">
        <v>0</v>
      </c>
      <c r="G135" s="556">
        <v>0</v>
      </c>
      <c r="H135" s="556">
        <v>0</v>
      </c>
      <c r="I135" s="556">
        <v>0</v>
      </c>
      <c r="J135" s="556">
        <v>0</v>
      </c>
      <c r="K135" s="556">
        <v>0</v>
      </c>
      <c r="L135" s="556">
        <v>0</v>
      </c>
      <c r="M135" s="556">
        <f>'Riders and Gas Cost Revenue'!V32</f>
        <v>-3</v>
      </c>
      <c r="N135" s="556">
        <f>'Riders and Gas Cost Revenue'!Y32</f>
        <v>-17</v>
      </c>
      <c r="O135" s="556">
        <f>'Riders and Gas Cost Revenue'!AB32</f>
        <v>-28</v>
      </c>
      <c r="P135" s="556">
        <f>'Riders and Gas Cost Revenue'!AE32</f>
        <v>-20</v>
      </c>
      <c r="Q135" s="556">
        <f>'Riders and Gas Cost Revenue'!AH32</f>
        <v>-20</v>
      </c>
      <c r="R135" s="556">
        <f>'Riders and Gas Cost Revenue'!AK32</f>
        <v>-7</v>
      </c>
      <c r="S135" s="556">
        <v>0</v>
      </c>
      <c r="T135" s="556">
        <v>0</v>
      </c>
      <c r="U135" s="556">
        <v>0</v>
      </c>
      <c r="V135" s="540">
        <v>0</v>
      </c>
    </row>
    <row r="136" spans="1:26" ht="12.75" thickBot="1">
      <c r="A136" s="139">
        <v>27</v>
      </c>
      <c r="B136" s="554" t="s">
        <v>501</v>
      </c>
      <c r="C136" s="554"/>
      <c r="D136" s="554"/>
      <c r="E136" s="554"/>
      <c r="F136" s="550">
        <f>SUM(F132:F135)</f>
        <v>2748</v>
      </c>
      <c r="G136" s="550">
        <f t="shared" ref="G136:V136" si="34">SUM(G132:G135)</f>
        <v>3119</v>
      </c>
      <c r="H136" s="550">
        <f t="shared" si="34"/>
        <v>3720</v>
      </c>
      <c r="I136" s="550">
        <f t="shared" si="34"/>
        <v>3367</v>
      </c>
      <c r="J136" s="550">
        <f t="shared" si="34"/>
        <v>3765</v>
      </c>
      <c r="K136" s="550">
        <f t="shared" si="34"/>
        <v>3357</v>
      </c>
      <c r="L136" s="550">
        <f t="shared" si="34"/>
        <v>3589</v>
      </c>
      <c r="M136" s="550">
        <f t="shared" si="34"/>
        <v>3541</v>
      </c>
      <c r="N136" s="550">
        <f t="shared" si="34"/>
        <v>2961</v>
      </c>
      <c r="O136" s="550">
        <f t="shared" si="34"/>
        <v>3728</v>
      </c>
      <c r="P136" s="550">
        <f t="shared" si="34"/>
        <v>3834</v>
      </c>
      <c r="Q136" s="550">
        <f t="shared" si="34"/>
        <v>4316.6743270000006</v>
      </c>
      <c r="R136" s="550">
        <f t="shared" si="34"/>
        <v>4592</v>
      </c>
      <c r="S136" s="550">
        <f t="shared" si="34"/>
        <v>5191</v>
      </c>
      <c r="T136" s="550">
        <f t="shared" si="34"/>
        <v>5523</v>
      </c>
      <c r="U136" s="543">
        <f t="shared" si="34"/>
        <v>5553</v>
      </c>
      <c r="V136" s="543">
        <f t="shared" si="34"/>
        <v>6045</v>
      </c>
      <c r="W136" s="137"/>
      <c r="X136" s="881"/>
      <c r="Y136" s="881"/>
      <c r="Z136" s="881"/>
    </row>
    <row r="137" spans="1:26" ht="12.75" thickTop="1">
      <c r="A137" s="557"/>
      <c r="B137" s="554"/>
      <c r="C137" s="554"/>
      <c r="D137" s="112" t="s">
        <v>483</v>
      </c>
      <c r="E137" s="554"/>
      <c r="F137" s="552"/>
      <c r="G137" s="545">
        <f>(G136-F136)/F136</f>
        <v>0.13500727802037846</v>
      </c>
      <c r="H137" s="545">
        <f t="shared" ref="H137:V137" si="35">(H136-G136)/G136</f>
        <v>0.192689964732286</v>
      </c>
      <c r="I137" s="545">
        <f t="shared" si="35"/>
        <v>-9.4892473118279572E-2</v>
      </c>
      <c r="J137" s="545">
        <f t="shared" si="35"/>
        <v>0.1182061182061182</v>
      </c>
      <c r="K137" s="545">
        <f t="shared" si="35"/>
        <v>-0.10836653386454183</v>
      </c>
      <c r="L137" s="545">
        <f t="shared" si="35"/>
        <v>6.9109323801012812E-2</v>
      </c>
      <c r="M137" s="545">
        <f t="shared" si="35"/>
        <v>-1.337419894120925E-2</v>
      </c>
      <c r="N137" s="545">
        <f t="shared" si="35"/>
        <v>-0.16379553798362045</v>
      </c>
      <c r="O137" s="545">
        <f t="shared" si="35"/>
        <v>0.25903411009793986</v>
      </c>
      <c r="P137" s="545">
        <f t="shared" si="35"/>
        <v>2.8433476394849784E-2</v>
      </c>
      <c r="Q137" s="545">
        <f t="shared" si="35"/>
        <v>0.12589314736567569</v>
      </c>
      <c r="R137" s="545">
        <f t="shared" si="35"/>
        <v>6.3781896002181149E-2</v>
      </c>
      <c r="S137" s="545">
        <f t="shared" si="35"/>
        <v>0.13044425087108014</v>
      </c>
      <c r="T137" s="545">
        <f t="shared" si="35"/>
        <v>6.3956848391446733E-2</v>
      </c>
      <c r="U137" s="546">
        <f t="shared" si="35"/>
        <v>5.4318305268875608E-3</v>
      </c>
      <c r="V137" s="546">
        <f t="shared" si="35"/>
        <v>8.8600756347920043E-2</v>
      </c>
      <c r="W137" s="880" t="s">
        <v>486</v>
      </c>
      <c r="X137" s="880"/>
      <c r="Y137" s="880"/>
    </row>
    <row r="138" spans="1:26">
      <c r="A138" s="557"/>
      <c r="B138" s="554"/>
      <c r="C138" s="554"/>
      <c r="E138" s="554"/>
      <c r="F138" s="552"/>
      <c r="G138" s="545"/>
      <c r="H138" s="545"/>
      <c r="I138" s="545"/>
      <c r="J138" s="545"/>
      <c r="K138" s="545"/>
      <c r="L138" s="545"/>
      <c r="M138" s="545"/>
      <c r="N138" s="545"/>
      <c r="O138" s="545"/>
      <c r="P138" s="545"/>
      <c r="Q138" s="545"/>
      <c r="R138" s="545"/>
      <c r="S138" s="545"/>
      <c r="T138" s="545"/>
      <c r="U138" s="546"/>
      <c r="V138" s="546"/>
      <c r="W138" s="548" t="s">
        <v>428</v>
      </c>
      <c r="X138" s="548" t="s">
        <v>433</v>
      </c>
      <c r="Y138" s="548" t="s">
        <v>488</v>
      </c>
    </row>
    <row r="139" spans="1:26" ht="12.75" thickBot="1">
      <c r="A139" s="139">
        <v>28</v>
      </c>
      <c r="B139" s="554" t="s">
        <v>502</v>
      </c>
      <c r="C139" s="554"/>
      <c r="E139" s="536" t="s">
        <v>503</v>
      </c>
      <c r="F139" s="550">
        <f>F84</f>
        <v>124885</v>
      </c>
      <c r="G139" s="550">
        <f t="shared" ref="G139:R139" si="36">G84</f>
        <v>129500</v>
      </c>
      <c r="H139" s="550">
        <f t="shared" si="36"/>
        <v>129740</v>
      </c>
      <c r="I139" s="550">
        <f t="shared" si="36"/>
        <v>125044</v>
      </c>
      <c r="J139" s="550">
        <f t="shared" si="36"/>
        <v>124950</v>
      </c>
      <c r="K139" s="550">
        <f t="shared" si="36"/>
        <v>132617</v>
      </c>
      <c r="L139" s="550">
        <f t="shared" si="36"/>
        <v>140789</v>
      </c>
      <c r="M139" s="550">
        <f t="shared" si="36"/>
        <v>145500</v>
      </c>
      <c r="N139" s="550">
        <f t="shared" si="36"/>
        <v>154054</v>
      </c>
      <c r="O139" s="550">
        <f t="shared" si="36"/>
        <v>173806</v>
      </c>
      <c r="P139" s="550">
        <f t="shared" si="36"/>
        <v>177901</v>
      </c>
      <c r="Q139" s="550">
        <f t="shared" si="36"/>
        <v>183553</v>
      </c>
      <c r="R139" s="550">
        <f t="shared" si="36"/>
        <v>195287</v>
      </c>
      <c r="S139" s="550">
        <f>S84</f>
        <v>207759</v>
      </c>
      <c r="T139" s="550">
        <f>T84</f>
        <v>225901</v>
      </c>
      <c r="U139" s="543">
        <f>U84</f>
        <v>244647</v>
      </c>
      <c r="V139" s="543">
        <f>V84</f>
        <v>262930</v>
      </c>
      <c r="W139" s="543">
        <v>304425</v>
      </c>
      <c r="X139" s="543">
        <v>324728</v>
      </c>
      <c r="Y139" s="543">
        <v>345684</v>
      </c>
    </row>
    <row r="140" spans="1:26" ht="14.25" customHeight="1" thickTop="1" thickBot="1">
      <c r="A140" s="557"/>
      <c r="B140" s="554"/>
      <c r="C140" s="554"/>
      <c r="D140" s="112" t="s">
        <v>483</v>
      </c>
      <c r="E140" s="554"/>
      <c r="F140" s="552"/>
      <c r="G140" s="545">
        <f>(G139-F139)/F139</f>
        <v>3.6953997677863636E-2</v>
      </c>
      <c r="H140" s="545">
        <f t="shared" ref="H140:V140" si="37">(H139-G139)/G139</f>
        <v>1.8532818532818532E-3</v>
      </c>
      <c r="I140" s="545">
        <f t="shared" si="37"/>
        <v>-3.619546785879451E-2</v>
      </c>
      <c r="J140" s="545">
        <f t="shared" si="37"/>
        <v>-7.5173538914302164E-4</v>
      </c>
      <c r="K140" s="545">
        <f t="shared" si="37"/>
        <v>6.1360544217687073E-2</v>
      </c>
      <c r="L140" s="545">
        <f t="shared" si="37"/>
        <v>6.1621059140230888E-2</v>
      </c>
      <c r="M140" s="545">
        <f t="shared" si="37"/>
        <v>3.3461420991696793E-2</v>
      </c>
      <c r="N140" s="545">
        <f t="shared" si="37"/>
        <v>5.8790378006872854E-2</v>
      </c>
      <c r="O140" s="545">
        <f t="shared" si="37"/>
        <v>0.12821478182974802</v>
      </c>
      <c r="P140" s="545">
        <f t="shared" si="37"/>
        <v>2.3560751642636043E-2</v>
      </c>
      <c r="Q140" s="545">
        <f t="shared" si="37"/>
        <v>3.177047908668304E-2</v>
      </c>
      <c r="R140" s="545">
        <f t="shared" si="37"/>
        <v>6.3927040146442723E-2</v>
      </c>
      <c r="S140" s="545">
        <f t="shared" si="37"/>
        <v>6.3864978211555304E-2</v>
      </c>
      <c r="T140" s="545">
        <f t="shared" si="37"/>
        <v>8.7322330199895076E-2</v>
      </c>
      <c r="U140" s="546">
        <f t="shared" si="37"/>
        <v>8.2983253726189796E-2</v>
      </c>
      <c r="V140" s="546">
        <f t="shared" si="37"/>
        <v>7.4732165119539576E-2</v>
      </c>
      <c r="W140" s="546">
        <f>(W139-V139)/V139</f>
        <v>0.1578176701023086</v>
      </c>
      <c r="X140" s="546">
        <f>(X139-W139)/W139</f>
        <v>6.6692945717335958E-2</v>
      </c>
      <c r="Y140" s="546">
        <f>(Y139-X139)/X139</f>
        <v>6.4534010002217243E-2</v>
      </c>
    </row>
    <row r="141" spans="1:26" ht="0.75" hidden="1" customHeight="1">
      <c r="A141" s="557"/>
      <c r="B141" s="554"/>
      <c r="C141" s="554"/>
      <c r="E141" s="554"/>
      <c r="F141" s="552"/>
      <c r="G141" s="545"/>
      <c r="H141" s="545"/>
      <c r="I141" s="545"/>
      <c r="J141" s="545"/>
      <c r="K141" s="545"/>
      <c r="L141" s="545"/>
      <c r="M141" s="545"/>
      <c r="N141" s="545"/>
      <c r="O141" s="545"/>
      <c r="P141" s="545"/>
      <c r="Q141" s="545"/>
      <c r="R141" s="545"/>
      <c r="S141" s="545"/>
      <c r="T141" s="545"/>
      <c r="U141" s="546"/>
      <c r="V141" s="546"/>
      <c r="W141" s="219">
        <f>W140/2</f>
        <v>7.89088350511543E-2</v>
      </c>
    </row>
    <row r="142" spans="1:26" ht="12.75" hidden="1" thickBot="1">
      <c r="A142" s="139">
        <v>29</v>
      </c>
      <c r="B142" s="554" t="s">
        <v>504</v>
      </c>
      <c r="C142" s="554"/>
      <c r="E142" s="536" t="s">
        <v>505</v>
      </c>
      <c r="F142" s="550">
        <f>F91</f>
        <v>130920</v>
      </c>
      <c r="G142" s="550">
        <f t="shared" ref="G142:R142" si="38">G91</f>
        <v>135524</v>
      </c>
      <c r="H142" s="550">
        <f t="shared" si="38"/>
        <v>136362</v>
      </c>
      <c r="I142" s="550">
        <f t="shared" si="38"/>
        <v>131627</v>
      </c>
      <c r="J142" s="550">
        <f t="shared" si="38"/>
        <v>130718</v>
      </c>
      <c r="K142" s="550">
        <f t="shared" si="38"/>
        <v>140796</v>
      </c>
      <c r="L142" s="550">
        <f t="shared" si="38"/>
        <v>149362</v>
      </c>
      <c r="M142" s="550">
        <f t="shared" si="38"/>
        <v>151699</v>
      </c>
      <c r="N142" s="550">
        <f t="shared" si="38"/>
        <v>169681</v>
      </c>
      <c r="O142" s="550">
        <f t="shared" si="38"/>
        <v>180778</v>
      </c>
      <c r="P142" s="550">
        <f t="shared" si="38"/>
        <v>186920</v>
      </c>
      <c r="Q142" s="550">
        <f t="shared" si="38"/>
        <v>196280</v>
      </c>
      <c r="R142" s="550">
        <f t="shared" si="38"/>
        <v>207578</v>
      </c>
      <c r="S142" s="550">
        <f>S91</f>
        <v>224824</v>
      </c>
      <c r="T142" s="550">
        <f>T91</f>
        <v>250257</v>
      </c>
      <c r="U142" s="543">
        <f>U91</f>
        <v>272971</v>
      </c>
      <c r="V142" s="543">
        <f>V91</f>
        <v>286597</v>
      </c>
      <c r="W142" s="137"/>
    </row>
    <row r="143" spans="1:26" hidden="1">
      <c r="A143" s="557"/>
      <c r="B143" s="554"/>
      <c r="C143" s="554"/>
      <c r="E143" s="554"/>
      <c r="F143" s="552"/>
      <c r="G143" s="545">
        <f>(G142-F142)/F142</f>
        <v>3.516651390161931E-2</v>
      </c>
      <c r="H143" s="545">
        <f t="shared" ref="H143:V143" si="39">(H142-G142)/G142</f>
        <v>6.1834066290841474E-3</v>
      </c>
      <c r="I143" s="545">
        <f t="shared" si="39"/>
        <v>-3.4723750018333555E-2</v>
      </c>
      <c r="J143" s="545">
        <f t="shared" si="39"/>
        <v>-6.9058779733641275E-3</v>
      </c>
      <c r="K143" s="545">
        <f t="shared" si="39"/>
        <v>7.709726281001851E-2</v>
      </c>
      <c r="L143" s="545">
        <f t="shared" si="39"/>
        <v>6.0839796585130258E-2</v>
      </c>
      <c r="M143" s="545">
        <f t="shared" si="39"/>
        <v>1.5646549992635341E-2</v>
      </c>
      <c r="N143" s="545">
        <f t="shared" si="39"/>
        <v>0.11853736675917442</v>
      </c>
      <c r="O143" s="545">
        <f t="shared" si="39"/>
        <v>6.5399190245224864E-2</v>
      </c>
      <c r="P143" s="545">
        <f t="shared" si="39"/>
        <v>3.3975373109559795E-2</v>
      </c>
      <c r="Q143" s="545">
        <f t="shared" si="39"/>
        <v>5.0074898352236254E-2</v>
      </c>
      <c r="R143" s="545">
        <f t="shared" si="39"/>
        <v>5.7560627674750356E-2</v>
      </c>
      <c r="S143" s="545">
        <f t="shared" si="39"/>
        <v>8.3082022179614412E-2</v>
      </c>
      <c r="T143" s="545">
        <f t="shared" si="39"/>
        <v>0.11312404369640251</v>
      </c>
      <c r="U143" s="546">
        <f t="shared" si="39"/>
        <v>9.076269594856487E-2</v>
      </c>
      <c r="V143" s="546">
        <f t="shared" si="39"/>
        <v>4.991739049203029E-2</v>
      </c>
      <c r="W143" s="137"/>
    </row>
    <row r="144" spans="1:26" ht="3" hidden="1" customHeight="1">
      <c r="A144" s="557"/>
      <c r="B144" s="554"/>
      <c r="C144" s="554"/>
      <c r="E144" s="554"/>
      <c r="F144" s="552"/>
      <c r="G144" s="545"/>
      <c r="H144" s="545"/>
      <c r="I144" s="545"/>
      <c r="J144" s="545"/>
      <c r="K144" s="545"/>
      <c r="L144" s="545"/>
      <c r="M144" s="545"/>
      <c r="N144" s="545"/>
      <c r="O144" s="545"/>
      <c r="P144" s="545"/>
      <c r="Q144" s="545"/>
      <c r="R144" s="545"/>
      <c r="S144" s="545"/>
      <c r="T144" s="545"/>
      <c r="U144" s="546"/>
      <c r="V144" s="546"/>
      <c r="W144" s="137"/>
    </row>
    <row r="145" spans="1:25" hidden="1">
      <c r="A145" s="557"/>
      <c r="B145" s="554"/>
      <c r="C145" s="554"/>
      <c r="D145" s="112" t="s">
        <v>506</v>
      </c>
      <c r="E145" s="554"/>
      <c r="F145" s="552"/>
      <c r="G145" s="552"/>
      <c r="H145" s="552"/>
      <c r="I145" s="552"/>
      <c r="J145" s="552"/>
      <c r="K145" s="552"/>
      <c r="L145" s="552"/>
      <c r="M145" s="552"/>
      <c r="N145" s="552"/>
      <c r="O145" s="552"/>
      <c r="P145" s="552"/>
      <c r="Q145" s="552"/>
      <c r="R145" s="552"/>
      <c r="S145" s="552"/>
      <c r="T145" s="552"/>
      <c r="U145" s="551"/>
      <c r="V145" s="551"/>
      <c r="W145" s="137"/>
    </row>
    <row r="146" spans="1:25" hidden="1">
      <c r="A146" s="139">
        <v>30</v>
      </c>
      <c r="B146" s="112" t="s">
        <v>507</v>
      </c>
      <c r="C146" s="554"/>
      <c r="D146" s="554"/>
      <c r="E146" s="536" t="s">
        <v>508</v>
      </c>
      <c r="F146" s="552">
        <f>F14</f>
        <v>2377</v>
      </c>
      <c r="G146" s="552">
        <f t="shared" ref="G146:R146" si="40">G14</f>
        <v>2541</v>
      </c>
      <c r="H146" s="552">
        <f t="shared" si="40"/>
        <v>2340</v>
      </c>
      <c r="I146" s="552">
        <f t="shared" si="40"/>
        <v>2183</v>
      </c>
      <c r="J146" s="552">
        <f t="shared" si="40"/>
        <v>2168</v>
      </c>
      <c r="K146" s="552">
        <f t="shared" si="40"/>
        <v>30131</v>
      </c>
      <c r="L146" s="552">
        <f t="shared" si="40"/>
        <v>2372</v>
      </c>
      <c r="M146" s="552">
        <f t="shared" si="40"/>
        <v>68416</v>
      </c>
      <c r="N146" s="552">
        <f t="shared" si="40"/>
        <v>153093</v>
      </c>
      <c r="O146" s="552">
        <f t="shared" si="40"/>
        <v>84085</v>
      </c>
      <c r="P146" s="552">
        <f t="shared" si="40"/>
        <v>115257</v>
      </c>
      <c r="Q146" s="552">
        <f t="shared" si="40"/>
        <v>98841</v>
      </c>
      <c r="R146" s="552">
        <f t="shared" si="40"/>
        <v>68107</v>
      </c>
      <c r="S146" s="552">
        <f>S14</f>
        <v>403</v>
      </c>
      <c r="T146" s="552">
        <f>T14</f>
        <v>332</v>
      </c>
      <c r="U146" s="551">
        <f>U14</f>
        <v>7129</v>
      </c>
      <c r="V146" s="551">
        <f>V14</f>
        <v>1020</v>
      </c>
      <c r="W146" s="137"/>
    </row>
    <row r="147" spans="1:25" hidden="1">
      <c r="A147" s="139">
        <v>31</v>
      </c>
      <c r="B147" s="112" t="s">
        <v>509</v>
      </c>
      <c r="C147" s="554"/>
      <c r="D147" s="554"/>
      <c r="E147" s="554"/>
      <c r="F147" s="552">
        <f>'Riders and Gas Cost Revenue'!H13</f>
        <v>-242</v>
      </c>
      <c r="G147" s="552">
        <f>'Riders and Gas Cost Revenue'!J13</f>
        <v>-244</v>
      </c>
      <c r="H147" s="552">
        <f>'Riders and Gas Cost Revenue'!L13</f>
        <v>-144</v>
      </c>
      <c r="I147" s="552">
        <f>'Riders and Gas Cost Revenue'!N13</f>
        <v>0</v>
      </c>
      <c r="J147" s="552">
        <f>'Riders and Gas Cost Revenue'!P13</f>
        <v>0</v>
      </c>
      <c r="K147" s="552">
        <f>'Riders and Gas Cost Revenue'!R13</f>
        <v>-28334</v>
      </c>
      <c r="L147" s="552">
        <f>'Riders and Gas Cost Revenue'!T13</f>
        <v>0</v>
      </c>
      <c r="M147" s="552">
        <f>'Riders and Gas Cost Revenue'!W13</f>
        <v>-66686</v>
      </c>
      <c r="N147" s="552">
        <f>'Riders and Gas Cost Revenue'!Z13</f>
        <v>-153018</v>
      </c>
      <c r="O147" s="552">
        <f>'Riders and Gas Cost Revenue'!AC13</f>
        <v>-83992</v>
      </c>
      <c r="P147" s="552">
        <f>'Riders and Gas Cost Revenue'!AF13</f>
        <v>-115193</v>
      </c>
      <c r="Q147" s="552">
        <f>'Riders and Gas Cost Revenue'!AI13</f>
        <v>-98794</v>
      </c>
      <c r="R147" s="552">
        <f>'Riders and Gas Cost Revenue'!AL13</f>
        <v>-67822</v>
      </c>
      <c r="S147" s="552">
        <f>'Riders and Gas Cost Revenue'!AO13</f>
        <v>0</v>
      </c>
      <c r="T147" s="552">
        <f>'Riders and Gas Cost Revenue'!AR13</f>
        <v>0</v>
      </c>
      <c r="U147" s="551">
        <f>'Riders and Gas Cost Revenue'!AU13</f>
        <v>0</v>
      </c>
      <c r="V147" s="551">
        <f>'Riders and Gas Cost Revenue'!AX13</f>
        <v>0</v>
      </c>
    </row>
    <row r="148" spans="1:25" hidden="1">
      <c r="A148" s="139">
        <v>32</v>
      </c>
      <c r="B148" s="112" t="s">
        <v>510</v>
      </c>
      <c r="C148" s="554"/>
      <c r="D148" s="554"/>
      <c r="E148" s="554"/>
      <c r="F148" s="552">
        <v>-2130</v>
      </c>
      <c r="G148" s="552">
        <v>-2289</v>
      </c>
      <c r="H148" s="552">
        <v>-2187</v>
      </c>
      <c r="I148" s="552">
        <v>-2174</v>
      </c>
      <c r="J148" s="552">
        <v>-2156</v>
      </c>
      <c r="K148" s="552">
        <v>-1723</v>
      </c>
      <c r="L148" s="552">
        <v>-2361</v>
      </c>
      <c r="M148" s="552">
        <v>-1717</v>
      </c>
      <c r="N148" s="552">
        <v>0</v>
      </c>
      <c r="O148" s="552">
        <v>0</v>
      </c>
      <c r="P148" s="552">
        <v>0</v>
      </c>
      <c r="Q148" s="552">
        <v>0</v>
      </c>
      <c r="R148" s="552">
        <v>0</v>
      </c>
      <c r="S148" s="552">
        <v>0</v>
      </c>
      <c r="T148" s="552">
        <v>0</v>
      </c>
      <c r="U148" s="552">
        <v>0</v>
      </c>
      <c r="V148" s="551">
        <v>0</v>
      </c>
    </row>
    <row r="149" spans="1:25" hidden="1">
      <c r="A149" s="139">
        <v>33</v>
      </c>
      <c r="B149" s="112" t="s">
        <v>511</v>
      </c>
      <c r="C149" s="554"/>
      <c r="D149" s="554"/>
      <c r="E149" s="554"/>
      <c r="F149" s="552"/>
      <c r="G149" s="552"/>
      <c r="H149" s="552"/>
      <c r="I149" s="552"/>
      <c r="J149" s="552"/>
      <c r="K149" s="552"/>
      <c r="L149" s="552"/>
      <c r="M149" s="552"/>
      <c r="N149" s="552"/>
      <c r="O149" s="552"/>
      <c r="P149" s="552"/>
      <c r="Q149" s="552"/>
      <c r="R149" s="552"/>
      <c r="S149" s="552"/>
      <c r="T149" s="552"/>
      <c r="U149" s="551">
        <v>-6914</v>
      </c>
      <c r="V149" s="551">
        <f>-3544+2768</f>
        <v>-776</v>
      </c>
    </row>
    <row r="150" spans="1:25" ht="12.75" hidden="1" thickBot="1">
      <c r="A150" s="139">
        <v>34</v>
      </c>
      <c r="B150" s="554" t="s">
        <v>512</v>
      </c>
      <c r="C150" s="554"/>
      <c r="D150" s="554"/>
      <c r="E150" s="554"/>
      <c r="F150" s="550">
        <f>SUM(F146:F148)</f>
        <v>5</v>
      </c>
      <c r="G150" s="550">
        <f t="shared" ref="G150:R150" si="41">SUM(G146:G148)</f>
        <v>8</v>
      </c>
      <c r="H150" s="550">
        <f t="shared" si="41"/>
        <v>9</v>
      </c>
      <c r="I150" s="550">
        <f t="shared" si="41"/>
        <v>9</v>
      </c>
      <c r="J150" s="550">
        <f t="shared" si="41"/>
        <v>12</v>
      </c>
      <c r="K150" s="550">
        <f t="shared" si="41"/>
        <v>74</v>
      </c>
      <c r="L150" s="550">
        <f t="shared" si="41"/>
        <v>11</v>
      </c>
      <c r="M150" s="550">
        <f t="shared" si="41"/>
        <v>13</v>
      </c>
      <c r="N150" s="550">
        <f t="shared" si="41"/>
        <v>75</v>
      </c>
      <c r="O150" s="550">
        <f t="shared" si="41"/>
        <v>93</v>
      </c>
      <c r="P150" s="550">
        <f t="shared" si="41"/>
        <v>64</v>
      </c>
      <c r="Q150" s="550">
        <f t="shared" si="41"/>
        <v>47</v>
      </c>
      <c r="R150" s="550">
        <f t="shared" si="41"/>
        <v>285</v>
      </c>
      <c r="S150" s="550">
        <f>SUM(S146:S148)</f>
        <v>403</v>
      </c>
      <c r="T150" s="550">
        <f>SUM(T146:T148)</f>
        <v>332</v>
      </c>
      <c r="U150" s="543">
        <f>SUM(U146:U149)</f>
        <v>215</v>
      </c>
      <c r="V150" s="543">
        <f>SUM(V146:V149)</f>
        <v>244</v>
      </c>
    </row>
    <row r="151" spans="1:25" ht="12.75" hidden="1" thickTop="1">
      <c r="A151" s="139"/>
      <c r="B151" s="554"/>
      <c r="C151" s="554"/>
      <c r="D151" s="112" t="s">
        <v>483</v>
      </c>
      <c r="E151" s="554"/>
      <c r="F151" s="552"/>
      <c r="G151" s="545">
        <f>(G150-F150)/F150</f>
        <v>0.6</v>
      </c>
      <c r="H151" s="545">
        <f t="shared" ref="H151:V151" si="42">(H150-G150)/G150</f>
        <v>0.125</v>
      </c>
      <c r="I151" s="545">
        <f t="shared" si="42"/>
        <v>0</v>
      </c>
      <c r="J151" s="545">
        <f t="shared" si="42"/>
        <v>0.33333333333333331</v>
      </c>
      <c r="K151" s="545">
        <f t="shared" si="42"/>
        <v>5.166666666666667</v>
      </c>
      <c r="L151" s="545">
        <f t="shared" si="42"/>
        <v>-0.85135135135135132</v>
      </c>
      <c r="M151" s="545">
        <f t="shared" si="42"/>
        <v>0.18181818181818182</v>
      </c>
      <c r="N151" s="545">
        <f t="shared" si="42"/>
        <v>4.7692307692307692</v>
      </c>
      <c r="O151" s="545">
        <f t="shared" si="42"/>
        <v>0.24</v>
      </c>
      <c r="P151" s="545">
        <f t="shared" si="42"/>
        <v>-0.31182795698924731</v>
      </c>
      <c r="Q151" s="545">
        <f t="shared" si="42"/>
        <v>-0.265625</v>
      </c>
      <c r="R151" s="545">
        <f t="shared" si="42"/>
        <v>5.0638297872340425</v>
      </c>
      <c r="S151" s="545">
        <f t="shared" si="42"/>
        <v>0.41403508771929826</v>
      </c>
      <c r="T151" s="545">
        <f t="shared" si="42"/>
        <v>-0.17617866004962779</v>
      </c>
      <c r="U151" s="546">
        <f t="shared" si="42"/>
        <v>-0.35240963855421686</v>
      </c>
      <c r="V151" s="546">
        <f t="shared" si="42"/>
        <v>0.13488372093023257</v>
      </c>
    </row>
    <row r="152" spans="1:25" ht="6.75" hidden="1" customHeight="1">
      <c r="A152" s="557"/>
      <c r="B152" s="554"/>
      <c r="C152" s="554"/>
      <c r="D152" s="554"/>
      <c r="E152" s="554"/>
      <c r="F152" s="552"/>
      <c r="G152" s="552"/>
      <c r="H152" s="552"/>
      <c r="I152" s="552"/>
      <c r="J152" s="552"/>
      <c r="K152" s="552"/>
      <c r="L152" s="552"/>
      <c r="M152" s="552"/>
      <c r="N152" s="552"/>
      <c r="O152" s="552"/>
      <c r="P152" s="552"/>
      <c r="Q152" s="552"/>
      <c r="R152" s="552"/>
    </row>
    <row r="153" spans="1:25" ht="1.5" hidden="1" customHeight="1">
      <c r="A153" s="529" t="s">
        <v>103</v>
      </c>
      <c r="B153" s="558"/>
      <c r="C153" s="558"/>
      <c r="D153" s="558"/>
      <c r="E153" s="558"/>
      <c r="F153" s="558"/>
      <c r="G153" s="558"/>
      <c r="H153" s="558"/>
      <c r="I153" s="558"/>
      <c r="J153" s="558"/>
      <c r="K153" s="558"/>
      <c r="L153" s="558"/>
      <c r="M153" s="558"/>
      <c r="N153" s="558"/>
      <c r="O153" s="558"/>
      <c r="R153" s="114"/>
      <c r="V153" s="538"/>
    </row>
    <row r="154" spans="1:25" ht="12.75" hidden="1">
      <c r="A154" s="529" t="s">
        <v>169</v>
      </c>
      <c r="B154" s="558"/>
      <c r="C154" s="558"/>
      <c r="D154" s="558"/>
      <c r="E154" s="558"/>
      <c r="F154" s="558"/>
      <c r="G154" s="558"/>
      <c r="H154" s="558"/>
      <c r="I154" s="558"/>
      <c r="J154" s="558"/>
      <c r="K154" s="558"/>
      <c r="L154" s="558"/>
      <c r="M154" s="558"/>
      <c r="N154" s="558"/>
      <c r="O154" s="558"/>
      <c r="R154" s="114"/>
      <c r="V154" s="538"/>
    </row>
    <row r="155" spans="1:25" ht="18" customHeight="1">
      <c r="A155" s="529" t="s">
        <v>513</v>
      </c>
      <c r="B155" s="558"/>
      <c r="C155" s="558"/>
      <c r="D155" s="558"/>
      <c r="E155" s="558"/>
      <c r="F155" s="558"/>
      <c r="G155" s="558"/>
      <c r="H155" s="558"/>
      <c r="I155" s="558"/>
      <c r="J155" s="558"/>
      <c r="K155" s="558"/>
      <c r="L155" s="558"/>
      <c r="M155" s="558"/>
      <c r="N155" s="558"/>
      <c r="O155" s="558"/>
      <c r="R155" s="114"/>
      <c r="V155" s="538"/>
      <c r="W155" s="837">
        <v>300122</v>
      </c>
      <c r="X155" s="838">
        <v>315126</v>
      </c>
      <c r="Y155" s="839">
        <v>331023</v>
      </c>
    </row>
    <row r="156" spans="1:25" ht="3.6" customHeight="1">
      <c r="A156" s="558"/>
      <c r="B156" s="558"/>
      <c r="C156" s="558"/>
      <c r="D156" s="558"/>
      <c r="E156" s="558"/>
      <c r="F156" s="558"/>
      <c r="G156" s="558"/>
      <c r="H156" s="558"/>
      <c r="I156" s="558"/>
      <c r="J156" s="558"/>
      <c r="K156" s="558"/>
      <c r="L156" s="558"/>
      <c r="M156" s="558"/>
      <c r="N156" s="558"/>
      <c r="O156" s="558"/>
      <c r="R156" s="114"/>
      <c r="V156" s="538"/>
      <c r="W156" s="887" t="s">
        <v>670</v>
      </c>
      <c r="X156" s="888"/>
      <c r="Y156" s="889"/>
    </row>
    <row r="157" spans="1:25" ht="15" customHeight="1" thickBot="1">
      <c r="A157" s="139" t="s">
        <v>7</v>
      </c>
      <c r="B157" s="558"/>
      <c r="C157" s="713" t="s">
        <v>607</v>
      </c>
      <c r="D157" s="558"/>
      <c r="E157" s="530"/>
      <c r="F157" s="530"/>
      <c r="G157" s="530"/>
      <c r="H157" s="530"/>
      <c r="I157" s="530"/>
      <c r="J157" s="530"/>
      <c r="K157" s="530"/>
      <c r="L157" s="530"/>
      <c r="M157" s="530"/>
      <c r="N157" s="530"/>
      <c r="O157" s="530"/>
      <c r="P157" s="530"/>
      <c r="Q157" s="530"/>
      <c r="R157" s="530"/>
      <c r="T157" s="760" t="s">
        <v>614</v>
      </c>
      <c r="U157" s="504"/>
      <c r="V157" s="836" t="s">
        <v>615</v>
      </c>
      <c r="W157" s="890"/>
      <c r="X157" s="891"/>
      <c r="Y157" s="892"/>
    </row>
    <row r="158" spans="1:25" ht="12.75" hidden="1" customHeight="1">
      <c r="A158" s="560" t="s">
        <v>15</v>
      </c>
      <c r="B158" s="561" t="s">
        <v>514</v>
      </c>
      <c r="C158" s="561"/>
      <c r="D158" s="562"/>
      <c r="E158" s="562"/>
      <c r="F158" s="563"/>
      <c r="G158" s="564"/>
      <c r="H158" s="565"/>
      <c r="I158" s="565"/>
      <c r="J158" s="565"/>
      <c r="K158" s="565"/>
      <c r="L158" s="565"/>
      <c r="M158" s="565"/>
      <c r="N158" s="564" t="s">
        <v>515</v>
      </c>
      <c r="O158" s="564" t="s">
        <v>516</v>
      </c>
      <c r="P158" s="564" t="s">
        <v>517</v>
      </c>
      <c r="Q158" s="564" t="s">
        <v>518</v>
      </c>
      <c r="R158" s="564" t="s">
        <v>519</v>
      </c>
      <c r="S158" s="566" t="s">
        <v>520</v>
      </c>
      <c r="T158" s="564" t="s">
        <v>521</v>
      </c>
      <c r="U158" s="566" t="s">
        <v>522</v>
      </c>
      <c r="V158" s="566" t="s">
        <v>523</v>
      </c>
    </row>
    <row r="159" spans="1:25" ht="12.75" hidden="1" customHeight="1">
      <c r="B159" s="558"/>
      <c r="C159" s="558"/>
      <c r="D159" s="558"/>
      <c r="E159" s="558"/>
      <c r="F159" s="558"/>
      <c r="G159" s="558"/>
      <c r="H159" s="567"/>
      <c r="I159" s="567"/>
      <c r="J159" s="567"/>
      <c r="K159" s="567"/>
      <c r="L159" s="567"/>
      <c r="M159" s="567"/>
      <c r="N159" s="567"/>
      <c r="O159" s="567"/>
      <c r="P159" s="551"/>
      <c r="Q159" s="551"/>
      <c r="R159" s="551"/>
      <c r="S159" s="114"/>
      <c r="T159" s="114"/>
      <c r="U159" s="509"/>
      <c r="V159" s="509"/>
    </row>
    <row r="160" spans="1:25" ht="12.75" hidden="1" customHeight="1">
      <c r="A160" s="132">
        <v>1</v>
      </c>
      <c r="B160" s="542" t="s">
        <v>482</v>
      </c>
      <c r="C160" s="558"/>
      <c r="D160" s="558"/>
      <c r="E160" s="558"/>
      <c r="F160" s="558"/>
      <c r="G160" s="568"/>
      <c r="H160" s="569"/>
      <c r="I160" s="569"/>
      <c r="J160" s="569"/>
      <c r="K160" s="569"/>
      <c r="L160" s="569"/>
      <c r="M160" s="569"/>
      <c r="N160" s="568">
        <f t="shared" ref="N160:V160" si="43">(N113-M113)/M113</f>
        <v>2.7565156139938953E-2</v>
      </c>
      <c r="O160" s="568">
        <f t="shared" si="43"/>
        <v>0.12750205648478202</v>
      </c>
      <c r="P160" s="568">
        <f t="shared" si="43"/>
        <v>5.6217574578469522E-2</v>
      </c>
      <c r="Q160" s="568">
        <f t="shared" si="43"/>
        <v>7.079523166660262E-2</v>
      </c>
      <c r="R160" s="568">
        <f t="shared" si="43"/>
        <v>0.10393357017857532</v>
      </c>
      <c r="S160" s="568">
        <f t="shared" si="43"/>
        <v>9.6091416699129982E-3</v>
      </c>
      <c r="T160" s="568">
        <f t="shared" si="43"/>
        <v>1.3633440514469453E-2</v>
      </c>
      <c r="U160" s="570">
        <f t="shared" si="43"/>
        <v>0.10766400203019921</v>
      </c>
      <c r="V160" s="570">
        <f t="shared" si="43"/>
        <v>-8.9352196574832461E-3</v>
      </c>
    </row>
    <row r="161" spans="1:27" ht="12.75" hidden="1" customHeight="1">
      <c r="B161" s="558"/>
      <c r="C161" s="558"/>
      <c r="D161" s="558"/>
      <c r="E161" s="558"/>
      <c r="F161" s="558"/>
      <c r="G161" s="558"/>
      <c r="H161" s="567"/>
      <c r="I161" s="567"/>
      <c r="J161" s="567"/>
      <c r="K161" s="567"/>
      <c r="L161" s="567"/>
      <c r="M161" s="567"/>
      <c r="N161" s="551"/>
      <c r="O161" s="551"/>
      <c r="P161" s="551"/>
      <c r="Q161" s="551"/>
      <c r="R161" s="551"/>
      <c r="S161" s="114"/>
      <c r="T161" s="114"/>
      <c r="U161" s="509"/>
      <c r="V161" s="509"/>
    </row>
    <row r="162" spans="1:27" ht="12.75" hidden="1" customHeight="1">
      <c r="A162" s="132">
        <v>2</v>
      </c>
      <c r="B162" s="542" t="s">
        <v>524</v>
      </c>
      <c r="C162" s="558"/>
      <c r="D162" s="558"/>
      <c r="E162" s="558"/>
      <c r="F162" s="558"/>
      <c r="G162" s="568"/>
      <c r="H162" s="569"/>
      <c r="I162" s="569"/>
      <c r="J162" s="569"/>
      <c r="K162" s="569"/>
      <c r="L162" s="569"/>
      <c r="M162" s="569"/>
      <c r="N162" s="568">
        <f t="shared" ref="N162:V162" si="44">(N120-M120)/M120</f>
        <v>4.5730473492513156E-2</v>
      </c>
      <c r="O162" s="568">
        <f t="shared" si="44"/>
        <v>9.0815273477812181E-2</v>
      </c>
      <c r="P162" s="568">
        <f t="shared" si="44"/>
        <v>7.9351939451277206E-2</v>
      </c>
      <c r="Q162" s="568">
        <f t="shared" si="44"/>
        <v>7.1326832475073959E-2</v>
      </c>
      <c r="R162" s="568">
        <f t="shared" si="44"/>
        <v>9.3475148292084267E-2</v>
      </c>
      <c r="S162" s="568">
        <f t="shared" si="44"/>
        <v>0.1385147774036663</v>
      </c>
      <c r="T162" s="568">
        <f t="shared" si="44"/>
        <v>9.2910539719050361E-2</v>
      </c>
      <c r="U162" s="570">
        <f t="shared" si="44"/>
        <v>0.1407095610342754</v>
      </c>
      <c r="V162" s="570">
        <f t="shared" si="44"/>
        <v>9.5018450184501849E-2</v>
      </c>
    </row>
    <row r="163" spans="1:27" ht="12.75" hidden="1" customHeight="1">
      <c r="B163" s="558"/>
      <c r="C163" s="558"/>
      <c r="D163" s="558"/>
      <c r="E163" s="558"/>
      <c r="F163" s="558"/>
      <c r="G163" s="558"/>
      <c r="H163" s="567"/>
      <c r="I163" s="567"/>
      <c r="J163" s="567"/>
      <c r="K163" s="567"/>
      <c r="L163" s="567"/>
      <c r="M163" s="567"/>
      <c r="N163" s="551"/>
      <c r="O163" s="551"/>
      <c r="P163" s="551"/>
      <c r="Q163" s="551"/>
      <c r="R163" s="551"/>
      <c r="S163" s="114"/>
      <c r="T163" s="114"/>
      <c r="U163" s="509"/>
      <c r="V163" s="509"/>
    </row>
    <row r="164" spans="1:27" ht="12.75" hidden="1" customHeight="1">
      <c r="A164" s="132">
        <v>3</v>
      </c>
      <c r="B164" s="554" t="s">
        <v>525</v>
      </c>
      <c r="C164" s="558"/>
      <c r="D164" s="558"/>
      <c r="E164" s="558"/>
      <c r="F164" s="558"/>
      <c r="G164" s="568"/>
      <c r="H164" s="569"/>
      <c r="I164" s="569"/>
      <c r="J164" s="569"/>
      <c r="K164" s="569"/>
      <c r="L164" s="569"/>
      <c r="M164" s="569"/>
      <c r="N164" s="568">
        <f t="shared" ref="N164:V164" si="45">(N136-M136)/M136</f>
        <v>-0.16379553798362045</v>
      </c>
      <c r="O164" s="568">
        <f t="shared" si="45"/>
        <v>0.25903411009793986</v>
      </c>
      <c r="P164" s="568">
        <f t="shared" si="45"/>
        <v>2.8433476394849784E-2</v>
      </c>
      <c r="Q164" s="568">
        <f t="shared" si="45"/>
        <v>0.12589314736567569</v>
      </c>
      <c r="R164" s="568">
        <f t="shared" si="45"/>
        <v>6.3781896002181149E-2</v>
      </c>
      <c r="S164" s="568">
        <f t="shared" si="45"/>
        <v>0.13044425087108014</v>
      </c>
      <c r="T164" s="568">
        <f t="shared" si="45"/>
        <v>6.3956848391446733E-2</v>
      </c>
      <c r="U164" s="570">
        <f t="shared" si="45"/>
        <v>5.4318305268875608E-3</v>
      </c>
      <c r="V164" s="570">
        <f t="shared" si="45"/>
        <v>8.8600756347920043E-2</v>
      </c>
    </row>
    <row r="165" spans="1:27" ht="12.75" hidden="1" customHeight="1">
      <c r="B165" s="558"/>
      <c r="C165" s="558"/>
      <c r="D165" s="558"/>
      <c r="E165" s="558"/>
      <c r="F165" s="558"/>
      <c r="G165" s="558"/>
      <c r="H165" s="567"/>
      <c r="I165" s="567"/>
      <c r="J165" s="567"/>
      <c r="K165" s="567"/>
      <c r="L165" s="567"/>
      <c r="M165" s="567"/>
      <c r="N165" s="551"/>
      <c r="O165" s="551"/>
      <c r="P165" s="551"/>
      <c r="Q165" s="551"/>
      <c r="R165" s="551"/>
      <c r="S165" s="114"/>
      <c r="T165" s="114"/>
      <c r="U165" s="509"/>
      <c r="V165" s="509"/>
    </row>
    <row r="166" spans="1:27" ht="15" hidden="1" customHeight="1">
      <c r="A166" s="132">
        <v>4</v>
      </c>
      <c r="B166" s="571" t="s">
        <v>171</v>
      </c>
      <c r="C166" s="558"/>
      <c r="D166" s="558"/>
      <c r="E166" s="558"/>
      <c r="F166" s="558"/>
      <c r="G166" s="568"/>
      <c r="H166" s="569"/>
      <c r="I166" s="569"/>
      <c r="J166" s="569"/>
      <c r="K166" s="569"/>
      <c r="L166" s="569"/>
      <c r="M166" s="569"/>
      <c r="N166" s="568">
        <f t="shared" ref="N166:V166" si="46">(N139-M139)/M139</f>
        <v>5.8790378006872854E-2</v>
      </c>
      <c r="O166" s="568">
        <f t="shared" si="46"/>
        <v>0.12821478182974802</v>
      </c>
      <c r="P166" s="568">
        <f t="shared" si="46"/>
        <v>2.3560751642636043E-2</v>
      </c>
      <c r="Q166" s="568">
        <f t="shared" si="46"/>
        <v>3.177047908668304E-2</v>
      </c>
      <c r="R166" s="568">
        <f t="shared" si="46"/>
        <v>6.3927040146442723E-2</v>
      </c>
      <c r="S166" s="568">
        <f t="shared" si="46"/>
        <v>6.3864978211555304E-2</v>
      </c>
      <c r="T166" s="568">
        <f t="shared" si="46"/>
        <v>8.7322330199895076E-2</v>
      </c>
      <c r="U166" s="570">
        <f t="shared" si="46"/>
        <v>8.2983253726189796E-2</v>
      </c>
      <c r="V166" s="570">
        <f t="shared" si="46"/>
        <v>7.4732165119539576E-2</v>
      </c>
      <c r="W166" s="137"/>
      <c r="X166" s="137"/>
    </row>
    <row r="167" spans="1:27" ht="12.75" hidden="1" customHeight="1">
      <c r="B167" s="571"/>
      <c r="C167" s="558"/>
      <c r="D167" s="558"/>
      <c r="E167" s="558"/>
      <c r="F167" s="558"/>
      <c r="G167" s="568"/>
      <c r="H167" s="569"/>
      <c r="I167" s="569"/>
      <c r="J167" s="569"/>
      <c r="K167" s="569"/>
      <c r="L167" s="569"/>
      <c r="M167" s="569"/>
      <c r="N167" s="569"/>
      <c r="O167" s="569"/>
      <c r="P167" s="569"/>
      <c r="Q167" s="569"/>
      <c r="R167" s="569"/>
      <c r="S167" s="568"/>
      <c r="T167" s="568"/>
      <c r="U167" s="570"/>
      <c r="V167" s="569"/>
      <c r="W167" s="137"/>
      <c r="X167" s="137"/>
    </row>
    <row r="168" spans="1:27" ht="12.75" hidden="1" customHeight="1">
      <c r="A168" s="132">
        <v>5</v>
      </c>
      <c r="B168" s="571" t="s">
        <v>526</v>
      </c>
      <c r="C168" s="558"/>
      <c r="D168" s="558"/>
      <c r="E168" s="558"/>
      <c r="F168" s="558"/>
      <c r="G168" s="568"/>
      <c r="H168" s="569"/>
      <c r="I168" s="569"/>
      <c r="J168" s="569"/>
      <c r="K168" s="569"/>
      <c r="L168" s="569"/>
      <c r="M168" s="569"/>
      <c r="N168" s="569"/>
      <c r="O168" s="569"/>
      <c r="P168" s="569"/>
      <c r="Q168" s="569"/>
      <c r="R168" s="569"/>
      <c r="S168" s="568"/>
      <c r="T168" s="568">
        <f>(T91-S91)/S91</f>
        <v>0.11312404369640251</v>
      </c>
      <c r="U168" s="570">
        <f>(U91-T91)/T91</f>
        <v>9.076269594856487E-2</v>
      </c>
      <c r="V168" s="569"/>
      <c r="W168" s="137"/>
      <c r="X168" s="137"/>
    </row>
    <row r="169" spans="1:27" ht="12.75" hidden="1" customHeight="1">
      <c r="B169" s="571"/>
      <c r="C169" s="558"/>
      <c r="D169" s="558"/>
      <c r="E169" s="558"/>
      <c r="F169" s="558"/>
      <c r="G169" s="568"/>
      <c r="H169" s="569"/>
      <c r="I169" s="569"/>
      <c r="J169" s="569"/>
      <c r="K169" s="569"/>
      <c r="L169" s="569"/>
      <c r="M169" s="569"/>
      <c r="N169" s="569"/>
      <c r="O169" s="569"/>
      <c r="P169" s="569"/>
      <c r="Q169" s="569"/>
      <c r="R169" s="569"/>
      <c r="S169" s="568"/>
      <c r="T169" s="568"/>
      <c r="U169" s="570"/>
      <c r="V169" s="569"/>
      <c r="W169" s="137"/>
      <c r="X169" s="137"/>
    </row>
    <row r="170" spans="1:27" ht="12.75" hidden="1" customHeight="1">
      <c r="A170" s="132">
        <v>6</v>
      </c>
      <c r="B170" s="571" t="s">
        <v>527</v>
      </c>
      <c r="C170" s="558"/>
      <c r="D170" s="558"/>
      <c r="E170" s="558"/>
      <c r="F170" s="558"/>
      <c r="H170" s="572"/>
      <c r="I170" s="569"/>
      <c r="J170" s="569"/>
      <c r="K170" s="569"/>
      <c r="L170" s="569"/>
      <c r="M170" s="569"/>
      <c r="N170" s="569"/>
      <c r="O170" s="569"/>
      <c r="P170" s="569"/>
      <c r="Q170" s="569"/>
      <c r="R170" s="569"/>
      <c r="S170" s="568"/>
      <c r="T170" s="568"/>
      <c r="U170" s="570"/>
      <c r="V170" s="569"/>
      <c r="W170" s="137"/>
      <c r="X170" s="137"/>
      <c r="Y170" s="573"/>
    </row>
    <row r="171" spans="1:27" ht="12.75" hidden="1" customHeight="1">
      <c r="B171" s="558"/>
      <c r="C171" s="558"/>
      <c r="D171" s="558"/>
      <c r="E171" s="558"/>
      <c r="F171" s="558"/>
      <c r="G171" s="567"/>
      <c r="H171" s="567"/>
      <c r="I171" s="567"/>
      <c r="J171" s="567"/>
      <c r="K171" s="567"/>
      <c r="L171" s="567"/>
      <c r="M171" s="567"/>
      <c r="N171" s="567"/>
      <c r="O171" s="567"/>
      <c r="P171" s="551"/>
      <c r="Q171" s="551"/>
      <c r="R171" s="551"/>
      <c r="S171" s="114"/>
      <c r="T171" s="114"/>
      <c r="U171" s="509"/>
      <c r="V171" s="551"/>
      <c r="W171" s="137"/>
      <c r="X171" s="137"/>
    </row>
    <row r="172" spans="1:27" ht="12.75">
      <c r="A172" s="132" t="s">
        <v>608</v>
      </c>
      <c r="B172" s="561" t="s">
        <v>528</v>
      </c>
      <c r="C172" s="561"/>
      <c r="D172" s="562"/>
      <c r="E172" s="562"/>
      <c r="F172" s="563"/>
      <c r="G172" s="565"/>
      <c r="H172" s="565"/>
      <c r="I172" s="565"/>
      <c r="J172" s="565"/>
      <c r="K172" s="565"/>
      <c r="L172" s="565"/>
      <c r="M172" s="565"/>
      <c r="N172" s="564" t="s">
        <v>529</v>
      </c>
      <c r="O172" s="564" t="s">
        <v>530</v>
      </c>
      <c r="P172" s="564" t="s">
        <v>531</v>
      </c>
      <c r="Q172" s="564" t="s">
        <v>532</v>
      </c>
      <c r="R172" s="564" t="s">
        <v>533</v>
      </c>
      <c r="S172" s="564" t="s">
        <v>534</v>
      </c>
      <c r="T172" s="566" t="s">
        <v>454</v>
      </c>
      <c r="U172" s="565"/>
      <c r="V172" s="564" t="s">
        <v>455</v>
      </c>
    </row>
    <row r="173" spans="1:27" ht="0.75" customHeight="1">
      <c r="B173" s="558"/>
      <c r="C173" s="558"/>
      <c r="D173" s="558"/>
      <c r="E173" s="558"/>
      <c r="F173" s="558"/>
      <c r="G173" s="567"/>
      <c r="H173" s="567"/>
      <c r="I173" s="567"/>
      <c r="J173" s="567"/>
      <c r="K173" s="567"/>
      <c r="L173" s="567"/>
      <c r="M173" s="567"/>
      <c r="N173" s="567"/>
      <c r="O173" s="567"/>
      <c r="P173" s="551"/>
      <c r="Q173" s="551"/>
      <c r="R173" s="551"/>
      <c r="S173" s="114"/>
      <c r="T173" s="509"/>
      <c r="U173" s="551"/>
      <c r="V173" s="112"/>
      <c r="W173" s="811" t="s">
        <v>535</v>
      </c>
    </row>
    <row r="174" spans="1:27" ht="15" customHeight="1">
      <c r="A174" s="132">
        <v>5</v>
      </c>
      <c r="B174" s="542" t="s">
        <v>482</v>
      </c>
      <c r="C174" s="558"/>
      <c r="D174" s="558"/>
      <c r="E174" s="558"/>
      <c r="F174" s="558"/>
      <c r="G174" s="569"/>
      <c r="H174" s="569"/>
      <c r="I174" s="569"/>
      <c r="J174" s="569"/>
      <c r="K174" s="569"/>
      <c r="L174" s="569"/>
      <c r="M174" s="569"/>
      <c r="N174" s="570">
        <f>RATE(9,,-M113,$V113)</f>
        <v>5.5432389099356619E-2</v>
      </c>
      <c r="O174" s="570">
        <f>RATE(8,,-N113,$V113)</f>
        <v>5.8968516851470053E-2</v>
      </c>
      <c r="P174" s="570">
        <f>RATE(7,,-O113,$V113)</f>
        <v>4.9524147489197437E-2</v>
      </c>
      <c r="Q174" s="570">
        <f>RATE(6,,-P113,$V113)</f>
        <v>4.8412707499037859E-2</v>
      </c>
      <c r="R174" s="570">
        <f>RATE(5,,-Q113,$V113)</f>
        <v>4.3992661240400105E-2</v>
      </c>
      <c r="S174" s="570">
        <f>RATE(4,,-R113,$V113)</f>
        <v>2.9523044538253228E-2</v>
      </c>
      <c r="T174" s="570">
        <f>RATE(3,,-S113,$V113)</f>
        <v>3.6247919159297544E-2</v>
      </c>
      <c r="U174" s="569"/>
      <c r="V174" s="810">
        <f>T174-(T174*10%)</f>
        <v>3.2623127243367786E-2</v>
      </c>
      <c r="W174" s="812" t="s">
        <v>659</v>
      </c>
      <c r="X174" s="813"/>
      <c r="Y174" s="814">
        <v>2.0299999999999999E-2</v>
      </c>
      <c r="AA174" s="574"/>
    </row>
    <row r="175" spans="1:27" ht="1.5" customHeight="1">
      <c r="B175" s="542"/>
      <c r="C175" s="558"/>
      <c r="D175" s="558"/>
      <c r="E175" s="558"/>
      <c r="F175" s="558"/>
      <c r="G175" s="569"/>
      <c r="H175" s="569"/>
      <c r="I175" s="569"/>
      <c r="J175" s="569"/>
      <c r="K175" s="569"/>
      <c r="L175" s="569"/>
      <c r="M175" s="569"/>
      <c r="N175" s="569"/>
      <c r="O175" s="569"/>
      <c r="P175" s="569"/>
      <c r="Q175" s="569"/>
      <c r="R175" s="569"/>
      <c r="S175" s="570"/>
      <c r="T175" s="570"/>
      <c r="U175" s="569"/>
      <c r="V175" s="570"/>
      <c r="W175" s="811"/>
    </row>
    <row r="176" spans="1:27" ht="9" hidden="1" customHeight="1">
      <c r="B176" s="542"/>
      <c r="C176" s="558"/>
      <c r="D176" s="558"/>
      <c r="E176" s="558"/>
      <c r="F176" s="558"/>
      <c r="G176" s="569"/>
      <c r="H176" s="569"/>
      <c r="I176" s="569"/>
      <c r="J176" s="569"/>
      <c r="K176" s="569"/>
      <c r="L176" s="569"/>
      <c r="M176" s="569"/>
      <c r="N176" s="569"/>
      <c r="O176" s="569"/>
      <c r="P176" s="569"/>
      <c r="Q176" s="569"/>
      <c r="R176" s="569"/>
      <c r="S176" s="570"/>
      <c r="T176" s="570"/>
      <c r="U176" s="569"/>
      <c r="V176" s="570"/>
      <c r="W176" s="811"/>
    </row>
    <row r="177" spans="1:25" ht="15" customHeight="1">
      <c r="A177" s="132">
        <v>6</v>
      </c>
      <c r="B177" s="542" t="s">
        <v>524</v>
      </c>
      <c r="C177" s="558"/>
      <c r="D177" s="558"/>
      <c r="E177" s="558"/>
      <c r="F177" s="558"/>
      <c r="G177" s="569"/>
      <c r="H177" s="569"/>
      <c r="I177" s="569"/>
      <c r="J177" s="569"/>
      <c r="K177" s="569"/>
      <c r="L177" s="569"/>
      <c r="M177" s="569"/>
      <c r="N177" s="570">
        <f>RATE(9,,-M120,$V120)</f>
        <v>9.3840153186261724E-2</v>
      </c>
      <c r="O177" s="570">
        <f>RATE(8,,-N120,$V120)</f>
        <v>0.10000744320539463</v>
      </c>
      <c r="P177" s="570">
        <f>RATE(7,,-O120,$V120)</f>
        <v>0.10132691851652047</v>
      </c>
      <c r="Q177" s="570">
        <f>RATE(6,,-P120,$V120)</f>
        <v>0.10503266831425796</v>
      </c>
      <c r="R177" s="570">
        <f>RATE(5,,-Q120,$V120)</f>
        <v>0.11190003612589483</v>
      </c>
      <c r="S177" s="570">
        <f>RATE(4,,-R120,$V120)</f>
        <v>0.11655456406692916</v>
      </c>
      <c r="T177" s="570">
        <f>RATE(3,,-S120,$V120)</f>
        <v>0.10932902836763629</v>
      </c>
      <c r="U177" s="569"/>
      <c r="V177" s="570"/>
      <c r="W177" s="675" t="s">
        <v>660</v>
      </c>
    </row>
    <row r="178" spans="1:25" ht="0.75" customHeight="1">
      <c r="B178" s="542"/>
      <c r="C178" s="558"/>
      <c r="D178" s="575"/>
      <c r="E178" s="575"/>
      <c r="F178" s="558"/>
      <c r="G178" s="576"/>
      <c r="H178" s="576"/>
      <c r="I178" s="576"/>
      <c r="J178" s="576"/>
      <c r="K178" s="576"/>
      <c r="L178" s="576"/>
      <c r="M178" s="576"/>
      <c r="N178" s="576"/>
      <c r="O178" s="576"/>
      <c r="P178" s="576"/>
      <c r="Q178" s="576"/>
      <c r="R178" s="576"/>
      <c r="S178" s="577"/>
      <c r="T178" s="577"/>
      <c r="U178" s="576"/>
      <c r="V178" s="570"/>
    </row>
    <row r="179" spans="1:25" ht="15" customHeight="1">
      <c r="A179" s="132">
        <v>7</v>
      </c>
      <c r="B179" s="554" t="s">
        <v>525</v>
      </c>
      <c r="C179" s="558"/>
      <c r="D179" s="558"/>
      <c r="E179" s="558"/>
      <c r="F179" s="558"/>
      <c r="G179" s="569"/>
      <c r="H179" s="569"/>
      <c r="I179" s="569"/>
      <c r="J179" s="569"/>
      <c r="K179" s="569"/>
      <c r="L179" s="569"/>
      <c r="M179" s="569"/>
      <c r="N179" s="570">
        <f>RATE(9,,-M136,$V136)</f>
        <v>6.1225848954132599E-2</v>
      </c>
      <c r="O179" s="570">
        <f>RATE(8,,-N136,$V136)</f>
        <v>9.3313566745623577E-2</v>
      </c>
      <c r="P179" s="570">
        <f>RATE(7,,-O136,$V136)</f>
        <v>7.1491249818178462E-2</v>
      </c>
      <c r="Q179" s="570">
        <f>RATE(6,,-P136,$V136)</f>
        <v>7.8840809212386176E-2</v>
      </c>
      <c r="R179" s="570">
        <f>RATE(5,,-Q136,$V136)</f>
        <v>6.9668986283760337E-2</v>
      </c>
      <c r="S179" s="570">
        <f>RATE(4,,-R136,$V136)</f>
        <v>7.1145842426407868E-2</v>
      </c>
      <c r="T179" s="570">
        <f>RATE(3,,-S136,$V136)</f>
        <v>5.2079177998625686E-2</v>
      </c>
      <c r="U179" s="569"/>
      <c r="V179" s="570"/>
    </row>
    <row r="180" spans="1:25" ht="0.75" customHeight="1">
      <c r="B180" s="558"/>
      <c r="C180" s="558"/>
      <c r="D180" s="575"/>
      <c r="E180" s="575"/>
      <c r="F180" s="558"/>
      <c r="G180" s="576"/>
      <c r="H180" s="576"/>
      <c r="I180" s="576"/>
      <c r="J180" s="576"/>
      <c r="K180" s="576"/>
      <c r="L180" s="576"/>
      <c r="M180" s="576"/>
      <c r="N180" s="576"/>
      <c r="O180" s="576"/>
      <c r="P180" s="576"/>
      <c r="Q180" s="576"/>
      <c r="R180" s="576"/>
      <c r="S180" s="577"/>
      <c r="T180" s="577"/>
      <c r="U180" s="576"/>
      <c r="V180" s="570"/>
    </row>
    <row r="181" spans="1:25" ht="20.25" customHeight="1">
      <c r="A181" s="132">
        <v>8</v>
      </c>
      <c r="B181" s="571" t="s">
        <v>536</v>
      </c>
      <c r="D181" s="575"/>
      <c r="E181" s="575"/>
      <c r="G181" s="569"/>
      <c r="H181" s="569"/>
      <c r="I181" s="569"/>
      <c r="J181" s="569"/>
      <c r="K181" s="569"/>
      <c r="L181" s="569"/>
      <c r="M181" s="569"/>
      <c r="N181" s="570">
        <f>RATE(9,,-M139,$V139)</f>
        <v>6.7955155099591949E-2</v>
      </c>
      <c r="O181" s="570">
        <f>RATE(8,,-N139,$V139)</f>
        <v>6.9106316055075348E-2</v>
      </c>
      <c r="P181" s="570">
        <f>RATE(7,,-O139,$V139)</f>
        <v>6.0918925260567462E-2</v>
      </c>
      <c r="Q181" s="570">
        <f>RATE(6,,-P139,$V139)</f>
        <v>6.7276528843448119E-2</v>
      </c>
      <c r="R181" s="570">
        <f>RATE(5,,-Q139,$V139)</f>
        <v>7.452303697323899E-2</v>
      </c>
      <c r="S181" s="570">
        <f>RATE(4,,-R139,$V139)</f>
        <v>7.7188484208344649E-2</v>
      </c>
      <c r="T181" s="570">
        <f>RATE(3,,-S139,$V139)</f>
        <v>8.1666630068297622E-2</v>
      </c>
      <c r="U181" s="569"/>
      <c r="V181" s="815">
        <f>RATE(2,,-W139,$Y139)</f>
        <v>6.5612931108465042E-2</v>
      </c>
      <c r="W181" s="879" t="s">
        <v>406</v>
      </c>
      <c r="Y181" s="815">
        <v>5.021972098159011E-2</v>
      </c>
    </row>
    <row r="182" spans="1:25" ht="6" hidden="1" customHeight="1">
      <c r="B182" s="571"/>
      <c r="D182" s="575"/>
      <c r="E182" s="575"/>
      <c r="G182" s="569"/>
      <c r="H182" s="569"/>
      <c r="I182" s="569"/>
      <c r="J182" s="569"/>
      <c r="K182" s="569"/>
      <c r="L182" s="569"/>
      <c r="M182" s="569"/>
      <c r="N182" s="578"/>
      <c r="O182" s="569"/>
      <c r="P182" s="569"/>
      <c r="Q182" s="569"/>
      <c r="R182" s="569"/>
      <c r="S182" s="570"/>
      <c r="T182" s="570"/>
      <c r="U182" s="569"/>
      <c r="V182" s="569"/>
      <c r="W182" s="879"/>
      <c r="X182" s="137"/>
      <c r="Y182" s="538"/>
    </row>
    <row r="183" spans="1:25" ht="12.75" hidden="1" customHeight="1">
      <c r="A183" s="132">
        <v>12</v>
      </c>
      <c r="B183" s="571" t="s">
        <v>526</v>
      </c>
      <c r="C183" s="558"/>
      <c r="D183" s="558"/>
      <c r="E183" s="558"/>
      <c r="F183" s="558"/>
      <c r="G183" s="569"/>
      <c r="H183" s="569"/>
      <c r="I183" s="569"/>
      <c r="J183" s="569"/>
      <c r="K183" s="569"/>
      <c r="L183" s="569"/>
      <c r="M183" s="569"/>
      <c r="N183" s="579"/>
      <c r="O183" s="569"/>
      <c r="P183" s="569"/>
      <c r="Q183" s="569"/>
      <c r="R183" s="569"/>
      <c r="S183" s="570"/>
      <c r="T183" s="570">
        <f>RATE(1,,-S91,$T91)</f>
        <v>0.11312404369640242</v>
      </c>
      <c r="U183" s="569"/>
      <c r="V183" s="569"/>
      <c r="W183" s="879"/>
      <c r="X183" s="137"/>
      <c r="Y183" s="538"/>
    </row>
    <row r="184" spans="1:25" ht="3" hidden="1" customHeight="1">
      <c r="B184" s="571"/>
      <c r="D184" s="575"/>
      <c r="E184" s="575"/>
      <c r="G184" s="576"/>
      <c r="H184" s="576"/>
      <c r="I184" s="576"/>
      <c r="J184" s="576"/>
      <c r="K184" s="576"/>
      <c r="L184" s="576"/>
      <c r="M184" s="576"/>
      <c r="N184" s="576"/>
      <c r="O184" s="576"/>
      <c r="P184" s="576"/>
      <c r="Q184" s="576"/>
      <c r="R184" s="576"/>
      <c r="S184" s="577"/>
      <c r="T184" s="577"/>
      <c r="U184" s="576"/>
      <c r="V184" s="576"/>
      <c r="W184" s="879"/>
      <c r="X184" s="538"/>
      <c r="Y184" s="538"/>
    </row>
    <row r="185" spans="1:25" ht="1.5" hidden="1" customHeight="1">
      <c r="B185" s="571"/>
      <c r="D185" s="575"/>
      <c r="E185" s="575"/>
      <c r="G185" s="569"/>
      <c r="H185" s="569"/>
      <c r="I185" s="569"/>
      <c r="J185" s="569"/>
      <c r="K185" s="569"/>
      <c r="L185" s="569"/>
      <c r="M185" s="569"/>
      <c r="N185" s="569"/>
      <c r="O185" s="569"/>
      <c r="P185" s="569"/>
      <c r="Q185" s="569"/>
      <c r="R185" s="569"/>
      <c r="S185" s="568"/>
      <c r="T185" s="570"/>
      <c r="U185" s="569"/>
      <c r="V185" s="569"/>
      <c r="W185" s="137"/>
      <c r="X185" s="137"/>
    </row>
    <row r="186" spans="1:25" ht="12.75" hidden="1">
      <c r="D186" s="575"/>
      <c r="E186" s="575"/>
      <c r="G186" s="576"/>
      <c r="H186" s="576"/>
      <c r="I186" s="576"/>
      <c r="J186" s="576"/>
      <c r="K186" s="576"/>
      <c r="L186" s="576"/>
      <c r="M186" s="576"/>
      <c r="N186" s="576"/>
      <c r="O186" s="576"/>
      <c r="P186" s="576"/>
      <c r="Q186" s="576"/>
      <c r="R186" s="576"/>
      <c r="S186" s="574"/>
      <c r="T186" s="577"/>
      <c r="U186" s="576"/>
      <c r="V186" s="576"/>
      <c r="W186" s="137"/>
      <c r="X186" s="137"/>
    </row>
    <row r="187" spans="1:25" ht="12.75" hidden="1">
      <c r="B187" s="561" t="s">
        <v>537</v>
      </c>
      <c r="C187" s="561"/>
      <c r="D187" s="580"/>
      <c r="E187" s="562"/>
      <c r="F187" s="563"/>
      <c r="G187" s="565"/>
      <c r="H187" s="565"/>
      <c r="I187" s="565"/>
      <c r="J187" s="565"/>
      <c r="K187" s="565"/>
      <c r="L187" s="565"/>
      <c r="M187" s="565"/>
      <c r="N187" s="564" t="s">
        <v>529</v>
      </c>
      <c r="O187" s="564" t="s">
        <v>530</v>
      </c>
      <c r="P187" s="564" t="s">
        <v>531</v>
      </c>
      <c r="Q187" s="564" t="s">
        <v>532</v>
      </c>
      <c r="R187" s="564" t="s">
        <v>533</v>
      </c>
      <c r="S187" s="564" t="s">
        <v>534</v>
      </c>
      <c r="T187" s="566" t="s">
        <v>454</v>
      </c>
      <c r="U187" s="565"/>
      <c r="V187" s="565"/>
      <c r="W187" s="137"/>
      <c r="X187" s="137"/>
    </row>
    <row r="188" spans="1:25" ht="9" hidden="1" customHeight="1">
      <c r="B188" s="581"/>
      <c r="C188" s="581"/>
      <c r="D188" s="581"/>
      <c r="F188" s="552"/>
      <c r="G188" s="567"/>
      <c r="H188" s="567"/>
      <c r="I188" s="567"/>
      <c r="J188" s="567"/>
      <c r="K188" s="567"/>
      <c r="L188" s="567"/>
      <c r="M188" s="567"/>
      <c r="N188" s="567"/>
      <c r="O188" s="567"/>
      <c r="P188" s="551"/>
      <c r="Q188" s="551"/>
      <c r="R188" s="551"/>
      <c r="S188" s="114"/>
      <c r="T188" s="509"/>
      <c r="U188" s="551"/>
      <c r="V188" s="551"/>
    </row>
    <row r="189" spans="1:25" ht="12" hidden="1" customHeight="1">
      <c r="A189" s="132">
        <v>9</v>
      </c>
      <c r="B189" s="582" t="s">
        <v>482</v>
      </c>
      <c r="C189" s="581"/>
      <c r="D189" s="581"/>
      <c r="F189" s="552" t="s">
        <v>538</v>
      </c>
      <c r="G189" s="583"/>
      <c r="H189" s="569"/>
      <c r="I189" s="569"/>
      <c r="J189" s="569"/>
      <c r="K189" s="569"/>
      <c r="L189" s="569"/>
      <c r="M189" s="569"/>
      <c r="N189" s="568">
        <f t="shared" ref="N189:T189" si="47">2.333*N174</f>
        <v>0.129323763768799</v>
      </c>
      <c r="O189" s="568">
        <f t="shared" si="47"/>
        <v>0.13757354981447964</v>
      </c>
      <c r="P189" s="568">
        <f t="shared" si="47"/>
        <v>0.11553983609229763</v>
      </c>
      <c r="Q189" s="568">
        <f t="shared" si="47"/>
        <v>0.11294684659525533</v>
      </c>
      <c r="R189" s="568">
        <f t="shared" si="47"/>
        <v>0.10263487867385346</v>
      </c>
      <c r="S189" s="568">
        <f t="shared" si="47"/>
        <v>6.8877262907744791E-2</v>
      </c>
      <c r="T189" s="570">
        <f t="shared" si="47"/>
        <v>8.4566395398641178E-2</v>
      </c>
      <c r="U189" s="569"/>
      <c r="V189" s="569"/>
    </row>
    <row r="190" spans="1:25" ht="0.75" hidden="1" customHeight="1">
      <c r="B190" s="582"/>
      <c r="C190" s="581"/>
      <c r="D190" s="581"/>
      <c r="F190" s="552"/>
      <c r="G190" s="538"/>
      <c r="H190" s="569"/>
      <c r="I190" s="569"/>
      <c r="J190" s="569"/>
      <c r="K190" s="569"/>
      <c r="L190" s="569"/>
      <c r="M190" s="569"/>
      <c r="N190" s="570"/>
      <c r="O190" s="570"/>
      <c r="P190" s="570"/>
      <c r="Q190" s="570"/>
      <c r="R190" s="570"/>
      <c r="S190" s="570"/>
      <c r="T190" s="570"/>
      <c r="U190" s="569"/>
      <c r="V190" s="569"/>
    </row>
    <row r="191" spans="1:25" ht="12.75" hidden="1">
      <c r="B191" s="584"/>
      <c r="C191" s="581"/>
      <c r="D191" s="581"/>
      <c r="F191" s="552" t="s">
        <v>538</v>
      </c>
      <c r="G191" s="583"/>
      <c r="H191" s="569"/>
      <c r="I191" s="569"/>
      <c r="J191" s="569"/>
      <c r="K191" s="569"/>
      <c r="L191" s="569"/>
      <c r="M191" s="569"/>
      <c r="N191" s="570"/>
      <c r="O191" s="570"/>
      <c r="P191" s="570"/>
      <c r="Q191" s="570"/>
      <c r="R191" s="570"/>
      <c r="S191" s="570"/>
      <c r="T191" s="570"/>
      <c r="U191" s="569"/>
      <c r="V191" s="569"/>
    </row>
    <row r="192" spans="1:25" ht="12.75" hidden="1">
      <c r="B192" s="582"/>
      <c r="C192" s="581"/>
      <c r="D192" s="581"/>
      <c r="F192" s="552"/>
      <c r="G192" s="538"/>
      <c r="H192" s="569"/>
      <c r="I192" s="569"/>
      <c r="J192" s="569"/>
      <c r="K192" s="569"/>
      <c r="L192" s="569"/>
      <c r="M192" s="569"/>
      <c r="N192" s="570"/>
      <c r="O192" s="570"/>
      <c r="P192" s="570"/>
      <c r="Q192" s="570"/>
      <c r="R192" s="570"/>
      <c r="S192" s="570"/>
      <c r="T192" s="570"/>
      <c r="U192" s="569"/>
      <c r="V192" s="569"/>
    </row>
    <row r="193" spans="1:25" ht="12.75" hidden="1">
      <c r="A193" s="132">
        <v>10</v>
      </c>
      <c r="B193" s="582" t="s">
        <v>524</v>
      </c>
      <c r="C193" s="581"/>
      <c r="D193" s="581"/>
      <c r="F193" s="552" t="s">
        <v>539</v>
      </c>
      <c r="G193" s="583"/>
      <c r="H193" s="569"/>
      <c r="I193" s="569"/>
      <c r="J193" s="569"/>
      <c r="K193" s="569"/>
      <c r="L193" s="569"/>
      <c r="M193" s="569"/>
      <c r="N193" s="568">
        <f t="shared" ref="N193:T193" si="48">2.333*N177</f>
        <v>0.21892907738354861</v>
      </c>
      <c r="O193" s="568">
        <f t="shared" si="48"/>
        <v>0.2333173649981857</v>
      </c>
      <c r="P193" s="568">
        <f t="shared" si="48"/>
        <v>0.23639570089904227</v>
      </c>
      <c r="Q193" s="568">
        <f t="shared" si="48"/>
        <v>0.24504121517716385</v>
      </c>
      <c r="R193" s="568">
        <f t="shared" si="48"/>
        <v>0.26106278428171265</v>
      </c>
      <c r="S193" s="568">
        <f t="shared" si="48"/>
        <v>0.27192179796814575</v>
      </c>
      <c r="T193" s="570">
        <f t="shared" si="48"/>
        <v>0.25506462318169548</v>
      </c>
      <c r="U193" s="569"/>
      <c r="V193" s="569"/>
      <c r="W193" s="137"/>
      <c r="X193" s="137"/>
      <c r="Y193" s="137"/>
    </row>
    <row r="194" spans="1:25" ht="9.75" hidden="1" customHeight="1">
      <c r="B194" s="582"/>
      <c r="C194" s="581"/>
      <c r="D194" s="581"/>
      <c r="F194" s="552"/>
      <c r="G194" s="538"/>
      <c r="H194" s="576"/>
      <c r="I194" s="576"/>
      <c r="J194" s="576"/>
      <c r="K194" s="576"/>
      <c r="L194" s="576"/>
      <c r="M194" s="576"/>
      <c r="N194" s="577"/>
      <c r="O194" s="577"/>
      <c r="P194" s="577"/>
      <c r="Q194" s="577"/>
      <c r="R194" s="577"/>
      <c r="S194" s="577"/>
      <c r="T194" s="577"/>
      <c r="U194" s="576"/>
      <c r="V194" s="576"/>
      <c r="W194" s="137"/>
      <c r="X194" s="137"/>
      <c r="Y194" s="137"/>
    </row>
    <row r="195" spans="1:25" ht="12.75" hidden="1">
      <c r="A195" s="132">
        <v>11</v>
      </c>
      <c r="B195" s="585" t="s">
        <v>540</v>
      </c>
      <c r="C195" s="585"/>
      <c r="D195" s="581"/>
      <c r="F195" s="552" t="s">
        <v>539</v>
      </c>
      <c r="G195" s="583"/>
      <c r="H195" s="569"/>
      <c r="I195" s="569"/>
      <c r="J195" s="569"/>
      <c r="K195" s="569"/>
      <c r="L195" s="569"/>
      <c r="M195" s="569"/>
      <c r="N195" s="568">
        <f t="shared" ref="N195:T195" si="49">2.333*N179</f>
        <v>0.14283990560999135</v>
      </c>
      <c r="O195" s="568">
        <f t="shared" si="49"/>
        <v>0.21770055121753981</v>
      </c>
      <c r="P195" s="568">
        <f t="shared" si="49"/>
        <v>0.16678908582581037</v>
      </c>
      <c r="Q195" s="568">
        <f t="shared" si="49"/>
        <v>0.18393560789249697</v>
      </c>
      <c r="R195" s="568">
        <f t="shared" si="49"/>
        <v>0.16253774500001289</v>
      </c>
      <c r="S195" s="568">
        <f t="shared" si="49"/>
        <v>0.16598325038080958</v>
      </c>
      <c r="T195" s="570">
        <f t="shared" si="49"/>
        <v>0.12150072227079374</v>
      </c>
      <c r="U195" s="569"/>
      <c r="V195" s="569"/>
      <c r="W195" s="586"/>
      <c r="X195" s="587"/>
      <c r="Y195" s="137"/>
    </row>
    <row r="196" spans="1:25" ht="12.75" hidden="1">
      <c r="B196" s="575"/>
      <c r="C196" s="581"/>
      <c r="D196" s="581"/>
      <c r="F196" s="552"/>
      <c r="G196" s="538"/>
      <c r="H196" s="576"/>
      <c r="I196" s="576"/>
      <c r="J196" s="576"/>
      <c r="K196" s="576"/>
      <c r="L196" s="576"/>
      <c r="M196" s="576"/>
      <c r="N196" s="577"/>
      <c r="O196" s="577"/>
      <c r="P196" s="577"/>
      <c r="Q196" s="577"/>
      <c r="R196" s="577"/>
      <c r="S196" s="577"/>
      <c r="T196" s="577"/>
      <c r="U196" s="576"/>
      <c r="V196" s="576"/>
      <c r="W196" s="137"/>
      <c r="X196" s="137"/>
      <c r="Y196" s="137"/>
    </row>
    <row r="197" spans="1:25" ht="12" hidden="1" customHeight="1">
      <c r="A197" s="132">
        <v>12</v>
      </c>
      <c r="B197" s="588" t="s">
        <v>536</v>
      </c>
      <c r="C197" s="581"/>
      <c r="D197" s="581"/>
      <c r="F197" s="114" t="s">
        <v>539</v>
      </c>
      <c r="G197" s="583"/>
      <c r="H197" s="569"/>
      <c r="I197" s="569"/>
      <c r="J197" s="569"/>
      <c r="K197" s="569"/>
      <c r="L197" s="569"/>
      <c r="M197" s="569"/>
      <c r="N197" s="568">
        <f t="shared" ref="N197:T197" si="50">2.333*N181</f>
        <v>0.15853937684734803</v>
      </c>
      <c r="O197" s="568">
        <f t="shared" si="50"/>
        <v>0.1612250353564908</v>
      </c>
      <c r="P197" s="568">
        <f t="shared" si="50"/>
        <v>0.14212385263290389</v>
      </c>
      <c r="Q197" s="568">
        <f t="shared" si="50"/>
        <v>0.15695614179176448</v>
      </c>
      <c r="R197" s="568">
        <f t="shared" si="50"/>
        <v>0.17386224525856658</v>
      </c>
      <c r="S197" s="568">
        <f t="shared" si="50"/>
        <v>0.18008073365806809</v>
      </c>
      <c r="T197" s="570">
        <f t="shared" si="50"/>
        <v>0.19052824794933837</v>
      </c>
      <c r="U197" s="569"/>
      <c r="V197" s="569"/>
      <c r="W197" s="587"/>
      <c r="X197" s="137"/>
      <c r="Y197" s="137"/>
    </row>
    <row r="198" spans="1:25" ht="3" hidden="1" customHeight="1">
      <c r="B198" s="588"/>
      <c r="C198" s="581"/>
      <c r="D198" s="581"/>
      <c r="G198" s="583"/>
      <c r="H198" s="569"/>
      <c r="I198" s="569"/>
      <c r="J198" s="569"/>
      <c r="K198" s="569"/>
      <c r="L198" s="569"/>
      <c r="M198" s="569"/>
      <c r="N198" s="569"/>
      <c r="O198" s="569"/>
      <c r="P198" s="569"/>
      <c r="Q198" s="569"/>
      <c r="R198" s="568"/>
      <c r="S198" s="568"/>
      <c r="T198" s="570"/>
      <c r="U198" s="570"/>
      <c r="V198" s="570"/>
      <c r="W198" s="587"/>
      <c r="X198" s="137"/>
      <c r="Y198" s="137"/>
    </row>
    <row r="199" spans="1:25" ht="2.25" customHeight="1">
      <c r="B199" s="588"/>
      <c r="C199" s="581"/>
      <c r="D199" s="581"/>
      <c r="G199" s="583"/>
      <c r="H199" s="569"/>
      <c r="I199" s="569"/>
      <c r="J199" s="569"/>
      <c r="K199" s="569"/>
      <c r="L199" s="569"/>
      <c r="M199" s="569"/>
      <c r="N199" s="569"/>
      <c r="O199" s="569"/>
      <c r="P199" s="569"/>
      <c r="Q199" s="569"/>
      <c r="R199" s="568"/>
      <c r="S199" s="568"/>
      <c r="T199" s="570"/>
      <c r="U199" s="701"/>
      <c r="V199" s="701"/>
      <c r="W199" s="587"/>
      <c r="X199" s="137"/>
      <c r="Y199" s="137"/>
    </row>
    <row r="200" spans="1:25" ht="4.5" customHeight="1" thickBot="1">
      <c r="B200" s="588"/>
      <c r="C200" s="581"/>
      <c r="D200" s="581"/>
      <c r="G200" s="583"/>
      <c r="H200" s="569"/>
      <c r="I200" s="569"/>
      <c r="J200" s="569"/>
      <c r="K200" s="569"/>
      <c r="L200" s="569"/>
      <c r="M200" s="569"/>
      <c r="N200" s="569"/>
      <c r="O200" s="569"/>
      <c r="P200" s="569"/>
      <c r="Q200" s="569"/>
      <c r="R200" s="568"/>
      <c r="S200" s="568"/>
      <c r="T200" s="570"/>
      <c r="U200" s="701"/>
      <c r="V200" s="701"/>
      <c r="W200" s="587"/>
      <c r="X200" s="137"/>
      <c r="Y200" s="137"/>
    </row>
    <row r="201" spans="1:25" ht="12.75">
      <c r="B201" s="571"/>
      <c r="E201" s="703"/>
      <c r="F201" s="704"/>
      <c r="G201" s="590"/>
      <c r="H201" s="591"/>
      <c r="I201" s="591"/>
      <c r="J201" s="591"/>
      <c r="K201" s="591"/>
      <c r="L201" s="591"/>
      <c r="M201" s="705" t="s">
        <v>453</v>
      </c>
      <c r="N201" s="592"/>
      <c r="O201" s="591"/>
      <c r="P201" s="591"/>
      <c r="Q201" s="589"/>
      <c r="R201" s="591"/>
      <c r="S201" s="593"/>
      <c r="T201" s="805" t="s">
        <v>454</v>
      </c>
      <c r="U201" s="569"/>
      <c r="V201" s="816" t="s">
        <v>463</v>
      </c>
      <c r="X201" s="840" t="s">
        <v>671</v>
      </c>
      <c r="Y201" s="841" t="s">
        <v>463</v>
      </c>
    </row>
    <row r="202" spans="1:25" ht="12.75">
      <c r="A202" s="132">
        <v>9</v>
      </c>
      <c r="B202" s="571"/>
      <c r="E202" s="706" t="s">
        <v>38</v>
      </c>
      <c r="F202" s="551"/>
      <c r="G202" s="583"/>
      <c r="H202" s="569"/>
      <c r="I202" s="569"/>
      <c r="J202" s="569"/>
      <c r="K202" s="569"/>
      <c r="L202" s="569"/>
      <c r="M202" s="707">
        <f>'ADJ DETAIL INPUT-Restated CB'!AC42</f>
        <v>0.20786722357200216</v>
      </c>
      <c r="N202" s="594">
        <f t="shared" ref="N202:T202" si="51">N177*$M$202</f>
        <v>1.9506292102399597E-2</v>
      </c>
      <c r="O202" s="594">
        <f t="shared" si="51"/>
        <v>2.0788269555640074E-2</v>
      </c>
      <c r="P202" s="594">
        <f t="shared" si="51"/>
        <v>2.1062545225135607E-2</v>
      </c>
      <c r="Q202" s="594">
        <f t="shared" si="51"/>
        <v>2.1832849146843806E-2</v>
      </c>
      <c r="R202" s="594">
        <f t="shared" si="51"/>
        <v>2.3260349827096499E-2</v>
      </c>
      <c r="S202" s="594">
        <f t="shared" si="51"/>
        <v>2.4227873627237613E-2</v>
      </c>
      <c r="T202" s="806">
        <f t="shared" si="51"/>
        <v>2.2725921582605221E-2</v>
      </c>
      <c r="U202" s="594"/>
      <c r="V202" s="817">
        <f>T202</f>
        <v>2.2725921582605221E-2</v>
      </c>
      <c r="X202" s="594"/>
      <c r="Y202" s="842">
        <v>2.2725921582605221E-2</v>
      </c>
    </row>
    <row r="203" spans="1:25" ht="12.75">
      <c r="A203" s="132">
        <v>10</v>
      </c>
      <c r="B203" s="571"/>
      <c r="E203" s="706" t="s">
        <v>393</v>
      </c>
      <c r="F203" s="551"/>
      <c r="G203" s="576"/>
      <c r="H203" s="576"/>
      <c r="I203" s="576"/>
      <c r="J203" s="576"/>
      <c r="K203" s="576"/>
      <c r="L203" s="576"/>
      <c r="M203" s="707">
        <f>'ADJ DETAIL INPUT-Restated CB'!AC43</f>
        <v>0.42748917902802175</v>
      </c>
      <c r="N203" s="594">
        <f t="shared" ref="N203:T203" si="52">$M$203*N174</f>
        <v>2.3696746507645822E-2</v>
      </c>
      <c r="O203" s="595">
        <f t="shared" si="52"/>
        <v>2.5208402857334999E-2</v>
      </c>
      <c r="P203" s="595">
        <f t="shared" si="52"/>
        <v>2.1171037152219678E-2</v>
      </c>
      <c r="Q203" s="595">
        <f t="shared" si="52"/>
        <v>2.0695908583287445E-2</v>
      </c>
      <c r="R203" s="595">
        <f t="shared" si="52"/>
        <v>1.8806386636916514E-2</v>
      </c>
      <c r="S203" s="595">
        <f t="shared" si="52"/>
        <v>1.2620782072065594E-2</v>
      </c>
      <c r="T203" s="806">
        <f t="shared" si="52"/>
        <v>1.5495593202882208E-2</v>
      </c>
      <c r="U203" s="595"/>
      <c r="V203" s="817">
        <f>$M$203*$Y$174</f>
        <v>8.6780303342688415E-3</v>
      </c>
      <c r="W203" s="675" t="s">
        <v>661</v>
      </c>
      <c r="X203" s="594"/>
      <c r="Y203" s="842">
        <v>8.6780303342688415E-3</v>
      </c>
    </row>
    <row r="204" spans="1:25" ht="12.75">
      <c r="A204" s="132">
        <v>11</v>
      </c>
      <c r="B204" s="571"/>
      <c r="E204" s="706" t="s">
        <v>458</v>
      </c>
      <c r="F204" s="551"/>
      <c r="G204" s="569"/>
      <c r="H204" s="569"/>
      <c r="I204" s="569"/>
      <c r="J204" s="569"/>
      <c r="K204" s="569"/>
      <c r="L204" s="569"/>
      <c r="M204" s="707">
        <f>'ADJ DETAIL INPUT-Restated CB'!AC44</f>
        <v>7.5673433694233849E-2</v>
      </c>
      <c r="N204" s="594">
        <f t="shared" ref="N204:T204" si="53">N179*$M$204</f>
        <v>4.6331702212037305E-3</v>
      </c>
      <c r="O204" s="594">
        <f t="shared" si="53"/>
        <v>7.0613580058974104E-3</v>
      </c>
      <c r="P204" s="594">
        <f t="shared" si="53"/>
        <v>5.4099883528338352E-3</v>
      </c>
      <c r="Q204" s="594">
        <f t="shared" si="53"/>
        <v>5.9661547483332465E-3</v>
      </c>
      <c r="R204" s="594">
        <f t="shared" si="53"/>
        <v>5.272091414088625E-3</v>
      </c>
      <c r="S204" s="594">
        <f t="shared" si="53"/>
        <v>5.3838501894751855E-3</v>
      </c>
      <c r="T204" s="806">
        <f t="shared" si="53"/>
        <v>3.9410102231292035E-3</v>
      </c>
      <c r="U204" s="594"/>
      <c r="V204" s="817">
        <f>T204</f>
        <v>3.9410102231292035E-3</v>
      </c>
      <c r="W204" s="596"/>
      <c r="X204" s="594"/>
      <c r="Y204" s="842">
        <v>3.9410102231292035E-3</v>
      </c>
    </row>
    <row r="205" spans="1:25" ht="12.75">
      <c r="A205" s="132">
        <v>12</v>
      </c>
      <c r="E205" s="708" t="s">
        <v>459</v>
      </c>
      <c r="F205" s="551"/>
      <c r="G205" s="551"/>
      <c r="H205" s="551"/>
      <c r="I205" s="551"/>
      <c r="J205" s="551"/>
      <c r="K205" s="551"/>
      <c r="L205" s="551"/>
      <c r="M205" s="707">
        <f>'ADJ DETAIL INPUT-Restated CB'!AC46</f>
        <v>0.28897016370574224</v>
      </c>
      <c r="N205" s="594">
        <f t="shared" ref="N205:T205" si="54">$M$205*N181</f>
        <v>1.9637012293778192E-2</v>
      </c>
      <c r="O205" s="595">
        <f t="shared" si="54"/>
        <v>1.9969663463535885E-2</v>
      </c>
      <c r="P205" s="595">
        <f t="shared" si="54"/>
        <v>1.7603751805324055E-2</v>
      </c>
      <c r="Q205" s="595">
        <f t="shared" si="54"/>
        <v>1.9440909553445292E-2</v>
      </c>
      <c r="R205" s="595">
        <f t="shared" si="54"/>
        <v>2.1534934194005952E-2</v>
      </c>
      <c r="S205" s="595">
        <f t="shared" si="54"/>
        <v>2.2305168917883453E-2</v>
      </c>
      <c r="T205" s="806">
        <f t="shared" si="54"/>
        <v>2.3599219460132256E-2</v>
      </c>
      <c r="U205" s="595"/>
      <c r="V205" s="846">
        <f>$M$205*V181</f>
        <v>1.896017944362673E-2</v>
      </c>
      <c r="W205" s="596" t="s">
        <v>668</v>
      </c>
      <c r="X205" s="595"/>
      <c r="Y205" s="842">
        <v>1.4512000993306793E-2</v>
      </c>
    </row>
    <row r="206" spans="1:25" ht="12.75">
      <c r="A206" s="132">
        <v>13</v>
      </c>
      <c r="E206" s="708" t="s">
        <v>131</v>
      </c>
      <c r="F206" s="551"/>
      <c r="G206" s="551"/>
      <c r="H206" s="551"/>
      <c r="I206" s="551"/>
      <c r="J206" s="551"/>
      <c r="K206" s="551"/>
      <c r="L206" s="551"/>
      <c r="M206" s="709"/>
      <c r="N206" s="597">
        <v>-8.3999999999999995E-3</v>
      </c>
      <c r="O206" s="597">
        <v>-8.3999999999999995E-3</v>
      </c>
      <c r="P206" s="597">
        <v>-8.3999999999999995E-3</v>
      </c>
      <c r="Q206" s="597">
        <v>-8.3999999999999995E-3</v>
      </c>
      <c r="R206" s="597">
        <v>-8.3999999999999995E-3</v>
      </c>
      <c r="S206" s="597">
        <v>-8.3999999999999995E-3</v>
      </c>
      <c r="T206" s="807">
        <v>-8.3999999999999995E-3</v>
      </c>
      <c r="U206" s="597"/>
      <c r="V206" s="818">
        <f>'ADJ DETAIL INPUT-Restated CB'!AB65</f>
        <v>-8.7193831485412477E-3</v>
      </c>
      <c r="W206" s="112" t="s">
        <v>662</v>
      </c>
      <c r="X206" s="597"/>
      <c r="Y206" s="843">
        <v>-8.3999999999999995E-3</v>
      </c>
    </row>
    <row r="207" spans="1:25" ht="12.75">
      <c r="E207" s="708"/>
      <c r="F207" s="551"/>
      <c r="G207" s="551"/>
      <c r="H207" s="551"/>
      <c r="I207" s="551"/>
      <c r="J207" s="551"/>
      <c r="K207" s="551"/>
      <c r="L207" s="551"/>
      <c r="M207" s="551"/>
      <c r="N207" s="598"/>
      <c r="O207" s="598"/>
      <c r="P207" s="598"/>
      <c r="Q207" s="598"/>
      <c r="R207" s="598"/>
      <c r="S207" s="598"/>
      <c r="T207" s="808"/>
      <c r="U207" s="702"/>
      <c r="V207" s="819"/>
      <c r="X207" s="702"/>
      <c r="Y207" s="844"/>
    </row>
    <row r="208" spans="1:25" ht="13.5" thickBot="1">
      <c r="A208" s="132">
        <v>14</v>
      </c>
      <c r="E208" s="710" t="s">
        <v>541</v>
      </c>
      <c r="F208" s="711"/>
      <c r="G208" s="711"/>
      <c r="H208" s="711"/>
      <c r="I208" s="711"/>
      <c r="J208" s="711"/>
      <c r="K208" s="711"/>
      <c r="L208" s="711"/>
      <c r="M208" s="711"/>
      <c r="N208" s="599">
        <f t="shared" ref="N208:S208" si="55">SUM(N202:N207)</f>
        <v>5.9073221125027338E-2</v>
      </c>
      <c r="O208" s="599">
        <f t="shared" si="55"/>
        <v>6.4627693882408369E-2</v>
      </c>
      <c r="P208" s="599">
        <f t="shared" si="55"/>
        <v>5.6847322535513174E-2</v>
      </c>
      <c r="Q208" s="600">
        <f t="shared" si="55"/>
        <v>5.9535822031909789E-2</v>
      </c>
      <c r="R208" s="599">
        <f t="shared" si="55"/>
        <v>6.0473762072107591E-2</v>
      </c>
      <c r="S208" s="600">
        <f t="shared" si="55"/>
        <v>5.6137674806661854E-2</v>
      </c>
      <c r="T208" s="809">
        <f>SUM(T202:T207)-0.0001</f>
        <v>5.7261744468748883E-2</v>
      </c>
      <c r="U208" s="597"/>
      <c r="V208" s="820">
        <f>SUM(V202:V207)-0.0001</f>
        <v>4.5485758435088744E-2</v>
      </c>
      <c r="X208" s="597"/>
      <c r="Y208" s="845">
        <v>4.1356963133310061E-2</v>
      </c>
    </row>
    <row r="209" spans="5:26" ht="42" customHeight="1">
      <c r="E209" s="878" t="s">
        <v>669</v>
      </c>
      <c r="F209" s="878"/>
      <c r="G209" s="878"/>
      <c r="H209" s="878"/>
      <c r="I209" s="878"/>
      <c r="J209" s="878"/>
      <c r="K209" s="878"/>
      <c r="L209" s="878"/>
      <c r="M209" s="878"/>
      <c r="N209" s="878"/>
      <c r="O209" s="878"/>
      <c r="P209" s="878"/>
      <c r="Q209" s="878"/>
      <c r="R209" s="878"/>
      <c r="S209" s="878"/>
      <c r="T209" s="878"/>
      <c r="U209" s="878"/>
      <c r="V209" s="878"/>
      <c r="W209" s="878"/>
      <c r="X209" s="878"/>
      <c r="Y209" s="878"/>
      <c r="Z209" s="714"/>
    </row>
    <row r="210" spans="5:26">
      <c r="G210" s="551"/>
      <c r="Y210" s="574"/>
    </row>
    <row r="211" spans="5:26">
      <c r="G211" s="551"/>
    </row>
    <row r="212" spans="5:26">
      <c r="G212" s="551"/>
    </row>
    <row r="213" spans="5:26">
      <c r="G213" s="551"/>
    </row>
    <row r="214" spans="5:26">
      <c r="G214" s="551"/>
    </row>
    <row r="215" spans="5:26">
      <c r="G215" s="551"/>
    </row>
  </sheetData>
  <mergeCells count="10">
    <mergeCell ref="E209:Y209"/>
    <mergeCell ref="W181:W184"/>
    <mergeCell ref="W137:Y137"/>
    <mergeCell ref="X136:Z136"/>
    <mergeCell ref="A1:R1"/>
    <mergeCell ref="A5:N5"/>
    <mergeCell ref="A59:R59"/>
    <mergeCell ref="A62:N62"/>
    <mergeCell ref="X118:Z118"/>
    <mergeCell ref="W156:Y157"/>
  </mergeCells>
  <pageMargins left="0.75" right="0.75" top="0.9" bottom="0.6" header="0.5" footer="0.4"/>
  <pageSetup scale="58" fitToHeight="2" orientation="landscape" r:id="rId1"/>
  <headerFooter scaleWithDoc="0" alignWithMargins="0">
    <oddHeader>&amp;RExh. EMA-14</oddHeader>
    <oddFooter>&amp;RPage &amp;P of &amp;N</oddFooter>
  </headerFooter>
  <rowBreaks count="1" manualBreakCount="1">
    <brk id="92" max="2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40625" defaultRowHeight="12.75"/>
  <cols>
    <col min="1" max="16384" width="9.140625" style="455"/>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39997558519241921"/>
  </sheetPr>
  <dimension ref="A1:AY65"/>
  <sheetViews>
    <sheetView view="pageBreakPreview" zoomScaleNormal="100" zoomScaleSheetLayoutView="100" workbookViewId="0">
      <pane xSplit="6" ySplit="3" topLeftCell="AF37" activePane="bottomRight" state="frozen"/>
      <selection activeCell="C28" sqref="C28"/>
      <selection pane="topRight" activeCell="C28" sqref="C28"/>
      <selection pane="bottomLeft" activeCell="C28" sqref="C28"/>
      <selection pane="bottomRight" activeCell="AI79" sqref="AI79"/>
    </sheetView>
  </sheetViews>
  <sheetFormatPr defaultColWidth="9.140625" defaultRowHeight="12.75"/>
  <cols>
    <col min="1" max="1" width="5.7109375" style="132" customWidth="1"/>
    <col min="2" max="3" width="1.7109375" style="112" customWidth="1"/>
    <col min="4" max="4" width="23.28515625" style="112" customWidth="1"/>
    <col min="5" max="5" width="9" style="601" customWidth="1"/>
    <col min="6" max="6" width="1.7109375" style="601" customWidth="1"/>
    <col min="7" max="7" width="7.5703125" style="558" bestFit="1" customWidth="1"/>
    <col min="8" max="8" width="8.42578125" style="558" customWidth="1"/>
    <col min="9" max="9" width="7.5703125" style="558" bestFit="1" customWidth="1"/>
    <col min="10" max="10" width="10" style="558" customWidth="1"/>
    <col min="11" max="11" width="7.5703125" style="558" bestFit="1" customWidth="1"/>
    <col min="12" max="12" width="9.42578125" style="558" customWidth="1"/>
    <col min="13" max="13" width="7.5703125" style="558" bestFit="1" customWidth="1"/>
    <col min="14" max="14" width="8.85546875" style="558" customWidth="1"/>
    <col min="15" max="15" width="7.5703125" style="558" bestFit="1" customWidth="1"/>
    <col min="16" max="16" width="9" style="558" customWidth="1"/>
    <col min="17" max="17" width="7.5703125" style="558" bestFit="1" customWidth="1"/>
    <col min="18" max="18" width="10.140625" style="558" customWidth="1"/>
    <col min="19" max="19" width="7.5703125" style="558" bestFit="1" customWidth="1"/>
    <col min="20" max="20" width="9.5703125" style="558" customWidth="1"/>
    <col min="21" max="21" width="7.5703125" style="558" bestFit="1" customWidth="1"/>
    <col min="22" max="22" width="7.85546875" style="558" bestFit="1" customWidth="1"/>
    <col min="23" max="23" width="9.7109375" style="558" customWidth="1"/>
    <col min="24" max="25" width="6.7109375" style="558" customWidth="1"/>
    <col min="26" max="26" width="9.42578125" style="558" customWidth="1"/>
    <col min="27" max="27" width="6.7109375" style="558" customWidth="1"/>
    <col min="28" max="28" width="6.42578125" style="558" customWidth="1"/>
    <col min="29" max="29" width="9.42578125" style="558" customWidth="1"/>
    <col min="30" max="30" width="7" style="558" customWidth="1"/>
    <col min="31" max="31" width="7.7109375" style="558" customWidth="1"/>
    <col min="32" max="32" width="8.85546875" style="558" customWidth="1"/>
    <col min="33" max="33" width="7" style="558" customWidth="1"/>
    <col min="34" max="34" width="7.28515625" style="558" customWidth="1"/>
    <col min="35" max="35" width="8.85546875" style="558" customWidth="1"/>
    <col min="36" max="36" width="6.85546875" style="558" customWidth="1"/>
    <col min="37" max="37" width="7.5703125" style="558" customWidth="1"/>
    <col min="38" max="38" width="9.28515625" style="558" customWidth="1"/>
    <col min="39" max="40" width="11.28515625" style="558" hidden="1" customWidth="1"/>
    <col min="41" max="41" width="11.28515625" style="558" customWidth="1"/>
    <col min="42" max="42" width="10.28515625" style="558" hidden="1" customWidth="1"/>
    <col min="43" max="43" width="9.5703125" style="558" hidden="1" customWidth="1"/>
    <col min="44" max="44" width="9.5703125" style="601" customWidth="1"/>
    <col min="45" max="46" width="9.5703125" style="558" hidden="1" customWidth="1"/>
    <col min="47" max="47" width="9.5703125" style="601" customWidth="1"/>
    <col min="48" max="49" width="9.5703125" style="601" hidden="1" customWidth="1"/>
    <col min="50" max="50" width="9.5703125" style="601" customWidth="1"/>
    <col min="51" max="51" width="9.140625" style="601"/>
    <col min="52" max="16384" width="9.140625" style="558"/>
  </cols>
  <sheetData>
    <row r="1" spans="1:50">
      <c r="A1" s="111" t="s">
        <v>103</v>
      </c>
    </row>
    <row r="2" spans="1:50">
      <c r="A2" s="111" t="s">
        <v>169</v>
      </c>
    </row>
    <row r="3" spans="1:50">
      <c r="A3" s="111" t="s">
        <v>542</v>
      </c>
      <c r="I3" s="602"/>
      <c r="M3" s="602"/>
    </row>
    <row r="4" spans="1:50">
      <c r="A4" s="111" t="s">
        <v>69</v>
      </c>
      <c r="B4" s="111"/>
      <c r="C4" s="111"/>
      <c r="D4" s="111"/>
      <c r="I4" s="602"/>
      <c r="M4" s="602"/>
    </row>
    <row r="5" spans="1:50">
      <c r="A5" s="111"/>
      <c r="G5" s="603"/>
      <c r="H5" s="602"/>
      <c r="I5" s="603"/>
      <c r="J5" s="602"/>
      <c r="K5" s="603"/>
      <c r="L5" s="602"/>
      <c r="M5" s="603"/>
      <c r="N5" s="602"/>
      <c r="O5" s="603"/>
      <c r="P5" s="602"/>
      <c r="Q5" s="603"/>
      <c r="R5" s="602"/>
      <c r="S5" s="603"/>
      <c r="T5" s="602"/>
      <c r="U5" s="603"/>
      <c r="V5" s="602"/>
      <c r="W5" s="604"/>
      <c r="X5" s="603"/>
      <c r="Y5" s="602"/>
      <c r="Z5" s="602"/>
      <c r="AA5" s="603"/>
      <c r="AD5" s="603"/>
      <c r="AG5" s="603"/>
      <c r="AJ5" s="603"/>
      <c r="AK5" s="602"/>
      <c r="AL5" s="604"/>
      <c r="AM5" s="603"/>
      <c r="AN5" s="602"/>
      <c r="AO5" s="604"/>
      <c r="AP5" s="603"/>
      <c r="AQ5" s="602"/>
      <c r="AR5" s="605" t="s">
        <v>543</v>
      </c>
      <c r="AS5" s="606"/>
      <c r="AT5" s="567"/>
      <c r="AU5" s="504" t="s">
        <v>543</v>
      </c>
      <c r="AV5" s="606"/>
      <c r="AW5" s="567"/>
      <c r="AX5" s="504" t="s">
        <v>543</v>
      </c>
    </row>
    <row r="6" spans="1:50">
      <c r="A6" s="115"/>
      <c r="B6" s="116"/>
      <c r="C6" s="116"/>
      <c r="D6" s="116"/>
      <c r="G6" s="607">
        <v>2000</v>
      </c>
      <c r="H6" s="608"/>
      <c r="I6" s="607">
        <v>2001</v>
      </c>
      <c r="J6" s="608"/>
      <c r="K6" s="607">
        <v>2002</v>
      </c>
      <c r="L6" s="608"/>
      <c r="M6" s="607">
        <v>2003</v>
      </c>
      <c r="N6" s="608"/>
      <c r="O6" s="609" t="s">
        <v>544</v>
      </c>
      <c r="P6" s="610"/>
      <c r="Q6" s="607">
        <v>2005</v>
      </c>
      <c r="R6" s="608"/>
      <c r="S6" s="609" t="s">
        <v>545</v>
      </c>
      <c r="T6" s="610"/>
      <c r="U6" s="607" t="s">
        <v>546</v>
      </c>
      <c r="V6" s="611"/>
      <c r="W6" s="612"/>
      <c r="X6" s="607" t="s">
        <v>547</v>
      </c>
      <c r="Y6" s="612"/>
      <c r="Z6" s="612"/>
      <c r="AA6" s="607" t="s">
        <v>548</v>
      </c>
      <c r="AB6" s="613"/>
      <c r="AC6" s="613"/>
      <c r="AD6" s="607" t="s">
        <v>549</v>
      </c>
      <c r="AE6" s="613"/>
      <c r="AF6" s="613"/>
      <c r="AG6" s="607" t="s">
        <v>550</v>
      </c>
      <c r="AH6" s="613"/>
      <c r="AI6" s="613"/>
      <c r="AJ6" s="893" t="s">
        <v>551</v>
      </c>
      <c r="AK6" s="894"/>
      <c r="AL6" s="895"/>
      <c r="AM6" s="893" t="s">
        <v>552</v>
      </c>
      <c r="AN6" s="894"/>
      <c r="AO6" s="895"/>
      <c r="AP6" s="893" t="s">
        <v>553</v>
      </c>
      <c r="AQ6" s="894"/>
      <c r="AR6" s="895"/>
      <c r="AS6" s="896" t="s">
        <v>554</v>
      </c>
      <c r="AT6" s="897"/>
      <c r="AU6" s="898"/>
      <c r="AV6" s="896" t="s">
        <v>555</v>
      </c>
      <c r="AW6" s="897"/>
      <c r="AX6" s="898"/>
    </row>
    <row r="7" spans="1:50">
      <c r="A7" s="118"/>
      <c r="B7" s="119"/>
      <c r="C7" s="120"/>
      <c r="D7" s="121"/>
      <c r="G7" s="614"/>
      <c r="H7" s="615"/>
      <c r="I7" s="614"/>
      <c r="J7" s="615"/>
      <c r="K7" s="614"/>
      <c r="L7" s="615"/>
      <c r="M7" s="614"/>
      <c r="N7" s="615"/>
      <c r="O7" s="614"/>
      <c r="P7" s="615"/>
      <c r="Q7" s="614"/>
      <c r="R7" s="615"/>
      <c r="S7" s="614"/>
      <c r="T7" s="615"/>
      <c r="U7" s="614"/>
      <c r="V7" s="616" t="s">
        <v>556</v>
      </c>
      <c r="W7" s="617"/>
      <c r="X7" s="614"/>
      <c r="Y7" s="616" t="s">
        <v>556</v>
      </c>
      <c r="Z7" s="617"/>
      <c r="AA7" s="614"/>
      <c r="AB7" s="618" t="s">
        <v>556</v>
      </c>
      <c r="AC7" s="618"/>
      <c r="AD7" s="614"/>
      <c r="AE7" s="618" t="s">
        <v>556</v>
      </c>
      <c r="AF7" s="618"/>
      <c r="AG7" s="614"/>
      <c r="AH7" s="618" t="s">
        <v>556</v>
      </c>
      <c r="AI7" s="618"/>
      <c r="AJ7" s="614"/>
      <c r="AK7" s="616" t="s">
        <v>556</v>
      </c>
      <c r="AL7" s="604"/>
      <c r="AM7" s="614"/>
      <c r="AN7" s="616" t="s">
        <v>556</v>
      </c>
      <c r="AO7" s="604"/>
      <c r="AP7" s="614"/>
      <c r="AQ7" s="616" t="s">
        <v>556</v>
      </c>
      <c r="AR7" s="619"/>
      <c r="AS7" s="620"/>
      <c r="AT7" s="621" t="s">
        <v>556</v>
      </c>
      <c r="AU7" s="619"/>
      <c r="AV7" s="620"/>
      <c r="AW7" s="621" t="s">
        <v>556</v>
      </c>
      <c r="AX7" s="621"/>
    </row>
    <row r="8" spans="1:50">
      <c r="A8" s="122" t="s">
        <v>7</v>
      </c>
      <c r="B8" s="123"/>
      <c r="C8" s="124"/>
      <c r="D8" s="125"/>
      <c r="G8" s="622" t="s">
        <v>556</v>
      </c>
      <c r="H8" s="616" t="s">
        <v>556</v>
      </c>
      <c r="I8" s="622" t="s">
        <v>556</v>
      </c>
      <c r="J8" s="616" t="s">
        <v>556</v>
      </c>
      <c r="K8" s="622" t="s">
        <v>556</v>
      </c>
      <c r="L8" s="616" t="s">
        <v>556</v>
      </c>
      <c r="M8" s="622" t="s">
        <v>556</v>
      </c>
      <c r="N8" s="616" t="s">
        <v>556</v>
      </c>
      <c r="O8" s="622" t="s">
        <v>556</v>
      </c>
      <c r="P8" s="616" t="s">
        <v>556</v>
      </c>
      <c r="Q8" s="622" t="s">
        <v>556</v>
      </c>
      <c r="R8" s="616" t="s">
        <v>556</v>
      </c>
      <c r="S8" s="622" t="s">
        <v>556</v>
      </c>
      <c r="T8" s="616" t="s">
        <v>556</v>
      </c>
      <c r="U8" s="622" t="s">
        <v>556</v>
      </c>
      <c r="V8" s="616" t="s">
        <v>557</v>
      </c>
      <c r="W8" s="616" t="s">
        <v>556</v>
      </c>
      <c r="X8" s="622" t="s">
        <v>556</v>
      </c>
      <c r="Y8" s="616" t="s">
        <v>557</v>
      </c>
      <c r="Z8" s="616" t="s">
        <v>556</v>
      </c>
      <c r="AA8" s="622" t="s">
        <v>556</v>
      </c>
      <c r="AB8" s="616" t="s">
        <v>557</v>
      </c>
      <c r="AC8" s="616" t="s">
        <v>556</v>
      </c>
      <c r="AD8" s="622" t="s">
        <v>556</v>
      </c>
      <c r="AE8" s="616" t="s">
        <v>557</v>
      </c>
      <c r="AF8" s="616" t="s">
        <v>556</v>
      </c>
      <c r="AG8" s="622" t="s">
        <v>556</v>
      </c>
      <c r="AH8" s="616" t="s">
        <v>557</v>
      </c>
      <c r="AI8" s="616" t="s">
        <v>556</v>
      </c>
      <c r="AJ8" s="622" t="s">
        <v>556</v>
      </c>
      <c r="AK8" s="616" t="s">
        <v>557</v>
      </c>
      <c r="AL8" s="617" t="s">
        <v>556</v>
      </c>
      <c r="AM8" s="622" t="s">
        <v>556</v>
      </c>
      <c r="AN8" s="616" t="s">
        <v>557</v>
      </c>
      <c r="AO8" s="617" t="s">
        <v>556</v>
      </c>
      <c r="AP8" s="622" t="s">
        <v>556</v>
      </c>
      <c r="AQ8" s="616" t="s">
        <v>557</v>
      </c>
      <c r="AR8" s="623" t="s">
        <v>556</v>
      </c>
      <c r="AS8" s="624" t="s">
        <v>556</v>
      </c>
      <c r="AT8" s="621" t="s">
        <v>557</v>
      </c>
      <c r="AU8" s="623" t="s">
        <v>556</v>
      </c>
      <c r="AV8" s="624" t="s">
        <v>556</v>
      </c>
      <c r="AW8" s="621" t="s">
        <v>557</v>
      </c>
      <c r="AX8" s="623" t="s">
        <v>556</v>
      </c>
    </row>
    <row r="9" spans="1:50">
      <c r="A9" s="127" t="s">
        <v>15</v>
      </c>
      <c r="B9" s="128"/>
      <c r="C9" s="129"/>
      <c r="D9" s="130" t="s">
        <v>16</v>
      </c>
      <c r="E9" s="625" t="s">
        <v>558</v>
      </c>
      <c r="F9" s="625"/>
      <c r="G9" s="626" t="s">
        <v>559</v>
      </c>
      <c r="H9" s="627" t="s">
        <v>560</v>
      </c>
      <c r="I9" s="626" t="s">
        <v>559</v>
      </c>
      <c r="J9" s="627" t="s">
        <v>560</v>
      </c>
      <c r="K9" s="626" t="s">
        <v>559</v>
      </c>
      <c r="L9" s="627" t="s">
        <v>560</v>
      </c>
      <c r="M9" s="626" t="s">
        <v>559</v>
      </c>
      <c r="N9" s="627" t="s">
        <v>560</v>
      </c>
      <c r="O9" s="626" t="s">
        <v>559</v>
      </c>
      <c r="P9" s="627" t="s">
        <v>560</v>
      </c>
      <c r="Q9" s="626" t="s">
        <v>559</v>
      </c>
      <c r="R9" s="627" t="s">
        <v>560</v>
      </c>
      <c r="S9" s="626" t="s">
        <v>559</v>
      </c>
      <c r="T9" s="627" t="s">
        <v>560</v>
      </c>
      <c r="U9" s="626" t="s">
        <v>559</v>
      </c>
      <c r="V9" s="627" t="s">
        <v>561</v>
      </c>
      <c r="W9" s="627" t="s">
        <v>560</v>
      </c>
      <c r="X9" s="626" t="s">
        <v>559</v>
      </c>
      <c r="Y9" s="627" t="s">
        <v>561</v>
      </c>
      <c r="Z9" s="627" t="s">
        <v>560</v>
      </c>
      <c r="AA9" s="626" t="s">
        <v>559</v>
      </c>
      <c r="AB9" s="627" t="s">
        <v>561</v>
      </c>
      <c r="AC9" s="627" t="s">
        <v>560</v>
      </c>
      <c r="AD9" s="626" t="s">
        <v>559</v>
      </c>
      <c r="AE9" s="627" t="s">
        <v>561</v>
      </c>
      <c r="AF9" s="627" t="s">
        <v>560</v>
      </c>
      <c r="AG9" s="626" t="s">
        <v>559</v>
      </c>
      <c r="AH9" s="627" t="s">
        <v>561</v>
      </c>
      <c r="AI9" s="627" t="s">
        <v>560</v>
      </c>
      <c r="AJ9" s="626" t="s">
        <v>559</v>
      </c>
      <c r="AK9" s="627" t="s">
        <v>561</v>
      </c>
      <c r="AL9" s="628" t="s">
        <v>560</v>
      </c>
      <c r="AM9" s="626" t="s">
        <v>559</v>
      </c>
      <c r="AN9" s="627" t="s">
        <v>561</v>
      </c>
      <c r="AO9" s="628" t="s">
        <v>560</v>
      </c>
      <c r="AP9" s="626" t="s">
        <v>559</v>
      </c>
      <c r="AQ9" s="627" t="s">
        <v>561</v>
      </c>
      <c r="AR9" s="629" t="s">
        <v>560</v>
      </c>
      <c r="AS9" s="630" t="s">
        <v>559</v>
      </c>
      <c r="AT9" s="631" t="s">
        <v>561</v>
      </c>
      <c r="AU9" s="629" t="s">
        <v>560</v>
      </c>
      <c r="AV9" s="630" t="s">
        <v>559</v>
      </c>
      <c r="AW9" s="631" t="s">
        <v>561</v>
      </c>
      <c r="AX9" s="629" t="s">
        <v>560</v>
      </c>
    </row>
    <row r="10" spans="1:50">
      <c r="B10" s="112" t="s">
        <v>26</v>
      </c>
      <c r="G10" s="603"/>
      <c r="H10" s="602"/>
      <c r="I10" s="603"/>
      <c r="J10" s="602"/>
      <c r="K10" s="603"/>
      <c r="L10" s="602"/>
      <c r="M10" s="603"/>
      <c r="N10" s="602"/>
      <c r="O10" s="603"/>
      <c r="P10" s="602"/>
      <c r="Q10" s="603"/>
      <c r="R10" s="602"/>
      <c r="S10" s="603"/>
      <c r="T10" s="602"/>
      <c r="U10" s="603"/>
      <c r="V10" s="602"/>
      <c r="W10" s="602"/>
      <c r="X10" s="603"/>
      <c r="Y10" s="602"/>
      <c r="Z10" s="602"/>
      <c r="AA10" s="603"/>
      <c r="AD10" s="603"/>
      <c r="AG10" s="603"/>
      <c r="AJ10" s="603"/>
      <c r="AK10" s="602"/>
      <c r="AL10" s="604"/>
      <c r="AM10" s="603"/>
      <c r="AN10" s="602"/>
      <c r="AO10" s="604"/>
      <c r="AP10" s="603"/>
      <c r="AQ10" s="602"/>
      <c r="AR10" s="619"/>
      <c r="AS10" s="606"/>
      <c r="AT10" s="567"/>
      <c r="AU10" s="619"/>
      <c r="AV10" s="606"/>
      <c r="AW10" s="567"/>
      <c r="AX10" s="619"/>
    </row>
    <row r="11" spans="1:50">
      <c r="A11" s="132">
        <v>1</v>
      </c>
      <c r="B11" s="133" t="s">
        <v>27</v>
      </c>
      <c r="C11" s="133"/>
      <c r="D11" s="133"/>
      <c r="E11" s="632">
        <f>[9]ROR!N20</f>
        <v>0.95483899999999999</v>
      </c>
      <c r="F11" s="632"/>
      <c r="G11" s="633">
        <f>ROUND(G36/$E11,0)</f>
        <v>0</v>
      </c>
      <c r="H11" s="634">
        <f>ROUND((H21-H13)/$E11,0)</f>
        <v>-60091</v>
      </c>
      <c r="I11" s="633">
        <f>ROUND(I36/$E11,0)</f>
        <v>-994</v>
      </c>
      <c r="J11" s="634">
        <f>ROUND((J21-J13)/$E11,0)</f>
        <v>-111836</v>
      </c>
      <c r="K11" s="633">
        <f>ROUND(K36/$E11,0)-0</f>
        <v>-1776</v>
      </c>
      <c r="L11" s="634">
        <f>ROUND((L21-L13)/$E11,0)+0</f>
        <v>-115438</v>
      </c>
      <c r="M11" s="633">
        <f>ROUND(M36/$E11,0)+1</f>
        <v>-2124</v>
      </c>
      <c r="N11" s="634">
        <f>ROUND((N21-N13)/$E11,0)+0</f>
        <v>-101717</v>
      </c>
      <c r="O11" s="633">
        <f>ROUND(O36/$E11,0)</f>
        <v>0</v>
      </c>
      <c r="P11" s="634">
        <f>ROUND((P21-P13)/$E11,0)-0</f>
        <v>-119780</v>
      </c>
      <c r="Q11" s="633">
        <f>ROUND(Q36/$E11,0)</f>
        <v>-2976</v>
      </c>
      <c r="R11" s="634">
        <f>ROUND((R21-R13)/$E11,0)-1</f>
        <v>-136684</v>
      </c>
      <c r="S11" s="633">
        <f>ROUND(S36/$E11,0)</f>
        <v>0</v>
      </c>
      <c r="T11" s="634">
        <f>ROUND((T21-T13)/$E11,0)+1</f>
        <v>-156886</v>
      </c>
      <c r="U11" s="633">
        <f>ROUND(U36/$E11,0)</f>
        <v>-4016</v>
      </c>
      <c r="V11" s="634">
        <f>ROUND(V41/$E11,0)+0</f>
        <v>-89</v>
      </c>
      <c r="W11" s="634">
        <f>ROUND((W21-W13)/$E11,0)+1</f>
        <v>-163336</v>
      </c>
      <c r="X11" s="633">
        <f>ROUND(X36/$E11,0)</f>
        <v>-4588</v>
      </c>
      <c r="Y11" s="634">
        <f>ROUND(Y41/$E11,0)+0</f>
        <v>-452</v>
      </c>
      <c r="Z11" s="634">
        <f>ROUND((Z21-Z13)/$E11,0)-0</f>
        <v>-154344</v>
      </c>
      <c r="AA11" s="633">
        <f>ROUND(AA36/$E11,0)+0</f>
        <v>-7098</v>
      </c>
      <c r="AB11" s="635">
        <f>ROUND(AB41/$E11,0)+1</f>
        <v>-743</v>
      </c>
      <c r="AC11" s="634">
        <f>ROUND((AC21-AC13)/$E11,0)-1</f>
        <v>-126720</v>
      </c>
      <c r="AD11" s="633">
        <f>ROUND(AD36/$E11,0)-1</f>
        <v>-8815</v>
      </c>
      <c r="AE11" s="635">
        <f>ROUND(AE41/$E11,0)-0</f>
        <v>-517</v>
      </c>
      <c r="AF11" s="634">
        <f>ROUND((AF21-AF13)/$E11,0)-1</f>
        <v>-82715</v>
      </c>
      <c r="AG11" s="633">
        <f>ROUND(AG36/$E11,0)+1</f>
        <v>-9375</v>
      </c>
      <c r="AH11" s="635">
        <f>ROUND(AH41/$E11,0)-0</f>
        <v>-517</v>
      </c>
      <c r="AI11" s="634">
        <f>ROUND((AI21-AI13)/$E11,0)+1</f>
        <v>-88014</v>
      </c>
      <c r="AJ11" s="633">
        <f>ROUND(AJ36/$E11,0)</f>
        <v>-6223</v>
      </c>
      <c r="AK11" s="634">
        <f>ROUND(AK41/$E11,0)+1</f>
        <v>-191</v>
      </c>
      <c r="AL11" s="636">
        <f>ROUND((AL21-AL13)/$E11,0)</f>
        <v>-78343</v>
      </c>
      <c r="AM11" s="633">
        <f>ROUND(AM36/$E11,0)</f>
        <v>0</v>
      </c>
      <c r="AN11" s="634">
        <f>ROUND(AN41/$E11,0)</f>
        <v>0</v>
      </c>
      <c r="AO11" s="636">
        <f>ROUND((AO21-AO13)/$E11,0)+1</f>
        <v>-80432</v>
      </c>
      <c r="AP11" s="633">
        <f>ROUND(AP36/$E11,0)</f>
        <v>0</v>
      </c>
      <c r="AQ11" s="634">
        <f>ROUND(AQ41/$E11,0)</f>
        <v>0</v>
      </c>
      <c r="AR11" s="637">
        <f>ROUND((AR21-AR13)/$E11,0)</f>
        <v>-88169</v>
      </c>
      <c r="AS11" s="638">
        <f>ROUND(AS36/$E11,0)</f>
        <v>0</v>
      </c>
      <c r="AT11" s="639">
        <f>ROUND(AT41/$E11,0)</f>
        <v>0</v>
      </c>
      <c r="AU11" s="637">
        <f>ROUND((AU21-AU13)/$E11,0)</f>
        <v>-83400</v>
      </c>
      <c r="AV11" s="638">
        <f>ROUND(AV36/$E11,0)</f>
        <v>0</v>
      </c>
      <c r="AW11" s="639">
        <f>ROUND(AW41/$E11,0)</f>
        <v>0</v>
      </c>
      <c r="AX11" s="637">
        <f>ROUND((AX21-AX13)/$E11,0)</f>
        <v>-66463</v>
      </c>
    </row>
    <row r="12" spans="1:50">
      <c r="A12" s="132">
        <v>2</v>
      </c>
      <c r="B12" s="134" t="s">
        <v>28</v>
      </c>
      <c r="D12" s="134"/>
      <c r="E12" s="632"/>
      <c r="F12" s="632"/>
      <c r="G12" s="633"/>
      <c r="H12" s="634"/>
      <c r="I12" s="633"/>
      <c r="J12" s="634"/>
      <c r="K12" s="633"/>
      <c r="L12" s="634"/>
      <c r="M12" s="633"/>
      <c r="N12" s="634"/>
      <c r="O12" s="633"/>
      <c r="P12" s="634"/>
      <c r="Q12" s="633"/>
      <c r="R12" s="634"/>
      <c r="S12" s="633"/>
      <c r="T12" s="634"/>
      <c r="U12" s="633"/>
      <c r="V12" s="634"/>
      <c r="W12" s="634"/>
      <c r="X12" s="633"/>
      <c r="Y12" s="634"/>
      <c r="Z12" s="634"/>
      <c r="AA12" s="633"/>
      <c r="AB12" s="635"/>
      <c r="AC12" s="634"/>
      <c r="AD12" s="633"/>
      <c r="AE12" s="635"/>
      <c r="AF12" s="634"/>
      <c r="AG12" s="633"/>
      <c r="AH12" s="635"/>
      <c r="AI12" s="634"/>
      <c r="AJ12" s="633"/>
      <c r="AK12" s="634"/>
      <c r="AL12" s="636"/>
      <c r="AM12" s="633"/>
      <c r="AN12" s="634"/>
      <c r="AO12" s="636"/>
      <c r="AP12" s="633"/>
      <c r="AQ12" s="634"/>
      <c r="AR12" s="637"/>
      <c r="AS12" s="638"/>
      <c r="AT12" s="639"/>
      <c r="AU12" s="637"/>
      <c r="AV12" s="638"/>
      <c r="AW12" s="639"/>
      <c r="AX12" s="637"/>
    </row>
    <row r="13" spans="1:50">
      <c r="A13" s="132">
        <v>3</v>
      </c>
      <c r="B13" s="134" t="s">
        <v>29</v>
      </c>
      <c r="D13" s="134"/>
      <c r="E13" s="632"/>
      <c r="F13" s="632"/>
      <c r="G13" s="640"/>
      <c r="H13" s="641">
        <f>-H61</f>
        <v>-242</v>
      </c>
      <c r="I13" s="640"/>
      <c r="J13" s="641">
        <f>-J61</f>
        <v>-244</v>
      </c>
      <c r="K13" s="640"/>
      <c r="L13" s="641">
        <f>-L61</f>
        <v>-144</v>
      </c>
      <c r="M13" s="640"/>
      <c r="N13" s="641">
        <f>-N61</f>
        <v>0</v>
      </c>
      <c r="O13" s="640"/>
      <c r="P13" s="641">
        <f>-P61</f>
        <v>0</v>
      </c>
      <c r="Q13" s="640"/>
      <c r="R13" s="641">
        <f>-R61</f>
        <v>-28334</v>
      </c>
      <c r="S13" s="640"/>
      <c r="T13" s="641">
        <v>0</v>
      </c>
      <c r="U13" s="640"/>
      <c r="V13" s="641"/>
      <c r="W13" s="641">
        <f>-W61</f>
        <v>-66686</v>
      </c>
      <c r="X13" s="640"/>
      <c r="Y13" s="634"/>
      <c r="Z13" s="641">
        <f>-Z61</f>
        <v>-153018</v>
      </c>
      <c r="AA13" s="640"/>
      <c r="AB13" s="641"/>
      <c r="AC13" s="641">
        <f>-AC61</f>
        <v>-83992</v>
      </c>
      <c r="AD13" s="640"/>
      <c r="AE13" s="641"/>
      <c r="AF13" s="641">
        <f>-AF61</f>
        <v>-115193</v>
      </c>
      <c r="AG13" s="640"/>
      <c r="AH13" s="641"/>
      <c r="AI13" s="641">
        <f>-AI61</f>
        <v>-98794</v>
      </c>
      <c r="AJ13" s="640"/>
      <c r="AK13" s="641"/>
      <c r="AL13" s="642">
        <f>-AL61</f>
        <v>-67822</v>
      </c>
      <c r="AM13" s="640"/>
      <c r="AN13" s="641"/>
      <c r="AO13" s="642">
        <f>-AO61</f>
        <v>0</v>
      </c>
      <c r="AP13" s="640"/>
      <c r="AQ13" s="641"/>
      <c r="AR13" s="643">
        <f>-AR61</f>
        <v>0</v>
      </c>
      <c r="AS13" s="644"/>
      <c r="AT13" s="645"/>
      <c r="AU13" s="643">
        <f>-AU61</f>
        <v>0</v>
      </c>
      <c r="AV13" s="644"/>
      <c r="AW13" s="645"/>
      <c r="AX13" s="643">
        <f>-AX61</f>
        <v>0</v>
      </c>
    </row>
    <row r="14" spans="1:50">
      <c r="A14" s="132">
        <v>4</v>
      </c>
      <c r="B14" s="112" t="s">
        <v>30</v>
      </c>
      <c r="C14" s="134"/>
      <c r="D14" s="134"/>
      <c r="E14" s="632"/>
      <c r="F14" s="632"/>
      <c r="G14" s="633">
        <f t="shared" ref="G14:P14" si="0">SUM(G11:G13)</f>
        <v>0</v>
      </c>
      <c r="H14" s="634">
        <f>SUM(H11:H13)</f>
        <v>-60333</v>
      </c>
      <c r="I14" s="633">
        <f t="shared" si="0"/>
        <v>-994</v>
      </c>
      <c r="J14" s="634">
        <f>SUM(J11:J13)</f>
        <v>-112080</v>
      </c>
      <c r="K14" s="633">
        <f t="shared" si="0"/>
        <v>-1776</v>
      </c>
      <c r="L14" s="634">
        <f t="shared" si="0"/>
        <v>-115582</v>
      </c>
      <c r="M14" s="633">
        <f t="shared" si="0"/>
        <v>-2124</v>
      </c>
      <c r="N14" s="634">
        <f t="shared" si="0"/>
        <v>-101717</v>
      </c>
      <c r="O14" s="633">
        <f t="shared" si="0"/>
        <v>0</v>
      </c>
      <c r="P14" s="634">
        <f t="shared" si="0"/>
        <v>-119780</v>
      </c>
      <c r="Q14" s="633">
        <f t="shared" ref="Q14:AX14" si="1">SUM(Q11:Q13)</f>
        <v>-2976</v>
      </c>
      <c r="R14" s="634">
        <f t="shared" si="1"/>
        <v>-165018</v>
      </c>
      <c r="S14" s="633">
        <f t="shared" si="1"/>
        <v>0</v>
      </c>
      <c r="T14" s="634">
        <f t="shared" si="1"/>
        <v>-156886</v>
      </c>
      <c r="U14" s="633">
        <f t="shared" si="1"/>
        <v>-4016</v>
      </c>
      <c r="V14" s="634">
        <f t="shared" si="1"/>
        <v>-89</v>
      </c>
      <c r="W14" s="634">
        <f t="shared" si="1"/>
        <v>-230022</v>
      </c>
      <c r="X14" s="633">
        <f t="shared" si="1"/>
        <v>-4588</v>
      </c>
      <c r="Y14" s="646">
        <f t="shared" si="1"/>
        <v>-452</v>
      </c>
      <c r="Z14" s="634">
        <f t="shared" si="1"/>
        <v>-307362</v>
      </c>
      <c r="AA14" s="633">
        <f t="shared" si="1"/>
        <v>-7098</v>
      </c>
      <c r="AB14" s="635">
        <f t="shared" si="1"/>
        <v>-743</v>
      </c>
      <c r="AC14" s="634">
        <f t="shared" si="1"/>
        <v>-210712</v>
      </c>
      <c r="AD14" s="633">
        <f t="shared" si="1"/>
        <v>-8815</v>
      </c>
      <c r="AE14" s="635">
        <f t="shared" si="1"/>
        <v>-517</v>
      </c>
      <c r="AF14" s="634">
        <f t="shared" si="1"/>
        <v>-197908</v>
      </c>
      <c r="AG14" s="633">
        <f t="shared" si="1"/>
        <v>-9375</v>
      </c>
      <c r="AH14" s="635">
        <f t="shared" si="1"/>
        <v>-517</v>
      </c>
      <c r="AI14" s="634">
        <f t="shared" si="1"/>
        <v>-186808</v>
      </c>
      <c r="AJ14" s="633">
        <f t="shared" si="1"/>
        <v>-6223</v>
      </c>
      <c r="AK14" s="634">
        <f t="shared" si="1"/>
        <v>-191</v>
      </c>
      <c r="AL14" s="636">
        <f t="shared" si="1"/>
        <v>-146165</v>
      </c>
      <c r="AM14" s="633">
        <f t="shared" si="1"/>
        <v>0</v>
      </c>
      <c r="AN14" s="634">
        <f t="shared" si="1"/>
        <v>0</v>
      </c>
      <c r="AO14" s="636">
        <f t="shared" si="1"/>
        <v>-80432</v>
      </c>
      <c r="AP14" s="633">
        <f t="shared" si="1"/>
        <v>0</v>
      </c>
      <c r="AQ14" s="634">
        <f t="shared" si="1"/>
        <v>0</v>
      </c>
      <c r="AR14" s="637">
        <f t="shared" si="1"/>
        <v>-88169</v>
      </c>
      <c r="AS14" s="638">
        <f t="shared" si="1"/>
        <v>0</v>
      </c>
      <c r="AT14" s="639">
        <f t="shared" si="1"/>
        <v>0</v>
      </c>
      <c r="AU14" s="637">
        <f t="shared" si="1"/>
        <v>-83400</v>
      </c>
      <c r="AV14" s="638">
        <f t="shared" si="1"/>
        <v>0</v>
      </c>
      <c r="AW14" s="639">
        <f t="shared" si="1"/>
        <v>0</v>
      </c>
      <c r="AX14" s="637">
        <f t="shared" si="1"/>
        <v>-66463</v>
      </c>
    </row>
    <row r="15" spans="1:50">
      <c r="C15" s="134"/>
      <c r="D15" s="134"/>
      <c r="E15" s="632"/>
      <c r="F15" s="632"/>
      <c r="G15" s="633"/>
      <c r="H15" s="634"/>
      <c r="I15" s="633"/>
      <c r="J15" s="634"/>
      <c r="K15" s="633"/>
      <c r="L15" s="634"/>
      <c r="M15" s="633"/>
      <c r="N15" s="634"/>
      <c r="O15" s="633"/>
      <c r="P15" s="634"/>
      <c r="Q15" s="633"/>
      <c r="R15" s="634"/>
      <c r="S15" s="633"/>
      <c r="T15" s="634"/>
      <c r="U15" s="633"/>
      <c r="V15" s="634"/>
      <c r="W15" s="634"/>
      <c r="X15" s="633"/>
      <c r="Y15" s="634"/>
      <c r="Z15" s="634"/>
      <c r="AA15" s="633"/>
      <c r="AB15" s="635"/>
      <c r="AC15" s="634"/>
      <c r="AD15" s="633"/>
      <c r="AE15" s="635"/>
      <c r="AF15" s="634"/>
      <c r="AG15" s="633"/>
      <c r="AH15" s="635"/>
      <c r="AI15" s="634"/>
      <c r="AJ15" s="633"/>
      <c r="AK15" s="634"/>
      <c r="AL15" s="636"/>
      <c r="AM15" s="633"/>
      <c r="AN15" s="634"/>
      <c r="AO15" s="636"/>
      <c r="AP15" s="633"/>
      <c r="AQ15" s="634"/>
      <c r="AR15" s="637"/>
      <c r="AS15" s="638"/>
      <c r="AT15" s="639"/>
      <c r="AU15" s="637"/>
      <c r="AV15" s="638"/>
      <c r="AW15" s="639"/>
      <c r="AX15" s="637"/>
    </row>
    <row r="16" spans="1:50">
      <c r="B16" s="112" t="s">
        <v>31</v>
      </c>
      <c r="C16" s="134"/>
      <c r="D16" s="134"/>
      <c r="E16" s="632"/>
      <c r="F16" s="632"/>
      <c r="G16" s="633"/>
      <c r="H16" s="634"/>
      <c r="I16" s="633"/>
      <c r="J16" s="634"/>
      <c r="K16" s="633"/>
      <c r="L16" s="634"/>
      <c r="M16" s="633"/>
      <c r="N16" s="634"/>
      <c r="O16" s="633"/>
      <c r="P16" s="634"/>
      <c r="Q16" s="633"/>
      <c r="R16" s="634"/>
      <c r="S16" s="633"/>
      <c r="T16" s="634"/>
      <c r="U16" s="633"/>
      <c r="V16" s="634"/>
      <c r="W16" s="634"/>
      <c r="X16" s="633"/>
      <c r="Y16" s="634"/>
      <c r="Z16" s="634"/>
      <c r="AA16" s="633"/>
      <c r="AB16" s="635"/>
      <c r="AC16" s="634"/>
      <c r="AD16" s="633"/>
      <c r="AE16" s="635"/>
      <c r="AF16" s="634"/>
      <c r="AG16" s="633"/>
      <c r="AH16" s="635"/>
      <c r="AI16" s="634"/>
      <c r="AJ16" s="633"/>
      <c r="AK16" s="634"/>
      <c r="AL16" s="636"/>
      <c r="AM16" s="633"/>
      <c r="AN16" s="634"/>
      <c r="AO16" s="636"/>
      <c r="AP16" s="633"/>
      <c r="AQ16" s="634"/>
      <c r="AR16" s="637"/>
      <c r="AS16" s="638"/>
      <c r="AT16" s="639"/>
      <c r="AU16" s="637"/>
      <c r="AV16" s="638"/>
      <c r="AW16" s="639"/>
      <c r="AX16" s="637"/>
    </row>
    <row r="17" spans="1:50">
      <c r="B17" s="134" t="s">
        <v>172</v>
      </c>
      <c r="D17" s="134"/>
      <c r="E17" s="632"/>
      <c r="F17" s="632"/>
      <c r="G17" s="633"/>
      <c r="H17" s="634"/>
      <c r="I17" s="633"/>
      <c r="J17" s="634"/>
      <c r="K17" s="633"/>
      <c r="L17" s="634"/>
      <c r="M17" s="633"/>
      <c r="N17" s="634"/>
      <c r="O17" s="633"/>
      <c r="P17" s="634"/>
      <c r="Q17" s="633"/>
      <c r="R17" s="634"/>
      <c r="S17" s="633"/>
      <c r="T17" s="634"/>
      <c r="U17" s="633"/>
      <c r="V17" s="634"/>
      <c r="W17" s="634"/>
      <c r="X17" s="633"/>
      <c r="Y17" s="634"/>
      <c r="Z17" s="634"/>
      <c r="AA17" s="633"/>
      <c r="AB17" s="635"/>
      <c r="AC17" s="634"/>
      <c r="AD17" s="633"/>
      <c r="AE17" s="635"/>
      <c r="AF17" s="634"/>
      <c r="AG17" s="633"/>
      <c r="AH17" s="635"/>
      <c r="AI17" s="634"/>
      <c r="AJ17" s="633"/>
      <c r="AK17" s="634"/>
      <c r="AL17" s="636"/>
      <c r="AM17" s="633"/>
      <c r="AN17" s="634"/>
      <c r="AO17" s="636"/>
      <c r="AP17" s="633"/>
      <c r="AQ17" s="634"/>
      <c r="AR17" s="637"/>
      <c r="AS17" s="638"/>
      <c r="AT17" s="639"/>
      <c r="AU17" s="637"/>
      <c r="AV17" s="638"/>
      <c r="AW17" s="639"/>
      <c r="AX17" s="637"/>
    </row>
    <row r="18" spans="1:50">
      <c r="A18" s="132">
        <v>5</v>
      </c>
      <c r="C18" s="134" t="s">
        <v>32</v>
      </c>
      <c r="D18" s="134"/>
      <c r="E18" s="632"/>
      <c r="F18" s="632"/>
      <c r="G18" s="633"/>
      <c r="H18" s="634">
        <f>-'Cost Trends'!F19</f>
        <v>-59659</v>
      </c>
      <c r="I18" s="633"/>
      <c r="J18" s="634">
        <f>-'Cost Trends'!G19</f>
        <v>-106139</v>
      </c>
      <c r="K18" s="633"/>
      <c r="L18" s="634">
        <f>-'Cost Trends'!H19</f>
        <v>-109325</v>
      </c>
      <c r="M18" s="633"/>
      <c r="N18" s="634">
        <f>-'Cost Trends'!I19</f>
        <v>-96222</v>
      </c>
      <c r="O18" s="633"/>
      <c r="P18" s="634">
        <f>-'Cost Trends'!J19</f>
        <v>-114371</v>
      </c>
      <c r="Q18" s="633"/>
      <c r="R18" s="634">
        <f>-'Cost Trends'!K19</f>
        <v>-167251</v>
      </c>
      <c r="S18" s="633"/>
      <c r="T18" s="634">
        <f>-'Cost Trends'!L19</f>
        <v>-149802</v>
      </c>
      <c r="U18" s="633"/>
      <c r="V18" s="634"/>
      <c r="W18" s="634">
        <f>-'Cost Trends'!M19</f>
        <v>-222364</v>
      </c>
      <c r="X18" s="633"/>
      <c r="Y18" s="634"/>
      <c r="Z18" s="634">
        <f>-'Cost Trends'!N19</f>
        <v>-310276</v>
      </c>
      <c r="AA18" s="633"/>
      <c r="AB18" s="635"/>
      <c r="AC18" s="634">
        <f>-'Cost Trends'!O19</f>
        <v>-194267</v>
      </c>
      <c r="AD18" s="633"/>
      <c r="AE18" s="635"/>
      <c r="AF18" s="634">
        <f>-'Cost Trends'!P19</f>
        <v>-197494</v>
      </c>
      <c r="AG18" s="633"/>
      <c r="AH18" s="635"/>
      <c r="AI18" s="634">
        <f>-'Cost Trends'!Q19</f>
        <v>-188167</v>
      </c>
      <c r="AJ18" s="633"/>
      <c r="AK18" s="634"/>
      <c r="AL18" s="636">
        <f>-'Cost Trends'!R19</f>
        <v>-139073</v>
      </c>
      <c r="AM18" s="633"/>
      <c r="AN18" s="634"/>
      <c r="AO18" s="636">
        <f>-'Cost Trends'!S19</f>
        <v>-76801</v>
      </c>
      <c r="AP18" s="633"/>
      <c r="AQ18" s="634"/>
      <c r="AR18" s="637">
        <f>-'Cost Trends'!T19</f>
        <v>-84187</v>
      </c>
      <c r="AS18" s="638"/>
      <c r="AT18" s="639"/>
      <c r="AU18" s="637">
        <f>-'Cost Trends'!U19</f>
        <v>-79634</v>
      </c>
      <c r="AV18" s="638"/>
      <c r="AW18" s="639"/>
      <c r="AX18" s="637">
        <f>-'Cost Trends'!V19</f>
        <v>-63460</v>
      </c>
    </row>
    <row r="19" spans="1:50">
      <c r="A19" s="132">
        <v>6</v>
      </c>
      <c r="C19" s="134" t="s">
        <v>33</v>
      </c>
      <c r="D19" s="134"/>
      <c r="E19" s="632"/>
      <c r="F19" s="632"/>
      <c r="G19" s="633"/>
      <c r="H19" s="634">
        <f>-'Cost Trends'!F20+H63</f>
        <v>2078</v>
      </c>
      <c r="I19" s="633"/>
      <c r="J19" s="634">
        <f>-'Cost Trends'!G20+J63</f>
        <v>-756</v>
      </c>
      <c r="K19" s="633"/>
      <c r="L19" s="634">
        <f>-'Cost Trends'!H20+L63</f>
        <v>-916</v>
      </c>
      <c r="M19" s="633"/>
      <c r="N19" s="634">
        <f>-'Cost Trends'!I20+N63</f>
        <v>-901</v>
      </c>
      <c r="O19" s="633"/>
      <c r="P19" s="634">
        <f>-'Cost Trends'!J20+P63</f>
        <v>0</v>
      </c>
      <c r="Q19" s="633"/>
      <c r="R19" s="634">
        <f>-'Cost Trends'!K20+R63</f>
        <v>0</v>
      </c>
      <c r="S19" s="633"/>
      <c r="T19" s="634">
        <f>-'Cost Trends'!L20+T63</f>
        <v>0</v>
      </c>
      <c r="U19" s="633"/>
      <c r="V19" s="634"/>
      <c r="W19" s="634">
        <f>-'Cost Trends'!M20+W63</f>
        <v>0</v>
      </c>
      <c r="X19" s="633"/>
      <c r="Y19" s="634"/>
      <c r="Z19" s="634">
        <f>-'Cost Trends'!N20+Z63</f>
        <v>9886</v>
      </c>
      <c r="AA19" s="633"/>
      <c r="AB19" s="635"/>
      <c r="AC19" s="634">
        <f>-'Cost Trends'!O20+AC63</f>
        <v>-1</v>
      </c>
      <c r="AD19" s="633"/>
      <c r="AE19" s="635"/>
      <c r="AF19" s="634">
        <f>-'Cost Trends'!P20+AF63</f>
        <v>0</v>
      </c>
      <c r="AG19" s="633"/>
      <c r="AH19" s="635"/>
      <c r="AI19" s="634">
        <f>-'Cost Trends'!Q20+AI63</f>
        <v>967</v>
      </c>
      <c r="AJ19" s="633"/>
      <c r="AK19" s="634"/>
      <c r="AL19" s="636">
        <f>-'Cost Trends'!R20+AL63</f>
        <v>798</v>
      </c>
      <c r="AM19" s="633"/>
      <c r="AN19" s="634"/>
      <c r="AO19" s="636">
        <f>-'Cost Trends'!S20+AO63</f>
        <v>0</v>
      </c>
      <c r="AP19" s="633"/>
      <c r="AQ19" s="634"/>
      <c r="AR19" s="637">
        <f>-'Cost Trends'!T20+AR63</f>
        <v>0</v>
      </c>
      <c r="AS19" s="638"/>
      <c r="AT19" s="639"/>
      <c r="AU19" s="637">
        <f>-'Cost Trends'!U20+AU63</f>
        <v>0</v>
      </c>
      <c r="AV19" s="638"/>
      <c r="AW19" s="639"/>
      <c r="AX19" s="637">
        <f>-'Cost Trends'!V20+AX63</f>
        <v>0</v>
      </c>
    </row>
    <row r="20" spans="1:50">
      <c r="A20" s="132">
        <v>7</v>
      </c>
      <c r="C20" s="134" t="s">
        <v>34</v>
      </c>
      <c r="D20" s="134"/>
      <c r="E20" s="632"/>
      <c r="F20" s="632"/>
      <c r="G20" s="640"/>
      <c r="H20" s="634">
        <f>-'Cost Trends'!F21</f>
        <v>-38</v>
      </c>
      <c r="I20" s="640"/>
      <c r="J20" s="634">
        <f>-'Cost Trends'!G21</f>
        <v>-134</v>
      </c>
      <c r="K20" s="640"/>
      <c r="L20" s="634">
        <f>-'Cost Trends'!H21</f>
        <v>-128</v>
      </c>
      <c r="M20" s="640"/>
      <c r="N20" s="634">
        <f>-'Cost Trends'!I21</f>
        <v>0</v>
      </c>
      <c r="O20" s="640"/>
      <c r="P20" s="634">
        <f>-'Cost Trends'!J21</f>
        <v>0</v>
      </c>
      <c r="Q20" s="640"/>
      <c r="R20" s="634">
        <f>-'Cost Trends'!K21</f>
        <v>8407</v>
      </c>
      <c r="S20" s="640"/>
      <c r="T20" s="634">
        <f>-'Cost Trends'!L21</f>
        <v>0</v>
      </c>
      <c r="U20" s="640"/>
      <c r="V20" s="641"/>
      <c r="W20" s="634">
        <f>-'Cost Trends'!M21</f>
        <v>-283</v>
      </c>
      <c r="X20" s="640"/>
      <c r="Y20" s="634"/>
      <c r="Z20" s="634">
        <f>-'Cost Trends'!N21</f>
        <v>-2</v>
      </c>
      <c r="AA20" s="640"/>
      <c r="AB20" s="641"/>
      <c r="AC20" s="634">
        <f>-'Cost Trends'!O21</f>
        <v>-10720</v>
      </c>
      <c r="AD20" s="640"/>
      <c r="AE20" s="641"/>
      <c r="AF20" s="634">
        <f>-'Cost Trends'!P21</f>
        <v>3322</v>
      </c>
      <c r="AG20" s="640"/>
      <c r="AH20" s="641"/>
      <c r="AI20" s="634">
        <f>-'Cost Trends'!Q21</f>
        <v>4366</v>
      </c>
      <c r="AJ20" s="640"/>
      <c r="AK20" s="641"/>
      <c r="AL20" s="636">
        <f>-'Cost Trends'!R21</f>
        <v>-4352</v>
      </c>
      <c r="AM20" s="640"/>
      <c r="AN20" s="641"/>
      <c r="AO20" s="636">
        <f>-'Cost Trends'!S21</f>
        <v>0</v>
      </c>
      <c r="AP20" s="640"/>
      <c r="AQ20" s="641"/>
      <c r="AR20" s="637">
        <f>-'Cost Trends'!T21</f>
        <v>0</v>
      </c>
      <c r="AS20" s="644"/>
      <c r="AT20" s="645"/>
      <c r="AU20" s="637">
        <f>-'Cost Trends'!U21</f>
        <v>0</v>
      </c>
      <c r="AV20" s="644"/>
      <c r="AW20" s="645"/>
      <c r="AX20" s="637">
        <f>-'Cost Trends'!V21</f>
        <v>-1</v>
      </c>
    </row>
    <row r="21" spans="1:50">
      <c r="A21" s="132">
        <v>8</v>
      </c>
      <c r="B21" s="134" t="s">
        <v>35</v>
      </c>
      <c r="C21" s="134"/>
      <c r="E21" s="632"/>
      <c r="F21" s="632"/>
      <c r="G21" s="633">
        <f t="shared" ref="G21:P21" si="2">SUM(G18:G20)</f>
        <v>0</v>
      </c>
      <c r="H21" s="647">
        <f>SUM(H18:H20)</f>
        <v>-57619</v>
      </c>
      <c r="I21" s="633">
        <f t="shared" si="2"/>
        <v>0</v>
      </c>
      <c r="J21" s="647">
        <f>SUM(J18:J20)</f>
        <v>-107029</v>
      </c>
      <c r="K21" s="633">
        <f t="shared" si="2"/>
        <v>0</v>
      </c>
      <c r="L21" s="647">
        <f t="shared" si="2"/>
        <v>-110369</v>
      </c>
      <c r="M21" s="633">
        <f t="shared" si="2"/>
        <v>0</v>
      </c>
      <c r="N21" s="647">
        <f t="shared" si="2"/>
        <v>-97123</v>
      </c>
      <c r="O21" s="633">
        <f t="shared" si="2"/>
        <v>0</v>
      </c>
      <c r="P21" s="647">
        <f t="shared" si="2"/>
        <v>-114371</v>
      </c>
      <c r="Q21" s="633">
        <f t="shared" ref="Q21:AX21" si="3">SUM(Q18:Q20)</f>
        <v>0</v>
      </c>
      <c r="R21" s="647">
        <f t="shared" si="3"/>
        <v>-158844</v>
      </c>
      <c r="S21" s="633">
        <f t="shared" si="3"/>
        <v>0</v>
      </c>
      <c r="T21" s="647">
        <f t="shared" si="3"/>
        <v>-149802</v>
      </c>
      <c r="U21" s="633">
        <f t="shared" si="3"/>
        <v>0</v>
      </c>
      <c r="V21" s="634">
        <f t="shared" si="3"/>
        <v>0</v>
      </c>
      <c r="W21" s="647">
        <f t="shared" si="3"/>
        <v>-222647</v>
      </c>
      <c r="X21" s="633">
        <f t="shared" si="3"/>
        <v>0</v>
      </c>
      <c r="Y21" s="646">
        <f t="shared" si="3"/>
        <v>0</v>
      </c>
      <c r="Z21" s="647">
        <f t="shared" si="3"/>
        <v>-300392</v>
      </c>
      <c r="AA21" s="633">
        <f t="shared" si="3"/>
        <v>0</v>
      </c>
      <c r="AB21" s="635">
        <f t="shared" si="3"/>
        <v>0</v>
      </c>
      <c r="AC21" s="647">
        <f t="shared" si="3"/>
        <v>-204988</v>
      </c>
      <c r="AD21" s="633">
        <f t="shared" si="3"/>
        <v>0</v>
      </c>
      <c r="AE21" s="635">
        <f t="shared" si="3"/>
        <v>0</v>
      </c>
      <c r="AF21" s="647">
        <f t="shared" si="3"/>
        <v>-194172</v>
      </c>
      <c r="AG21" s="633">
        <f t="shared" si="3"/>
        <v>0</v>
      </c>
      <c r="AH21" s="635">
        <f t="shared" si="3"/>
        <v>0</v>
      </c>
      <c r="AI21" s="647">
        <f t="shared" si="3"/>
        <v>-182834</v>
      </c>
      <c r="AJ21" s="633">
        <f t="shared" si="3"/>
        <v>0</v>
      </c>
      <c r="AK21" s="634">
        <f t="shared" si="3"/>
        <v>0</v>
      </c>
      <c r="AL21" s="647">
        <f t="shared" si="3"/>
        <v>-142627</v>
      </c>
      <c r="AM21" s="633">
        <f t="shared" si="3"/>
        <v>0</v>
      </c>
      <c r="AN21" s="634">
        <f t="shared" si="3"/>
        <v>0</v>
      </c>
      <c r="AO21" s="647">
        <f t="shared" si="3"/>
        <v>-76801</v>
      </c>
      <c r="AP21" s="633">
        <f t="shared" si="3"/>
        <v>0</v>
      </c>
      <c r="AQ21" s="634">
        <f t="shared" si="3"/>
        <v>0</v>
      </c>
      <c r="AR21" s="648">
        <f t="shared" si="3"/>
        <v>-84187</v>
      </c>
      <c r="AS21" s="638">
        <f t="shared" si="3"/>
        <v>0</v>
      </c>
      <c r="AT21" s="639">
        <f t="shared" si="3"/>
        <v>0</v>
      </c>
      <c r="AU21" s="648">
        <f t="shared" si="3"/>
        <v>-79634</v>
      </c>
      <c r="AV21" s="638">
        <f t="shared" si="3"/>
        <v>0</v>
      </c>
      <c r="AW21" s="639">
        <f t="shared" si="3"/>
        <v>0</v>
      </c>
      <c r="AX21" s="648">
        <f t="shared" si="3"/>
        <v>-63461</v>
      </c>
    </row>
    <row r="22" spans="1:50">
      <c r="B22" s="134"/>
      <c r="C22" s="134"/>
      <c r="E22" s="632"/>
      <c r="F22" s="632"/>
      <c r="G22" s="633"/>
      <c r="H22" s="634"/>
      <c r="I22" s="633"/>
      <c r="J22" s="634"/>
      <c r="K22" s="633"/>
      <c r="L22" s="634"/>
      <c r="M22" s="633"/>
      <c r="N22" s="634"/>
      <c r="O22" s="633"/>
      <c r="P22" s="634"/>
      <c r="Q22" s="633"/>
      <c r="R22" s="634"/>
      <c r="S22" s="633"/>
      <c r="T22" s="634"/>
      <c r="U22" s="633"/>
      <c r="V22" s="634"/>
      <c r="W22" s="634"/>
      <c r="X22" s="633"/>
      <c r="Y22" s="634"/>
      <c r="Z22" s="634"/>
      <c r="AA22" s="633"/>
      <c r="AB22" s="635"/>
      <c r="AC22" s="634"/>
      <c r="AD22" s="633"/>
      <c r="AE22" s="635"/>
      <c r="AF22" s="634"/>
      <c r="AG22" s="633"/>
      <c r="AH22" s="635"/>
      <c r="AI22" s="634"/>
      <c r="AJ22" s="633"/>
      <c r="AK22" s="634"/>
      <c r="AL22" s="636"/>
      <c r="AM22" s="633"/>
      <c r="AN22" s="634"/>
      <c r="AO22" s="636"/>
      <c r="AP22" s="633"/>
      <c r="AQ22" s="634"/>
      <c r="AR22" s="637"/>
      <c r="AS22" s="638"/>
      <c r="AT22" s="639"/>
      <c r="AU22" s="637"/>
      <c r="AV22" s="638"/>
      <c r="AW22" s="639"/>
      <c r="AX22" s="637"/>
    </row>
    <row r="23" spans="1:50">
      <c r="B23" s="134" t="s">
        <v>36</v>
      </c>
      <c r="D23" s="134"/>
      <c r="E23" s="632"/>
      <c r="F23" s="632"/>
      <c r="G23" s="633"/>
      <c r="H23" s="634"/>
      <c r="I23" s="633"/>
      <c r="J23" s="634"/>
      <c r="K23" s="633"/>
      <c r="L23" s="634"/>
      <c r="M23" s="633"/>
      <c r="N23" s="634"/>
      <c r="O23" s="633"/>
      <c r="P23" s="634"/>
      <c r="Q23" s="633"/>
      <c r="R23" s="634"/>
      <c r="S23" s="633"/>
      <c r="T23" s="634"/>
      <c r="U23" s="633"/>
      <c r="V23" s="634"/>
      <c r="W23" s="634"/>
      <c r="X23" s="633"/>
      <c r="Y23" s="634"/>
      <c r="Z23" s="634"/>
      <c r="AA23" s="633"/>
      <c r="AB23" s="635"/>
      <c r="AC23" s="634"/>
      <c r="AD23" s="633"/>
      <c r="AE23" s="635"/>
      <c r="AF23" s="634"/>
      <c r="AG23" s="633"/>
      <c r="AH23" s="635"/>
      <c r="AI23" s="634"/>
      <c r="AJ23" s="633"/>
      <c r="AK23" s="634"/>
      <c r="AL23" s="636"/>
      <c r="AM23" s="633"/>
      <c r="AN23" s="634"/>
      <c r="AO23" s="636"/>
      <c r="AP23" s="633"/>
      <c r="AQ23" s="634"/>
      <c r="AR23" s="637"/>
      <c r="AS23" s="638"/>
      <c r="AT23" s="639"/>
      <c r="AU23" s="637"/>
      <c r="AV23" s="638"/>
      <c r="AW23" s="639"/>
      <c r="AX23" s="637"/>
    </row>
    <row r="24" spans="1:50">
      <c r="A24" s="132">
        <v>9</v>
      </c>
      <c r="C24" s="134" t="s">
        <v>37</v>
      </c>
      <c r="D24" s="134"/>
      <c r="E24" s="632"/>
      <c r="F24" s="632"/>
      <c r="G24" s="633"/>
      <c r="H24" s="634"/>
      <c r="I24" s="633"/>
      <c r="J24" s="634"/>
      <c r="K24" s="633"/>
      <c r="L24" s="634"/>
      <c r="M24" s="633"/>
      <c r="N24" s="634"/>
      <c r="O24" s="633"/>
      <c r="P24" s="634"/>
      <c r="Q24" s="633"/>
      <c r="R24" s="634"/>
      <c r="S24" s="633"/>
      <c r="T24" s="634"/>
      <c r="U24" s="633"/>
      <c r="V24" s="634"/>
      <c r="W24" s="634"/>
      <c r="X24" s="633"/>
      <c r="Y24" s="634"/>
      <c r="Z24" s="634"/>
      <c r="AA24" s="633"/>
      <c r="AB24" s="635"/>
      <c r="AC24" s="634"/>
      <c r="AD24" s="633"/>
      <c r="AE24" s="635"/>
      <c r="AF24" s="634"/>
      <c r="AG24" s="633"/>
      <c r="AH24" s="635"/>
      <c r="AI24" s="634"/>
      <c r="AJ24" s="633"/>
      <c r="AK24" s="634"/>
      <c r="AL24" s="636"/>
      <c r="AM24" s="633"/>
      <c r="AN24" s="634"/>
      <c r="AO24" s="636"/>
      <c r="AP24" s="633"/>
      <c r="AQ24" s="634"/>
      <c r="AR24" s="637"/>
      <c r="AS24" s="638"/>
      <c r="AT24" s="639"/>
      <c r="AU24" s="637"/>
      <c r="AV24" s="638"/>
      <c r="AW24" s="639"/>
      <c r="AX24" s="637"/>
    </row>
    <row r="25" spans="1:50">
      <c r="A25" s="132">
        <v>10</v>
      </c>
      <c r="C25" s="134" t="s">
        <v>168</v>
      </c>
      <c r="D25" s="134"/>
      <c r="E25" s="632"/>
      <c r="F25" s="632"/>
      <c r="G25" s="633"/>
      <c r="H25" s="634"/>
      <c r="I25" s="633"/>
      <c r="J25" s="634"/>
      <c r="K25" s="633"/>
      <c r="L25" s="634"/>
      <c r="M25" s="633"/>
      <c r="N25" s="634"/>
      <c r="O25" s="633"/>
      <c r="P25" s="634"/>
      <c r="Q25" s="633"/>
      <c r="R25" s="634"/>
      <c r="S25" s="633"/>
      <c r="T25" s="634"/>
      <c r="U25" s="633"/>
      <c r="V25" s="634"/>
      <c r="W25" s="634"/>
      <c r="X25" s="633"/>
      <c r="Y25" s="634"/>
      <c r="Z25" s="634"/>
      <c r="AA25" s="633"/>
      <c r="AB25" s="635"/>
      <c r="AC25" s="634"/>
      <c r="AD25" s="633"/>
      <c r="AE25" s="635"/>
      <c r="AF25" s="634"/>
      <c r="AG25" s="633"/>
      <c r="AH25" s="635"/>
      <c r="AI25" s="634"/>
      <c r="AJ25" s="633"/>
      <c r="AK25" s="634"/>
      <c r="AL25" s="636"/>
      <c r="AM25" s="633"/>
      <c r="AN25" s="634"/>
      <c r="AO25" s="636"/>
      <c r="AP25" s="633"/>
      <c r="AQ25" s="634"/>
      <c r="AR25" s="637"/>
      <c r="AS25" s="638"/>
      <c r="AT25" s="639"/>
      <c r="AU25" s="637"/>
      <c r="AV25" s="638"/>
      <c r="AW25" s="639"/>
      <c r="AX25" s="637"/>
    </row>
    <row r="26" spans="1:50">
      <c r="A26" s="132">
        <v>11</v>
      </c>
      <c r="C26" s="134" t="s">
        <v>20</v>
      </c>
      <c r="D26" s="134"/>
      <c r="E26" s="632"/>
      <c r="F26" s="632"/>
      <c r="G26" s="640"/>
      <c r="H26" s="641"/>
      <c r="I26" s="640"/>
      <c r="J26" s="641"/>
      <c r="K26" s="640"/>
      <c r="L26" s="641"/>
      <c r="M26" s="640"/>
      <c r="N26" s="641"/>
      <c r="O26" s="640"/>
      <c r="P26" s="641"/>
      <c r="Q26" s="640"/>
      <c r="R26" s="641"/>
      <c r="S26" s="640"/>
      <c r="T26" s="641"/>
      <c r="U26" s="640"/>
      <c r="V26" s="641"/>
      <c r="W26" s="641"/>
      <c r="X26" s="640"/>
      <c r="Y26" s="634"/>
      <c r="Z26" s="641"/>
      <c r="AA26" s="640"/>
      <c r="AB26" s="641"/>
      <c r="AC26" s="641"/>
      <c r="AD26" s="640"/>
      <c r="AE26" s="641"/>
      <c r="AF26" s="641"/>
      <c r="AG26" s="640"/>
      <c r="AH26" s="641"/>
      <c r="AI26" s="641"/>
      <c r="AJ26" s="640"/>
      <c r="AK26" s="641"/>
      <c r="AL26" s="642"/>
      <c r="AM26" s="640"/>
      <c r="AN26" s="641"/>
      <c r="AO26" s="642"/>
      <c r="AP26" s="640"/>
      <c r="AQ26" s="641"/>
      <c r="AR26" s="643"/>
      <c r="AS26" s="644"/>
      <c r="AT26" s="645"/>
      <c r="AU26" s="643"/>
      <c r="AV26" s="644"/>
      <c r="AW26" s="645"/>
      <c r="AX26" s="643"/>
    </row>
    <row r="27" spans="1:50">
      <c r="A27" s="132">
        <v>12</v>
      </c>
      <c r="B27" s="134" t="s">
        <v>39</v>
      </c>
      <c r="C27" s="134"/>
      <c r="E27" s="632"/>
      <c r="F27" s="632"/>
      <c r="G27" s="633">
        <f t="shared" ref="G27:AX27" si="4">SUM(G24:G26)</f>
        <v>0</v>
      </c>
      <c r="H27" s="634">
        <f>SUM(H24:H26)</f>
        <v>0</v>
      </c>
      <c r="I27" s="633">
        <f t="shared" si="4"/>
        <v>0</v>
      </c>
      <c r="J27" s="634">
        <f>SUM(J24:J26)</f>
        <v>0</v>
      </c>
      <c r="K27" s="633">
        <f t="shared" si="4"/>
        <v>0</v>
      </c>
      <c r="L27" s="634">
        <f t="shared" si="4"/>
        <v>0</v>
      </c>
      <c r="M27" s="633">
        <f t="shared" si="4"/>
        <v>0</v>
      </c>
      <c r="N27" s="634">
        <f t="shared" si="4"/>
        <v>0</v>
      </c>
      <c r="O27" s="633">
        <f t="shared" si="4"/>
        <v>0</v>
      </c>
      <c r="P27" s="634">
        <f t="shared" si="4"/>
        <v>0</v>
      </c>
      <c r="Q27" s="633">
        <f t="shared" si="4"/>
        <v>0</v>
      </c>
      <c r="R27" s="634">
        <f t="shared" si="4"/>
        <v>0</v>
      </c>
      <c r="S27" s="633">
        <f t="shared" si="4"/>
        <v>0</v>
      </c>
      <c r="T27" s="634">
        <f t="shared" si="4"/>
        <v>0</v>
      </c>
      <c r="U27" s="633">
        <f t="shared" si="4"/>
        <v>0</v>
      </c>
      <c r="V27" s="634">
        <f t="shared" si="4"/>
        <v>0</v>
      </c>
      <c r="W27" s="634">
        <f t="shared" si="4"/>
        <v>0</v>
      </c>
      <c r="X27" s="633">
        <f t="shared" si="4"/>
        <v>0</v>
      </c>
      <c r="Y27" s="646">
        <f t="shared" si="4"/>
        <v>0</v>
      </c>
      <c r="Z27" s="634">
        <f t="shared" si="4"/>
        <v>0</v>
      </c>
      <c r="AA27" s="633">
        <f t="shared" si="4"/>
        <v>0</v>
      </c>
      <c r="AB27" s="635">
        <f t="shared" si="4"/>
        <v>0</v>
      </c>
      <c r="AC27" s="634">
        <f t="shared" si="4"/>
        <v>0</v>
      </c>
      <c r="AD27" s="633">
        <f t="shared" si="4"/>
        <v>0</v>
      </c>
      <c r="AE27" s="635">
        <f t="shared" si="4"/>
        <v>0</v>
      </c>
      <c r="AF27" s="634">
        <f t="shared" si="4"/>
        <v>0</v>
      </c>
      <c r="AG27" s="633">
        <f t="shared" si="4"/>
        <v>0</v>
      </c>
      <c r="AH27" s="635">
        <f t="shared" si="4"/>
        <v>0</v>
      </c>
      <c r="AI27" s="634">
        <f t="shared" si="4"/>
        <v>0</v>
      </c>
      <c r="AJ27" s="633">
        <f t="shared" si="4"/>
        <v>0</v>
      </c>
      <c r="AK27" s="634">
        <f t="shared" si="4"/>
        <v>0</v>
      </c>
      <c r="AL27" s="636">
        <f t="shared" si="4"/>
        <v>0</v>
      </c>
      <c r="AM27" s="633">
        <f t="shared" si="4"/>
        <v>0</v>
      </c>
      <c r="AN27" s="634">
        <f t="shared" si="4"/>
        <v>0</v>
      </c>
      <c r="AO27" s="636">
        <f t="shared" si="4"/>
        <v>0</v>
      </c>
      <c r="AP27" s="633">
        <f t="shared" si="4"/>
        <v>0</v>
      </c>
      <c r="AQ27" s="634">
        <f t="shared" si="4"/>
        <v>0</v>
      </c>
      <c r="AR27" s="637">
        <f t="shared" si="4"/>
        <v>0</v>
      </c>
      <c r="AS27" s="638">
        <f t="shared" si="4"/>
        <v>0</v>
      </c>
      <c r="AT27" s="639">
        <f t="shared" si="4"/>
        <v>0</v>
      </c>
      <c r="AU27" s="637">
        <f t="shared" si="4"/>
        <v>0</v>
      </c>
      <c r="AV27" s="638">
        <f t="shared" si="4"/>
        <v>0</v>
      </c>
      <c r="AW27" s="639">
        <f t="shared" si="4"/>
        <v>0</v>
      </c>
      <c r="AX27" s="637">
        <f t="shared" si="4"/>
        <v>0</v>
      </c>
    </row>
    <row r="28" spans="1:50">
      <c r="B28" s="134"/>
      <c r="C28" s="134"/>
      <c r="E28" s="632"/>
      <c r="F28" s="632"/>
      <c r="G28" s="633"/>
      <c r="H28" s="634"/>
      <c r="I28" s="633"/>
      <c r="J28" s="634"/>
      <c r="K28" s="633"/>
      <c r="L28" s="634"/>
      <c r="M28" s="633"/>
      <c r="N28" s="634"/>
      <c r="O28" s="633"/>
      <c r="P28" s="634"/>
      <c r="Q28" s="633"/>
      <c r="R28" s="634"/>
      <c r="S28" s="633"/>
      <c r="T28" s="634"/>
      <c r="U28" s="633"/>
      <c r="V28" s="634"/>
      <c r="W28" s="634"/>
      <c r="X28" s="633"/>
      <c r="Y28" s="634"/>
      <c r="Z28" s="634"/>
      <c r="AA28" s="633"/>
      <c r="AB28" s="635"/>
      <c r="AC28" s="634"/>
      <c r="AD28" s="633"/>
      <c r="AE28" s="635"/>
      <c r="AF28" s="634"/>
      <c r="AG28" s="633"/>
      <c r="AH28" s="635"/>
      <c r="AI28" s="634"/>
      <c r="AJ28" s="633"/>
      <c r="AK28" s="634"/>
      <c r="AL28" s="636"/>
      <c r="AM28" s="633"/>
      <c r="AN28" s="634"/>
      <c r="AO28" s="636"/>
      <c r="AP28" s="633"/>
      <c r="AQ28" s="634"/>
      <c r="AR28" s="637"/>
      <c r="AS28" s="638"/>
      <c r="AT28" s="639"/>
      <c r="AU28" s="637"/>
      <c r="AV28" s="638"/>
      <c r="AW28" s="639"/>
      <c r="AX28" s="637"/>
    </row>
    <row r="29" spans="1:50">
      <c r="B29" s="134" t="s">
        <v>40</v>
      </c>
      <c r="D29" s="134"/>
      <c r="E29" s="632"/>
      <c r="F29" s="632"/>
      <c r="G29" s="633"/>
      <c r="H29" s="634"/>
      <c r="I29" s="633"/>
      <c r="J29" s="634"/>
      <c r="K29" s="633"/>
      <c r="L29" s="634"/>
      <c r="M29" s="633"/>
      <c r="N29" s="634"/>
      <c r="O29" s="633"/>
      <c r="P29" s="634"/>
      <c r="Q29" s="633"/>
      <c r="R29" s="634"/>
      <c r="S29" s="633"/>
      <c r="T29" s="634"/>
      <c r="U29" s="633"/>
      <c r="V29" s="634"/>
      <c r="W29" s="634"/>
      <c r="X29" s="633"/>
      <c r="Y29" s="634"/>
      <c r="Z29" s="634"/>
      <c r="AA29" s="633"/>
      <c r="AB29" s="635"/>
      <c r="AC29" s="634"/>
      <c r="AD29" s="633"/>
      <c r="AE29" s="635"/>
      <c r="AF29" s="634"/>
      <c r="AG29" s="633"/>
      <c r="AH29" s="635"/>
      <c r="AI29" s="634"/>
      <c r="AJ29" s="633"/>
      <c r="AK29" s="634"/>
      <c r="AL29" s="636"/>
      <c r="AM29" s="633"/>
      <c r="AN29" s="634"/>
      <c r="AO29" s="636"/>
      <c r="AP29" s="633"/>
      <c r="AQ29" s="634"/>
      <c r="AR29" s="637"/>
      <c r="AS29" s="638"/>
      <c r="AT29" s="639"/>
      <c r="AU29" s="637"/>
      <c r="AV29" s="638"/>
      <c r="AW29" s="639"/>
      <c r="AX29" s="637"/>
    </row>
    <row r="30" spans="1:50">
      <c r="A30" s="132">
        <v>13</v>
      </c>
      <c r="C30" s="134" t="s">
        <v>37</v>
      </c>
      <c r="D30" s="134"/>
      <c r="E30" s="632"/>
      <c r="F30" s="632"/>
      <c r="G30" s="633"/>
      <c r="H30" s="634"/>
      <c r="I30" s="633"/>
      <c r="J30" s="634"/>
      <c r="K30" s="633"/>
      <c r="L30" s="634"/>
      <c r="M30" s="633"/>
      <c r="N30" s="634"/>
      <c r="O30" s="633"/>
      <c r="P30" s="634"/>
      <c r="Q30" s="633"/>
      <c r="R30" s="634"/>
      <c r="S30" s="633"/>
      <c r="T30" s="634"/>
      <c r="U30" s="633"/>
      <c r="V30" s="634"/>
      <c r="W30" s="634"/>
      <c r="X30" s="633"/>
      <c r="Y30" s="634"/>
      <c r="Z30" s="634"/>
      <c r="AA30" s="633"/>
      <c r="AB30" s="635"/>
      <c r="AC30" s="634"/>
      <c r="AD30" s="633"/>
      <c r="AE30" s="635"/>
      <c r="AF30" s="634"/>
      <c r="AG30" s="633"/>
      <c r="AH30" s="635"/>
      <c r="AI30" s="634"/>
      <c r="AJ30" s="633"/>
      <c r="AK30" s="634"/>
      <c r="AL30" s="636"/>
      <c r="AM30" s="633"/>
      <c r="AN30" s="634"/>
      <c r="AO30" s="636"/>
      <c r="AP30" s="633"/>
      <c r="AQ30" s="634"/>
      <c r="AR30" s="637"/>
      <c r="AS30" s="638"/>
      <c r="AT30" s="639"/>
      <c r="AU30" s="637"/>
      <c r="AV30" s="638"/>
      <c r="AW30" s="639"/>
      <c r="AX30" s="637"/>
    </row>
    <row r="31" spans="1:50">
      <c r="A31" s="132">
        <v>14</v>
      </c>
      <c r="C31" s="134" t="s">
        <v>168</v>
      </c>
      <c r="D31" s="134"/>
      <c r="E31" s="632"/>
      <c r="F31" s="632"/>
      <c r="G31" s="633"/>
      <c r="H31" s="634"/>
      <c r="I31" s="633"/>
      <c r="J31" s="634"/>
      <c r="K31" s="633"/>
      <c r="L31" s="634"/>
      <c r="M31" s="633"/>
      <c r="N31" s="634"/>
      <c r="O31" s="633"/>
      <c r="P31" s="634"/>
      <c r="Q31" s="633"/>
      <c r="R31" s="634"/>
      <c r="S31" s="633"/>
      <c r="T31" s="634"/>
      <c r="U31" s="633"/>
      <c r="V31" s="634"/>
      <c r="W31" s="634"/>
      <c r="X31" s="633"/>
      <c r="Y31" s="634"/>
      <c r="Z31" s="634"/>
      <c r="AA31" s="633"/>
      <c r="AB31" s="635"/>
      <c r="AC31" s="634"/>
      <c r="AD31" s="633"/>
      <c r="AE31" s="635"/>
      <c r="AF31" s="634"/>
      <c r="AG31" s="633"/>
      <c r="AH31" s="635"/>
      <c r="AI31" s="634"/>
      <c r="AJ31" s="633"/>
      <c r="AK31" s="634"/>
      <c r="AL31" s="636"/>
      <c r="AM31" s="633"/>
      <c r="AN31" s="634"/>
      <c r="AO31" s="636"/>
      <c r="AP31" s="633"/>
      <c r="AQ31" s="634"/>
      <c r="AR31" s="637"/>
      <c r="AS31" s="638"/>
      <c r="AT31" s="639"/>
      <c r="AU31" s="637"/>
      <c r="AV31" s="638"/>
      <c r="AW31" s="639"/>
      <c r="AX31" s="637"/>
    </row>
    <row r="32" spans="1:50">
      <c r="A32" s="132">
        <v>15</v>
      </c>
      <c r="C32" s="134" t="s">
        <v>20</v>
      </c>
      <c r="D32" s="134"/>
      <c r="E32" s="632">
        <f>[9]ROR!N16</f>
        <v>3.8334E-2</v>
      </c>
      <c r="F32" s="632"/>
      <c r="G32" s="640">
        <f>ROUND(G11*$E32,0)</f>
        <v>0</v>
      </c>
      <c r="H32" s="641">
        <f>ROUND(H11*$E32,0)</f>
        <v>-2304</v>
      </c>
      <c r="I32" s="640">
        <f t="shared" ref="I32:AT32" si="5">ROUND(I11*$E32,0)</f>
        <v>-38</v>
      </c>
      <c r="J32" s="641">
        <f t="shared" si="5"/>
        <v>-4287</v>
      </c>
      <c r="K32" s="640">
        <f t="shared" si="5"/>
        <v>-68</v>
      </c>
      <c r="L32" s="641">
        <f t="shared" si="5"/>
        <v>-4425</v>
      </c>
      <c r="M32" s="640">
        <f t="shared" si="5"/>
        <v>-81</v>
      </c>
      <c r="N32" s="641">
        <f t="shared" si="5"/>
        <v>-3899</v>
      </c>
      <c r="O32" s="640">
        <f t="shared" si="5"/>
        <v>0</v>
      </c>
      <c r="P32" s="641">
        <f t="shared" si="5"/>
        <v>-4592</v>
      </c>
      <c r="Q32" s="640">
        <f t="shared" si="5"/>
        <v>-114</v>
      </c>
      <c r="R32" s="641">
        <f t="shared" si="5"/>
        <v>-5240</v>
      </c>
      <c r="S32" s="640">
        <f t="shared" si="5"/>
        <v>0</v>
      </c>
      <c r="T32" s="641">
        <f t="shared" si="5"/>
        <v>-6014</v>
      </c>
      <c r="U32" s="640">
        <f t="shared" si="5"/>
        <v>-154</v>
      </c>
      <c r="V32" s="641">
        <f t="shared" si="5"/>
        <v>-3</v>
      </c>
      <c r="W32" s="641">
        <f t="shared" si="5"/>
        <v>-6261</v>
      </c>
      <c r="X32" s="640">
        <f t="shared" si="5"/>
        <v>-176</v>
      </c>
      <c r="Y32" s="634">
        <f t="shared" si="5"/>
        <v>-17</v>
      </c>
      <c r="Z32" s="641">
        <f t="shared" si="5"/>
        <v>-5917</v>
      </c>
      <c r="AA32" s="640">
        <f t="shared" si="5"/>
        <v>-272</v>
      </c>
      <c r="AB32" s="641">
        <f t="shared" si="5"/>
        <v>-28</v>
      </c>
      <c r="AC32" s="641">
        <f t="shared" si="5"/>
        <v>-4858</v>
      </c>
      <c r="AD32" s="640">
        <f t="shared" si="5"/>
        <v>-338</v>
      </c>
      <c r="AE32" s="641">
        <f t="shared" si="5"/>
        <v>-20</v>
      </c>
      <c r="AF32" s="641">
        <f t="shared" si="5"/>
        <v>-3171</v>
      </c>
      <c r="AG32" s="640">
        <f t="shared" si="5"/>
        <v>-359</v>
      </c>
      <c r="AH32" s="641">
        <f t="shared" si="5"/>
        <v>-20</v>
      </c>
      <c r="AI32" s="641">
        <f t="shared" si="5"/>
        <v>-3374</v>
      </c>
      <c r="AJ32" s="640">
        <f t="shared" si="5"/>
        <v>-239</v>
      </c>
      <c r="AK32" s="641">
        <f t="shared" si="5"/>
        <v>-7</v>
      </c>
      <c r="AL32" s="642">
        <f t="shared" si="5"/>
        <v>-3003</v>
      </c>
      <c r="AM32" s="640">
        <f t="shared" si="5"/>
        <v>0</v>
      </c>
      <c r="AN32" s="641">
        <f t="shared" si="5"/>
        <v>0</v>
      </c>
      <c r="AO32" s="642">
        <f t="shared" si="5"/>
        <v>-3083</v>
      </c>
      <c r="AP32" s="640">
        <f t="shared" si="5"/>
        <v>0</v>
      </c>
      <c r="AQ32" s="641">
        <f t="shared" si="5"/>
        <v>0</v>
      </c>
      <c r="AR32" s="643">
        <f t="shared" si="5"/>
        <v>-3380</v>
      </c>
      <c r="AS32" s="644">
        <f t="shared" si="5"/>
        <v>0</v>
      </c>
      <c r="AT32" s="645">
        <f t="shared" si="5"/>
        <v>0</v>
      </c>
      <c r="AU32" s="643">
        <f>ROUND(AU11*$E32,0)</f>
        <v>-3197</v>
      </c>
      <c r="AV32" s="644">
        <f>ROUND(AV11*$E32,0)</f>
        <v>0</v>
      </c>
      <c r="AW32" s="645">
        <f>ROUND(AW11*$E32,0)</f>
        <v>0</v>
      </c>
      <c r="AX32" s="643">
        <f>ROUND(AX11*$E32,0)</f>
        <v>-2548</v>
      </c>
    </row>
    <row r="33" spans="1:50">
      <c r="A33" s="132">
        <v>16</v>
      </c>
      <c r="B33" s="134" t="s">
        <v>41</v>
      </c>
      <c r="C33" s="134"/>
      <c r="E33" s="632"/>
      <c r="F33" s="632"/>
      <c r="G33" s="633">
        <f t="shared" ref="G33:AX33" si="6">SUM(G30:G32)</f>
        <v>0</v>
      </c>
      <c r="H33" s="634">
        <f>SUM(H30:H32)</f>
        <v>-2304</v>
      </c>
      <c r="I33" s="633">
        <f t="shared" si="6"/>
        <v>-38</v>
      </c>
      <c r="J33" s="634">
        <f>SUM(J30:J32)</f>
        <v>-4287</v>
      </c>
      <c r="K33" s="633">
        <f t="shared" si="6"/>
        <v>-68</v>
      </c>
      <c r="L33" s="634">
        <f t="shared" si="6"/>
        <v>-4425</v>
      </c>
      <c r="M33" s="633">
        <f t="shared" si="6"/>
        <v>-81</v>
      </c>
      <c r="N33" s="634">
        <f t="shared" si="6"/>
        <v>-3899</v>
      </c>
      <c r="O33" s="633">
        <f t="shared" si="6"/>
        <v>0</v>
      </c>
      <c r="P33" s="634">
        <f t="shared" si="6"/>
        <v>-4592</v>
      </c>
      <c r="Q33" s="633">
        <f t="shared" si="6"/>
        <v>-114</v>
      </c>
      <c r="R33" s="634">
        <f t="shared" si="6"/>
        <v>-5240</v>
      </c>
      <c r="S33" s="633">
        <f t="shared" si="6"/>
        <v>0</v>
      </c>
      <c r="T33" s="634">
        <f t="shared" si="6"/>
        <v>-6014</v>
      </c>
      <c r="U33" s="633">
        <f t="shared" si="6"/>
        <v>-154</v>
      </c>
      <c r="V33" s="634">
        <f t="shared" si="6"/>
        <v>-3</v>
      </c>
      <c r="W33" s="634">
        <f t="shared" si="6"/>
        <v>-6261</v>
      </c>
      <c r="X33" s="633">
        <f t="shared" si="6"/>
        <v>-176</v>
      </c>
      <c r="Y33" s="646">
        <f t="shared" si="6"/>
        <v>-17</v>
      </c>
      <c r="Z33" s="634">
        <f t="shared" si="6"/>
        <v>-5917</v>
      </c>
      <c r="AA33" s="633">
        <f t="shared" si="6"/>
        <v>-272</v>
      </c>
      <c r="AB33" s="635">
        <f t="shared" si="6"/>
        <v>-28</v>
      </c>
      <c r="AC33" s="634">
        <f t="shared" si="6"/>
        <v>-4858</v>
      </c>
      <c r="AD33" s="633">
        <f t="shared" si="6"/>
        <v>-338</v>
      </c>
      <c r="AE33" s="635">
        <f t="shared" si="6"/>
        <v>-20</v>
      </c>
      <c r="AF33" s="634">
        <f t="shared" si="6"/>
        <v>-3171</v>
      </c>
      <c r="AG33" s="633">
        <f t="shared" si="6"/>
        <v>-359</v>
      </c>
      <c r="AH33" s="635">
        <f t="shared" si="6"/>
        <v>-20</v>
      </c>
      <c r="AI33" s="634">
        <f t="shared" si="6"/>
        <v>-3374</v>
      </c>
      <c r="AJ33" s="633">
        <f t="shared" si="6"/>
        <v>-239</v>
      </c>
      <c r="AK33" s="634">
        <f t="shared" si="6"/>
        <v>-7</v>
      </c>
      <c r="AL33" s="636">
        <f t="shared" si="6"/>
        <v>-3003</v>
      </c>
      <c r="AM33" s="633">
        <f t="shared" si="6"/>
        <v>0</v>
      </c>
      <c r="AN33" s="634">
        <f t="shared" si="6"/>
        <v>0</v>
      </c>
      <c r="AO33" s="636">
        <f t="shared" si="6"/>
        <v>-3083</v>
      </c>
      <c r="AP33" s="633">
        <f t="shared" si="6"/>
        <v>0</v>
      </c>
      <c r="AQ33" s="634">
        <f t="shared" si="6"/>
        <v>0</v>
      </c>
      <c r="AR33" s="637">
        <f t="shared" si="6"/>
        <v>-3380</v>
      </c>
      <c r="AS33" s="638">
        <f t="shared" si="6"/>
        <v>0</v>
      </c>
      <c r="AT33" s="639">
        <f t="shared" si="6"/>
        <v>0</v>
      </c>
      <c r="AU33" s="637">
        <f t="shared" si="6"/>
        <v>-3197</v>
      </c>
      <c r="AV33" s="638">
        <f t="shared" si="6"/>
        <v>0</v>
      </c>
      <c r="AW33" s="639">
        <f t="shared" si="6"/>
        <v>0</v>
      </c>
      <c r="AX33" s="637">
        <f t="shared" si="6"/>
        <v>-2548</v>
      </c>
    </row>
    <row r="34" spans="1:50">
      <c r="C34" s="134"/>
      <c r="D34" s="134"/>
      <c r="E34" s="632"/>
      <c r="F34" s="632"/>
      <c r="G34" s="633"/>
      <c r="H34" s="634"/>
      <c r="I34" s="633"/>
      <c r="J34" s="634"/>
      <c r="K34" s="633"/>
      <c r="L34" s="634"/>
      <c r="M34" s="633"/>
      <c r="N34" s="634"/>
      <c r="O34" s="633"/>
      <c r="P34" s="634"/>
      <c r="Q34" s="633"/>
      <c r="R34" s="634"/>
      <c r="S34" s="633"/>
      <c r="T34" s="634"/>
      <c r="U34" s="633"/>
      <c r="V34" s="634"/>
      <c r="W34" s="634"/>
      <c r="X34" s="633"/>
      <c r="Y34" s="634"/>
      <c r="Z34" s="634"/>
      <c r="AA34" s="633"/>
      <c r="AB34" s="635"/>
      <c r="AC34" s="634"/>
      <c r="AD34" s="633"/>
      <c r="AE34" s="635"/>
      <c r="AF34" s="634"/>
      <c r="AG34" s="633"/>
      <c r="AH34" s="635"/>
      <c r="AI34" s="634"/>
      <c r="AJ34" s="633"/>
      <c r="AK34" s="634"/>
      <c r="AL34" s="636"/>
      <c r="AM34" s="633"/>
      <c r="AN34" s="634"/>
      <c r="AO34" s="636"/>
      <c r="AP34" s="633"/>
      <c r="AQ34" s="634"/>
      <c r="AR34" s="637"/>
      <c r="AS34" s="638"/>
      <c r="AT34" s="639"/>
      <c r="AU34" s="637"/>
      <c r="AV34" s="638"/>
      <c r="AW34" s="639"/>
      <c r="AX34" s="637"/>
    </row>
    <row r="35" spans="1:50">
      <c r="A35" s="132">
        <v>17</v>
      </c>
      <c r="B35" s="112" t="s">
        <v>42</v>
      </c>
      <c r="C35" s="134"/>
      <c r="D35" s="134"/>
      <c r="E35" s="632">
        <f>[9]ROR!N12</f>
        <v>4.8269999999999997E-3</v>
      </c>
      <c r="F35" s="632"/>
      <c r="G35" s="633">
        <f>ROUND(G11*$E35,0)</f>
        <v>0</v>
      </c>
      <c r="H35" s="634">
        <f>ROUND(H11*$E35,0)</f>
        <v>-290</v>
      </c>
      <c r="I35" s="633">
        <f t="shared" ref="I35:AW35" si="7">ROUND(I11*$E35,0)</f>
        <v>-5</v>
      </c>
      <c r="J35" s="634">
        <f t="shared" si="7"/>
        <v>-540</v>
      </c>
      <c r="K35" s="633">
        <f t="shared" si="7"/>
        <v>-9</v>
      </c>
      <c r="L35" s="634">
        <f t="shared" si="7"/>
        <v>-557</v>
      </c>
      <c r="M35" s="633">
        <f t="shared" si="7"/>
        <v>-10</v>
      </c>
      <c r="N35" s="634">
        <f t="shared" si="7"/>
        <v>-491</v>
      </c>
      <c r="O35" s="633">
        <f t="shared" si="7"/>
        <v>0</v>
      </c>
      <c r="P35" s="634">
        <f t="shared" si="7"/>
        <v>-578</v>
      </c>
      <c r="Q35" s="633">
        <f t="shared" si="7"/>
        <v>-14</v>
      </c>
      <c r="R35" s="634">
        <f t="shared" si="7"/>
        <v>-660</v>
      </c>
      <c r="S35" s="633">
        <f t="shared" si="7"/>
        <v>0</v>
      </c>
      <c r="T35" s="634">
        <f t="shared" si="7"/>
        <v>-757</v>
      </c>
      <c r="U35" s="633">
        <f t="shared" si="7"/>
        <v>-19</v>
      </c>
      <c r="V35" s="634">
        <f t="shared" si="7"/>
        <v>0</v>
      </c>
      <c r="W35" s="634">
        <f t="shared" si="7"/>
        <v>-788</v>
      </c>
      <c r="X35" s="633">
        <f t="shared" si="7"/>
        <v>-22</v>
      </c>
      <c r="Y35" s="634">
        <f t="shared" si="7"/>
        <v>-2</v>
      </c>
      <c r="Z35" s="634">
        <f t="shared" si="7"/>
        <v>-745</v>
      </c>
      <c r="AA35" s="633">
        <f t="shared" si="7"/>
        <v>-34</v>
      </c>
      <c r="AB35" s="635">
        <f t="shared" si="7"/>
        <v>-4</v>
      </c>
      <c r="AC35" s="634">
        <f t="shared" si="7"/>
        <v>-612</v>
      </c>
      <c r="AD35" s="633">
        <f t="shared" si="7"/>
        <v>-43</v>
      </c>
      <c r="AE35" s="635">
        <f t="shared" si="7"/>
        <v>-2</v>
      </c>
      <c r="AF35" s="634">
        <f t="shared" si="7"/>
        <v>-399</v>
      </c>
      <c r="AG35" s="633">
        <f t="shared" si="7"/>
        <v>-45</v>
      </c>
      <c r="AH35" s="635">
        <f t="shared" si="7"/>
        <v>-2</v>
      </c>
      <c r="AI35" s="634">
        <f t="shared" si="7"/>
        <v>-425</v>
      </c>
      <c r="AJ35" s="633">
        <f t="shared" si="7"/>
        <v>-30</v>
      </c>
      <c r="AK35" s="634">
        <f t="shared" si="7"/>
        <v>-1</v>
      </c>
      <c r="AL35" s="636">
        <f t="shared" si="7"/>
        <v>-378</v>
      </c>
      <c r="AM35" s="633">
        <f t="shared" si="7"/>
        <v>0</v>
      </c>
      <c r="AN35" s="634">
        <f t="shared" si="7"/>
        <v>0</v>
      </c>
      <c r="AO35" s="636">
        <f t="shared" si="7"/>
        <v>-388</v>
      </c>
      <c r="AP35" s="633">
        <f t="shared" si="7"/>
        <v>0</v>
      </c>
      <c r="AQ35" s="634">
        <f t="shared" si="7"/>
        <v>0</v>
      </c>
      <c r="AR35" s="637">
        <f t="shared" si="7"/>
        <v>-426</v>
      </c>
      <c r="AS35" s="638">
        <f t="shared" si="7"/>
        <v>0</v>
      </c>
      <c r="AT35" s="639">
        <f t="shared" si="7"/>
        <v>0</v>
      </c>
      <c r="AU35" s="637">
        <f t="shared" si="7"/>
        <v>-403</v>
      </c>
      <c r="AV35" s="638">
        <f t="shared" si="7"/>
        <v>0</v>
      </c>
      <c r="AW35" s="639">
        <f t="shared" si="7"/>
        <v>0</v>
      </c>
      <c r="AX35" s="637">
        <f>ROUND(AX11*$E35,0)</f>
        <v>-321</v>
      </c>
    </row>
    <row r="36" spans="1:50">
      <c r="A36" s="132">
        <v>18</v>
      </c>
      <c r="B36" s="112" t="s">
        <v>43</v>
      </c>
      <c r="C36" s="134"/>
      <c r="D36" s="134"/>
      <c r="E36" s="632"/>
      <c r="F36" s="632"/>
      <c r="G36" s="633">
        <v>0</v>
      </c>
      <c r="H36" s="634"/>
      <c r="I36" s="633">
        <v>-949</v>
      </c>
      <c r="J36" s="634"/>
      <c r="K36" s="633">
        <v>-1696</v>
      </c>
      <c r="L36" s="634"/>
      <c r="M36" s="633">
        <v>-2029</v>
      </c>
      <c r="N36" s="634"/>
      <c r="O36" s="633">
        <v>0</v>
      </c>
      <c r="P36" s="634"/>
      <c r="Q36" s="633">
        <v>-2842</v>
      </c>
      <c r="R36" s="634"/>
      <c r="S36" s="633">
        <v>0</v>
      </c>
      <c r="T36" s="634"/>
      <c r="U36" s="633">
        <v>-3835</v>
      </c>
      <c r="V36" s="634"/>
      <c r="W36" s="634"/>
      <c r="X36" s="633">
        <v>-4381</v>
      </c>
      <c r="Y36" s="634"/>
      <c r="Z36" s="634"/>
      <c r="AA36" s="633">
        <v>-6777</v>
      </c>
      <c r="AB36" s="635"/>
      <c r="AC36" s="634"/>
      <c r="AD36" s="633">
        <v>-8416</v>
      </c>
      <c r="AE36" s="635"/>
      <c r="AF36" s="634"/>
      <c r="AG36" s="633">
        <v>-8953</v>
      </c>
      <c r="AH36" s="635"/>
      <c r="AI36" s="634"/>
      <c r="AJ36" s="633">
        <f>-6212+270</f>
        <v>-5942</v>
      </c>
      <c r="AK36" s="634"/>
      <c r="AL36" s="636"/>
      <c r="AM36" s="633">
        <v>0</v>
      </c>
      <c r="AN36" s="634"/>
      <c r="AO36" s="636"/>
      <c r="AP36" s="633">
        <v>0</v>
      </c>
      <c r="AQ36" s="634"/>
      <c r="AR36" s="637"/>
      <c r="AS36" s="638">
        <v>0</v>
      </c>
      <c r="AT36" s="639"/>
      <c r="AU36" s="637"/>
      <c r="AV36" s="638">
        <v>0</v>
      </c>
      <c r="AW36" s="639"/>
      <c r="AX36" s="637"/>
    </row>
    <row r="37" spans="1:50">
      <c r="A37" s="132">
        <v>19</v>
      </c>
      <c r="B37" s="112" t="s">
        <v>44</v>
      </c>
      <c r="C37" s="134"/>
      <c r="D37" s="134"/>
      <c r="E37" s="632"/>
      <c r="F37" s="632"/>
      <c r="G37" s="633"/>
      <c r="H37" s="634"/>
      <c r="I37" s="633"/>
      <c r="J37" s="634"/>
      <c r="K37" s="633"/>
      <c r="L37" s="634"/>
      <c r="M37" s="633"/>
      <c r="N37" s="634"/>
      <c r="O37" s="633"/>
      <c r="P37" s="634"/>
      <c r="Q37" s="633"/>
      <c r="R37" s="634"/>
      <c r="S37" s="633"/>
      <c r="T37" s="634"/>
      <c r="U37" s="633"/>
      <c r="V37" s="634"/>
      <c r="W37" s="634"/>
      <c r="X37" s="633"/>
      <c r="Y37" s="634"/>
      <c r="Z37" s="634"/>
      <c r="AA37" s="633"/>
      <c r="AB37" s="635"/>
      <c r="AC37" s="634"/>
      <c r="AD37" s="633"/>
      <c r="AE37" s="635"/>
      <c r="AF37" s="634"/>
      <c r="AG37" s="633"/>
      <c r="AH37" s="635"/>
      <c r="AI37" s="634"/>
      <c r="AJ37" s="633"/>
      <c r="AK37" s="634"/>
      <c r="AL37" s="636"/>
      <c r="AM37" s="633"/>
      <c r="AN37" s="634"/>
      <c r="AO37" s="636"/>
      <c r="AP37" s="633"/>
      <c r="AQ37" s="634"/>
      <c r="AR37" s="637"/>
      <c r="AS37" s="638"/>
      <c r="AT37" s="639"/>
      <c r="AU37" s="637"/>
      <c r="AV37" s="638"/>
      <c r="AW37" s="639"/>
      <c r="AX37" s="637"/>
    </row>
    <row r="38" spans="1:50">
      <c r="C38" s="134"/>
      <c r="D38" s="134"/>
      <c r="E38" s="632"/>
      <c r="F38" s="632"/>
      <c r="G38" s="633"/>
      <c r="H38" s="634"/>
      <c r="I38" s="633"/>
      <c r="J38" s="634"/>
      <c r="K38" s="633"/>
      <c r="L38" s="634"/>
      <c r="M38" s="633"/>
      <c r="N38" s="634"/>
      <c r="O38" s="633"/>
      <c r="P38" s="634"/>
      <c r="Q38" s="633"/>
      <c r="R38" s="634"/>
      <c r="S38" s="633"/>
      <c r="T38" s="634"/>
      <c r="U38" s="633"/>
      <c r="V38" s="634"/>
      <c r="W38" s="634"/>
      <c r="X38" s="633"/>
      <c r="Y38" s="634"/>
      <c r="Z38" s="634"/>
      <c r="AA38" s="633"/>
      <c r="AB38" s="635"/>
      <c r="AC38" s="634"/>
      <c r="AD38" s="633"/>
      <c r="AE38" s="635"/>
      <c r="AF38" s="634"/>
      <c r="AG38" s="633"/>
      <c r="AH38" s="635"/>
      <c r="AI38" s="634"/>
      <c r="AJ38" s="633"/>
      <c r="AK38" s="634"/>
      <c r="AL38" s="636"/>
      <c r="AM38" s="633"/>
      <c r="AN38" s="634"/>
      <c r="AO38" s="636"/>
      <c r="AP38" s="633"/>
      <c r="AQ38" s="634"/>
      <c r="AR38" s="637"/>
      <c r="AS38" s="638"/>
      <c r="AT38" s="639"/>
      <c r="AU38" s="637"/>
      <c r="AV38" s="638"/>
      <c r="AW38" s="639"/>
      <c r="AX38" s="637"/>
    </row>
    <row r="39" spans="1:50">
      <c r="B39" s="112" t="s">
        <v>45</v>
      </c>
      <c r="C39" s="134"/>
      <c r="D39" s="134"/>
      <c r="E39" s="632"/>
      <c r="F39" s="632"/>
      <c r="G39" s="633"/>
      <c r="H39" s="634"/>
      <c r="I39" s="633"/>
      <c r="J39" s="634"/>
      <c r="K39" s="633"/>
      <c r="L39" s="634"/>
      <c r="M39" s="633"/>
      <c r="N39" s="634"/>
      <c r="O39" s="633"/>
      <c r="P39" s="634"/>
      <c r="Q39" s="633"/>
      <c r="R39" s="634"/>
      <c r="S39" s="633"/>
      <c r="T39" s="634"/>
      <c r="U39" s="633"/>
      <c r="V39" s="634"/>
      <c r="W39" s="634"/>
      <c r="X39" s="633"/>
      <c r="Y39" s="634"/>
      <c r="Z39" s="634"/>
      <c r="AA39" s="633"/>
      <c r="AB39" s="635"/>
      <c r="AC39" s="634"/>
      <c r="AD39" s="633"/>
      <c r="AE39" s="635"/>
      <c r="AF39" s="634"/>
      <c r="AG39" s="633"/>
      <c r="AH39" s="635"/>
      <c r="AI39" s="634"/>
      <c r="AJ39" s="633"/>
      <c r="AK39" s="634"/>
      <c r="AL39" s="636"/>
      <c r="AM39" s="633"/>
      <c r="AN39" s="634"/>
      <c r="AO39" s="636"/>
      <c r="AP39" s="633"/>
      <c r="AQ39" s="634"/>
      <c r="AR39" s="637"/>
      <c r="AS39" s="638"/>
      <c r="AT39" s="639"/>
      <c r="AU39" s="637"/>
      <c r="AV39" s="638"/>
      <c r="AW39" s="639"/>
      <c r="AX39" s="637"/>
    </row>
    <row r="40" spans="1:50">
      <c r="A40" s="132">
        <v>20</v>
      </c>
      <c r="C40" s="134" t="s">
        <v>37</v>
      </c>
      <c r="D40" s="134"/>
      <c r="E40" s="632">
        <f>[9]ROR!N14</f>
        <v>2E-3</v>
      </c>
      <c r="F40" s="632"/>
      <c r="G40" s="633">
        <f>ROUND(G11*$E40,0)</f>
        <v>0</v>
      </c>
      <c r="H40" s="634">
        <f>ROUND(H11*$E40,0)</f>
        <v>-120</v>
      </c>
      <c r="I40" s="633">
        <f t="shared" ref="I40:AT40" si="8">ROUND(I11*$E40,0)</f>
        <v>-2</v>
      </c>
      <c r="J40" s="634">
        <f t="shared" si="8"/>
        <v>-224</v>
      </c>
      <c r="K40" s="633">
        <f t="shared" si="8"/>
        <v>-4</v>
      </c>
      <c r="L40" s="634">
        <f t="shared" si="8"/>
        <v>-231</v>
      </c>
      <c r="M40" s="633">
        <f t="shared" si="8"/>
        <v>-4</v>
      </c>
      <c r="N40" s="634">
        <f t="shared" si="8"/>
        <v>-203</v>
      </c>
      <c r="O40" s="633">
        <f t="shared" si="8"/>
        <v>0</v>
      </c>
      <c r="P40" s="634">
        <f t="shared" si="8"/>
        <v>-240</v>
      </c>
      <c r="Q40" s="633">
        <f t="shared" si="8"/>
        <v>-6</v>
      </c>
      <c r="R40" s="634">
        <f t="shared" si="8"/>
        <v>-273</v>
      </c>
      <c r="S40" s="633">
        <f t="shared" si="8"/>
        <v>0</v>
      </c>
      <c r="T40" s="634">
        <f t="shared" si="8"/>
        <v>-314</v>
      </c>
      <c r="U40" s="633">
        <f t="shared" si="8"/>
        <v>-8</v>
      </c>
      <c r="V40" s="634">
        <f t="shared" si="8"/>
        <v>0</v>
      </c>
      <c r="W40" s="634">
        <f t="shared" si="8"/>
        <v>-327</v>
      </c>
      <c r="X40" s="633">
        <f t="shared" si="8"/>
        <v>-9</v>
      </c>
      <c r="Y40" s="634">
        <f t="shared" si="8"/>
        <v>-1</v>
      </c>
      <c r="Z40" s="634">
        <f t="shared" si="8"/>
        <v>-309</v>
      </c>
      <c r="AA40" s="633">
        <f t="shared" si="8"/>
        <v>-14</v>
      </c>
      <c r="AB40" s="635">
        <f t="shared" si="8"/>
        <v>-1</v>
      </c>
      <c r="AC40" s="634">
        <f t="shared" si="8"/>
        <v>-253</v>
      </c>
      <c r="AD40" s="633">
        <f t="shared" si="8"/>
        <v>-18</v>
      </c>
      <c r="AE40" s="635">
        <f t="shared" si="8"/>
        <v>-1</v>
      </c>
      <c r="AF40" s="634">
        <f t="shared" si="8"/>
        <v>-165</v>
      </c>
      <c r="AG40" s="633">
        <f t="shared" si="8"/>
        <v>-19</v>
      </c>
      <c r="AH40" s="635">
        <f t="shared" si="8"/>
        <v>-1</v>
      </c>
      <c r="AI40" s="634">
        <f t="shared" si="8"/>
        <v>-176</v>
      </c>
      <c r="AJ40" s="633">
        <f t="shared" si="8"/>
        <v>-12</v>
      </c>
      <c r="AK40" s="634">
        <f t="shared" si="8"/>
        <v>0</v>
      </c>
      <c r="AL40" s="636">
        <f t="shared" si="8"/>
        <v>-157</v>
      </c>
      <c r="AM40" s="633">
        <f t="shared" si="8"/>
        <v>0</v>
      </c>
      <c r="AN40" s="634">
        <f t="shared" si="8"/>
        <v>0</v>
      </c>
      <c r="AO40" s="636">
        <f t="shared" si="8"/>
        <v>-161</v>
      </c>
      <c r="AP40" s="633">
        <f t="shared" si="8"/>
        <v>0</v>
      </c>
      <c r="AQ40" s="634">
        <f t="shared" si="8"/>
        <v>0</v>
      </c>
      <c r="AR40" s="637">
        <f t="shared" si="8"/>
        <v>-176</v>
      </c>
      <c r="AS40" s="638">
        <f t="shared" si="8"/>
        <v>0</v>
      </c>
      <c r="AT40" s="639">
        <f t="shared" si="8"/>
        <v>0</v>
      </c>
      <c r="AU40" s="637">
        <f>ROUND(AU11*$E40,0)</f>
        <v>-167</v>
      </c>
      <c r="AV40" s="638">
        <f>ROUND(AV11*$E40,0)</f>
        <v>0</v>
      </c>
      <c r="AW40" s="639">
        <f>ROUND(AW11*$E40,0)</f>
        <v>0</v>
      </c>
      <c r="AX40" s="637">
        <f>ROUND(AX11*$E40,0)</f>
        <v>-133</v>
      </c>
    </row>
    <row r="41" spans="1:50">
      <c r="A41" s="132">
        <v>21</v>
      </c>
      <c r="C41" s="134" t="s">
        <v>168</v>
      </c>
      <c r="D41" s="134"/>
      <c r="G41" s="633"/>
      <c r="H41" s="634"/>
      <c r="I41" s="633"/>
      <c r="J41" s="634"/>
      <c r="K41" s="633"/>
      <c r="L41" s="634"/>
      <c r="M41" s="633"/>
      <c r="N41" s="634"/>
      <c r="O41" s="633"/>
      <c r="P41" s="634"/>
      <c r="Q41" s="633"/>
      <c r="R41" s="634"/>
      <c r="S41" s="633"/>
      <c r="T41" s="634"/>
      <c r="U41" s="633"/>
      <c r="V41" s="634">
        <v>-85</v>
      </c>
      <c r="W41" s="634"/>
      <c r="X41" s="633"/>
      <c r="Y41" s="634">
        <v>-432</v>
      </c>
      <c r="Z41" s="634"/>
      <c r="AA41" s="633"/>
      <c r="AB41" s="635">
        <v>-710</v>
      </c>
      <c r="AC41" s="634"/>
      <c r="AD41" s="633"/>
      <c r="AE41" s="635">
        <v>-494</v>
      </c>
      <c r="AF41" s="634"/>
      <c r="AG41" s="633"/>
      <c r="AH41" s="635">
        <v>-494</v>
      </c>
      <c r="AI41" s="634"/>
      <c r="AJ41" s="633"/>
      <c r="AK41" s="634">
        <f>-184+1</f>
        <v>-183</v>
      </c>
      <c r="AL41" s="636"/>
      <c r="AM41" s="633"/>
      <c r="AN41" s="634">
        <v>0</v>
      </c>
      <c r="AO41" s="636"/>
      <c r="AP41" s="633"/>
      <c r="AQ41" s="634">
        <v>0</v>
      </c>
      <c r="AR41" s="637"/>
      <c r="AS41" s="638"/>
      <c r="AT41" s="639">
        <v>0</v>
      </c>
      <c r="AU41" s="637"/>
      <c r="AV41" s="638"/>
      <c r="AW41" s="639">
        <v>0</v>
      </c>
      <c r="AX41" s="637"/>
    </row>
    <row r="42" spans="1:50">
      <c r="A42" s="132">
        <v>22</v>
      </c>
      <c r="C42" s="517" t="s">
        <v>379</v>
      </c>
      <c r="D42" s="134"/>
      <c r="G42" s="633"/>
      <c r="H42" s="634"/>
      <c r="I42" s="633"/>
      <c r="J42" s="634"/>
      <c r="K42" s="633"/>
      <c r="L42" s="634"/>
      <c r="M42" s="633"/>
      <c r="N42" s="634"/>
      <c r="O42" s="633"/>
      <c r="P42" s="634"/>
      <c r="Q42" s="633"/>
      <c r="R42" s="634"/>
      <c r="S42" s="633"/>
      <c r="T42" s="634"/>
      <c r="U42" s="633"/>
      <c r="V42" s="634"/>
      <c r="W42" s="634"/>
      <c r="X42" s="633"/>
      <c r="Y42" s="634"/>
      <c r="Z42" s="634"/>
      <c r="AA42" s="633"/>
      <c r="AB42" s="635"/>
      <c r="AC42" s="634"/>
      <c r="AD42" s="633"/>
      <c r="AE42" s="635"/>
      <c r="AF42" s="634"/>
      <c r="AG42" s="633"/>
      <c r="AH42" s="635"/>
      <c r="AI42" s="634"/>
      <c r="AJ42" s="633"/>
      <c r="AK42" s="634"/>
      <c r="AL42" s="636"/>
      <c r="AM42" s="633"/>
      <c r="AN42" s="634"/>
      <c r="AO42" s="636"/>
      <c r="AP42" s="633"/>
      <c r="AQ42" s="634"/>
      <c r="AR42" s="637"/>
      <c r="AS42" s="638"/>
      <c r="AT42" s="639"/>
      <c r="AU42" s="637"/>
      <c r="AV42" s="638"/>
      <c r="AW42" s="639"/>
      <c r="AX42" s="637"/>
    </row>
    <row r="43" spans="1:50">
      <c r="A43" s="132">
        <v>23</v>
      </c>
      <c r="C43" s="134" t="s">
        <v>20</v>
      </c>
      <c r="D43" s="134"/>
      <c r="G43" s="640"/>
      <c r="H43" s="641"/>
      <c r="I43" s="640"/>
      <c r="J43" s="641"/>
      <c r="K43" s="640"/>
      <c r="L43" s="641"/>
      <c r="M43" s="640"/>
      <c r="N43" s="641"/>
      <c r="O43" s="640"/>
      <c r="P43" s="641"/>
      <c r="Q43" s="640"/>
      <c r="R43" s="641"/>
      <c r="S43" s="640"/>
      <c r="T43" s="641"/>
      <c r="U43" s="640"/>
      <c r="V43" s="641"/>
      <c r="W43" s="641"/>
      <c r="X43" s="640"/>
      <c r="Y43" s="634"/>
      <c r="Z43" s="641"/>
      <c r="AA43" s="640"/>
      <c r="AB43" s="641"/>
      <c r="AC43" s="641"/>
      <c r="AD43" s="640"/>
      <c r="AE43" s="641"/>
      <c r="AF43" s="641"/>
      <c r="AG43" s="640"/>
      <c r="AH43" s="641"/>
      <c r="AI43" s="641"/>
      <c r="AJ43" s="640"/>
      <c r="AK43" s="641"/>
      <c r="AL43" s="642"/>
      <c r="AM43" s="640"/>
      <c r="AN43" s="641"/>
      <c r="AO43" s="642"/>
      <c r="AP43" s="640"/>
      <c r="AQ43" s="641"/>
      <c r="AR43" s="643"/>
      <c r="AS43" s="644"/>
      <c r="AT43" s="645"/>
      <c r="AU43" s="643"/>
      <c r="AV43" s="644"/>
      <c r="AW43" s="645"/>
      <c r="AX43" s="643"/>
    </row>
    <row r="44" spans="1:50">
      <c r="A44" s="132">
        <v>24</v>
      </c>
      <c r="B44" s="134" t="s">
        <v>46</v>
      </c>
      <c r="C44" s="134"/>
      <c r="G44" s="649">
        <f t="shared" ref="G44:AX44" si="9">SUM(G40:G43)</f>
        <v>0</v>
      </c>
      <c r="H44" s="650">
        <f>SUM(H40:H43)</f>
        <v>-120</v>
      </c>
      <c r="I44" s="649">
        <f t="shared" si="9"/>
        <v>-2</v>
      </c>
      <c r="J44" s="650">
        <f>SUM(J40:J43)</f>
        <v>-224</v>
      </c>
      <c r="K44" s="649">
        <f t="shared" si="9"/>
        <v>-4</v>
      </c>
      <c r="L44" s="650">
        <f t="shared" si="9"/>
        <v>-231</v>
      </c>
      <c r="M44" s="649">
        <f t="shared" si="9"/>
        <v>-4</v>
      </c>
      <c r="N44" s="650">
        <f t="shared" si="9"/>
        <v>-203</v>
      </c>
      <c r="O44" s="649">
        <f t="shared" si="9"/>
        <v>0</v>
      </c>
      <c r="P44" s="650">
        <f t="shared" si="9"/>
        <v>-240</v>
      </c>
      <c r="Q44" s="649">
        <f t="shared" si="9"/>
        <v>-6</v>
      </c>
      <c r="R44" s="650">
        <f t="shared" si="9"/>
        <v>-273</v>
      </c>
      <c r="S44" s="649">
        <f t="shared" si="9"/>
        <v>0</v>
      </c>
      <c r="T44" s="650">
        <f t="shared" si="9"/>
        <v>-314</v>
      </c>
      <c r="U44" s="649">
        <f t="shared" si="9"/>
        <v>-8</v>
      </c>
      <c r="V44" s="650">
        <f t="shared" si="9"/>
        <v>-85</v>
      </c>
      <c r="W44" s="650">
        <f t="shared" si="9"/>
        <v>-327</v>
      </c>
      <c r="X44" s="649">
        <f t="shared" si="9"/>
        <v>-9</v>
      </c>
      <c r="Y44" s="646">
        <f t="shared" si="9"/>
        <v>-433</v>
      </c>
      <c r="Z44" s="650">
        <f t="shared" si="9"/>
        <v>-309</v>
      </c>
      <c r="AA44" s="649">
        <f t="shared" si="9"/>
        <v>-14</v>
      </c>
      <c r="AB44" s="650">
        <f t="shared" si="9"/>
        <v>-711</v>
      </c>
      <c r="AC44" s="650">
        <f t="shared" si="9"/>
        <v>-253</v>
      </c>
      <c r="AD44" s="649">
        <f t="shared" si="9"/>
        <v>-18</v>
      </c>
      <c r="AE44" s="650">
        <f t="shared" si="9"/>
        <v>-495</v>
      </c>
      <c r="AF44" s="650">
        <f t="shared" si="9"/>
        <v>-165</v>
      </c>
      <c r="AG44" s="649">
        <f t="shared" si="9"/>
        <v>-19</v>
      </c>
      <c r="AH44" s="650">
        <f t="shared" si="9"/>
        <v>-495</v>
      </c>
      <c r="AI44" s="650">
        <f t="shared" si="9"/>
        <v>-176</v>
      </c>
      <c r="AJ44" s="649">
        <f t="shared" si="9"/>
        <v>-12</v>
      </c>
      <c r="AK44" s="650">
        <f t="shared" si="9"/>
        <v>-183</v>
      </c>
      <c r="AL44" s="651">
        <f t="shared" si="9"/>
        <v>-157</v>
      </c>
      <c r="AM44" s="649">
        <f t="shared" si="9"/>
        <v>0</v>
      </c>
      <c r="AN44" s="650">
        <f t="shared" si="9"/>
        <v>0</v>
      </c>
      <c r="AO44" s="651">
        <f t="shared" si="9"/>
        <v>-161</v>
      </c>
      <c r="AP44" s="649">
        <f t="shared" si="9"/>
        <v>0</v>
      </c>
      <c r="AQ44" s="650">
        <f t="shared" si="9"/>
        <v>0</v>
      </c>
      <c r="AR44" s="652">
        <f t="shared" si="9"/>
        <v>-176</v>
      </c>
      <c r="AS44" s="653">
        <f t="shared" si="9"/>
        <v>0</v>
      </c>
      <c r="AT44" s="654">
        <f t="shared" si="9"/>
        <v>0</v>
      </c>
      <c r="AU44" s="652">
        <f t="shared" si="9"/>
        <v>-167</v>
      </c>
      <c r="AV44" s="653">
        <f t="shared" si="9"/>
        <v>0</v>
      </c>
      <c r="AW44" s="654">
        <f t="shared" si="9"/>
        <v>0</v>
      </c>
      <c r="AX44" s="652">
        <f t="shared" si="9"/>
        <v>-133</v>
      </c>
    </row>
    <row r="45" spans="1:50">
      <c r="A45" s="132">
        <v>25</v>
      </c>
      <c r="B45" s="112" t="s">
        <v>47</v>
      </c>
      <c r="C45" s="134"/>
      <c r="D45" s="134"/>
      <c r="G45" s="649">
        <f t="shared" ref="G45:AT45" si="10">G21+G27+G33+G35+G36+G37+G44</f>
        <v>0</v>
      </c>
      <c r="H45" s="650">
        <f>H21+H27+H33+H35+H36+H37+H44</f>
        <v>-60333</v>
      </c>
      <c r="I45" s="649">
        <f t="shared" si="10"/>
        <v>-994</v>
      </c>
      <c r="J45" s="650">
        <f>J21+J27+J33+J35+J36+J37+J44</f>
        <v>-112080</v>
      </c>
      <c r="K45" s="649">
        <f t="shared" si="10"/>
        <v>-1777</v>
      </c>
      <c r="L45" s="650">
        <f t="shared" si="10"/>
        <v>-115582</v>
      </c>
      <c r="M45" s="649">
        <f t="shared" si="10"/>
        <v>-2124</v>
      </c>
      <c r="N45" s="650">
        <f t="shared" si="10"/>
        <v>-101716</v>
      </c>
      <c r="O45" s="649">
        <f t="shared" si="10"/>
        <v>0</v>
      </c>
      <c r="P45" s="650">
        <f t="shared" si="10"/>
        <v>-119781</v>
      </c>
      <c r="Q45" s="649">
        <f t="shared" si="10"/>
        <v>-2976</v>
      </c>
      <c r="R45" s="650">
        <f t="shared" si="10"/>
        <v>-165017</v>
      </c>
      <c r="S45" s="649">
        <f t="shared" si="10"/>
        <v>0</v>
      </c>
      <c r="T45" s="650">
        <f t="shared" si="10"/>
        <v>-156887</v>
      </c>
      <c r="U45" s="649">
        <f t="shared" si="10"/>
        <v>-4016</v>
      </c>
      <c r="V45" s="650">
        <f t="shared" si="10"/>
        <v>-88</v>
      </c>
      <c r="W45" s="650">
        <f t="shared" si="10"/>
        <v>-230023</v>
      </c>
      <c r="X45" s="649">
        <f t="shared" si="10"/>
        <v>-4588</v>
      </c>
      <c r="Y45" s="646">
        <f t="shared" si="10"/>
        <v>-452</v>
      </c>
      <c r="Z45" s="650">
        <f t="shared" si="10"/>
        <v>-307363</v>
      </c>
      <c r="AA45" s="649">
        <f t="shared" si="10"/>
        <v>-7097</v>
      </c>
      <c r="AB45" s="650">
        <f t="shared" si="10"/>
        <v>-743</v>
      </c>
      <c r="AC45" s="650">
        <f t="shared" si="10"/>
        <v>-210711</v>
      </c>
      <c r="AD45" s="649">
        <f t="shared" si="10"/>
        <v>-8815</v>
      </c>
      <c r="AE45" s="650">
        <f t="shared" si="10"/>
        <v>-517</v>
      </c>
      <c r="AF45" s="650">
        <f t="shared" si="10"/>
        <v>-197907</v>
      </c>
      <c r="AG45" s="649">
        <f t="shared" si="10"/>
        <v>-9376</v>
      </c>
      <c r="AH45" s="650">
        <f t="shared" si="10"/>
        <v>-517</v>
      </c>
      <c r="AI45" s="650">
        <f t="shared" si="10"/>
        <v>-186809</v>
      </c>
      <c r="AJ45" s="649">
        <f t="shared" si="10"/>
        <v>-6223</v>
      </c>
      <c r="AK45" s="650">
        <f t="shared" si="10"/>
        <v>-191</v>
      </c>
      <c r="AL45" s="651">
        <f t="shared" si="10"/>
        <v>-146165</v>
      </c>
      <c r="AM45" s="649">
        <f t="shared" si="10"/>
        <v>0</v>
      </c>
      <c r="AN45" s="650">
        <f t="shared" si="10"/>
        <v>0</v>
      </c>
      <c r="AO45" s="651">
        <f t="shared" si="10"/>
        <v>-80433</v>
      </c>
      <c r="AP45" s="649">
        <f t="shared" si="10"/>
        <v>0</v>
      </c>
      <c r="AQ45" s="650">
        <f t="shared" si="10"/>
        <v>0</v>
      </c>
      <c r="AR45" s="652">
        <f t="shared" si="10"/>
        <v>-88169</v>
      </c>
      <c r="AS45" s="653">
        <f t="shared" si="10"/>
        <v>0</v>
      </c>
      <c r="AT45" s="654">
        <f t="shared" si="10"/>
        <v>0</v>
      </c>
      <c r="AU45" s="652">
        <f>AU21+AU27+AU33+AU35+AU36+AU37+AU44</f>
        <v>-83401</v>
      </c>
      <c r="AV45" s="653">
        <f>AV21+AV27+AV33+AV35+AV36+AV37+AV44</f>
        <v>0</v>
      </c>
      <c r="AW45" s="654">
        <f>AW21+AW27+AW33+AW35+AW36+AW37+AW44</f>
        <v>0</v>
      </c>
      <c r="AX45" s="652">
        <f>AX21+AX27+AX33+AX35+AX36+AX37+AX44</f>
        <v>-66463</v>
      </c>
    </row>
    <row r="46" spans="1:50">
      <c r="C46" s="134"/>
      <c r="D46" s="134"/>
      <c r="G46" s="633"/>
      <c r="H46" s="634"/>
      <c r="I46" s="633"/>
      <c r="J46" s="634"/>
      <c r="K46" s="633"/>
      <c r="L46" s="634"/>
      <c r="M46" s="633"/>
      <c r="N46" s="634"/>
      <c r="O46" s="633"/>
      <c r="P46" s="634"/>
      <c r="Q46" s="633"/>
      <c r="R46" s="634"/>
      <c r="S46" s="633"/>
      <c r="T46" s="634"/>
      <c r="U46" s="633"/>
      <c r="V46" s="634"/>
      <c r="W46" s="634"/>
      <c r="X46" s="633"/>
      <c r="Y46" s="646"/>
      <c r="Z46" s="634"/>
      <c r="AA46" s="633"/>
      <c r="AB46" s="635"/>
      <c r="AC46" s="634"/>
      <c r="AD46" s="633"/>
      <c r="AE46" s="635"/>
      <c r="AF46" s="634"/>
      <c r="AG46" s="633"/>
      <c r="AH46" s="635"/>
      <c r="AI46" s="634"/>
      <c r="AJ46" s="633"/>
      <c r="AK46" s="634"/>
      <c r="AL46" s="636"/>
      <c r="AM46" s="633"/>
      <c r="AN46" s="634"/>
      <c r="AO46" s="636"/>
      <c r="AP46" s="633"/>
      <c r="AQ46" s="634"/>
      <c r="AR46" s="637"/>
      <c r="AS46" s="638"/>
      <c r="AT46" s="639"/>
      <c r="AU46" s="637"/>
      <c r="AV46" s="638"/>
      <c r="AW46" s="639"/>
      <c r="AX46" s="637"/>
    </row>
    <row r="47" spans="1:50">
      <c r="A47" s="132">
        <v>26</v>
      </c>
      <c r="B47" s="112" t="s">
        <v>48</v>
      </c>
      <c r="C47" s="134"/>
      <c r="D47" s="134"/>
      <c r="G47" s="633">
        <f>G14-G45</f>
        <v>0</v>
      </c>
      <c r="H47" s="634">
        <f>H14-H45</f>
        <v>0</v>
      </c>
      <c r="I47" s="633">
        <f t="shared" ref="I47:AX47" si="11">I14-I45</f>
        <v>0</v>
      </c>
      <c r="J47" s="634">
        <f t="shared" si="11"/>
        <v>0</v>
      </c>
      <c r="K47" s="633">
        <f t="shared" si="11"/>
        <v>1</v>
      </c>
      <c r="L47" s="634">
        <f t="shared" si="11"/>
        <v>0</v>
      </c>
      <c r="M47" s="633">
        <f t="shared" si="11"/>
        <v>0</v>
      </c>
      <c r="N47" s="634">
        <f t="shared" si="11"/>
        <v>-1</v>
      </c>
      <c r="O47" s="633">
        <f t="shared" si="11"/>
        <v>0</v>
      </c>
      <c r="P47" s="634">
        <f t="shared" si="11"/>
        <v>1</v>
      </c>
      <c r="Q47" s="633">
        <f t="shared" si="11"/>
        <v>0</v>
      </c>
      <c r="R47" s="634">
        <f t="shared" si="11"/>
        <v>-1</v>
      </c>
      <c r="S47" s="633">
        <f t="shared" si="11"/>
        <v>0</v>
      </c>
      <c r="T47" s="634">
        <f t="shared" si="11"/>
        <v>1</v>
      </c>
      <c r="U47" s="633">
        <f t="shared" si="11"/>
        <v>0</v>
      </c>
      <c r="V47" s="634">
        <f t="shared" si="11"/>
        <v>-1</v>
      </c>
      <c r="W47" s="634">
        <f t="shared" si="11"/>
        <v>1</v>
      </c>
      <c r="X47" s="633">
        <f t="shared" si="11"/>
        <v>0</v>
      </c>
      <c r="Y47" s="634">
        <f t="shared" si="11"/>
        <v>0</v>
      </c>
      <c r="Z47" s="634">
        <f t="shared" si="11"/>
        <v>1</v>
      </c>
      <c r="AA47" s="633">
        <f t="shared" si="11"/>
        <v>-1</v>
      </c>
      <c r="AB47" s="635">
        <f t="shared" si="11"/>
        <v>0</v>
      </c>
      <c r="AC47" s="634">
        <f t="shared" si="11"/>
        <v>-1</v>
      </c>
      <c r="AD47" s="633">
        <f t="shared" si="11"/>
        <v>0</v>
      </c>
      <c r="AE47" s="635">
        <f t="shared" si="11"/>
        <v>0</v>
      </c>
      <c r="AF47" s="634">
        <f t="shared" si="11"/>
        <v>-1</v>
      </c>
      <c r="AG47" s="633">
        <f t="shared" si="11"/>
        <v>1</v>
      </c>
      <c r="AH47" s="635">
        <f t="shared" si="11"/>
        <v>0</v>
      </c>
      <c r="AI47" s="634">
        <f t="shared" si="11"/>
        <v>1</v>
      </c>
      <c r="AJ47" s="633">
        <f t="shared" si="11"/>
        <v>0</v>
      </c>
      <c r="AK47" s="634">
        <f t="shared" si="11"/>
        <v>0</v>
      </c>
      <c r="AL47" s="636">
        <f t="shared" si="11"/>
        <v>0</v>
      </c>
      <c r="AM47" s="633">
        <f t="shared" si="11"/>
        <v>0</v>
      </c>
      <c r="AN47" s="634">
        <f t="shared" si="11"/>
        <v>0</v>
      </c>
      <c r="AO47" s="636">
        <f t="shared" si="11"/>
        <v>1</v>
      </c>
      <c r="AP47" s="633">
        <f t="shared" si="11"/>
        <v>0</v>
      </c>
      <c r="AQ47" s="634">
        <f t="shared" si="11"/>
        <v>0</v>
      </c>
      <c r="AR47" s="637">
        <f t="shared" si="11"/>
        <v>0</v>
      </c>
      <c r="AS47" s="638">
        <f t="shared" si="11"/>
        <v>0</v>
      </c>
      <c r="AT47" s="639">
        <f t="shared" si="11"/>
        <v>0</v>
      </c>
      <c r="AU47" s="637">
        <f t="shared" si="11"/>
        <v>1</v>
      </c>
      <c r="AV47" s="638">
        <f t="shared" si="11"/>
        <v>0</v>
      </c>
      <c r="AW47" s="639">
        <f t="shared" si="11"/>
        <v>0</v>
      </c>
      <c r="AX47" s="637">
        <f t="shared" si="11"/>
        <v>0</v>
      </c>
    </row>
    <row r="48" spans="1:50">
      <c r="C48" s="134"/>
      <c r="D48" s="134"/>
      <c r="G48" s="633"/>
      <c r="H48" s="634"/>
      <c r="I48" s="633"/>
      <c r="J48" s="634"/>
      <c r="K48" s="633"/>
      <c r="L48" s="634"/>
      <c r="M48" s="633"/>
      <c r="N48" s="634"/>
      <c r="O48" s="633"/>
      <c r="P48" s="634"/>
      <c r="Q48" s="633"/>
      <c r="R48" s="634"/>
      <c r="S48" s="633"/>
      <c r="T48" s="634"/>
      <c r="U48" s="633"/>
      <c r="V48" s="634"/>
      <c r="W48" s="634"/>
      <c r="X48" s="633"/>
      <c r="Y48" s="634"/>
      <c r="Z48" s="634"/>
      <c r="AA48" s="633"/>
      <c r="AB48" s="635"/>
      <c r="AC48" s="634"/>
      <c r="AD48" s="633"/>
      <c r="AE48" s="635"/>
      <c r="AF48" s="634"/>
      <c r="AG48" s="633"/>
      <c r="AH48" s="635"/>
      <c r="AI48" s="634"/>
      <c r="AJ48" s="633"/>
      <c r="AK48" s="634"/>
      <c r="AL48" s="636"/>
      <c r="AM48" s="633"/>
      <c r="AN48" s="634"/>
      <c r="AO48" s="636"/>
      <c r="AP48" s="633"/>
      <c r="AQ48" s="634"/>
      <c r="AR48" s="637"/>
      <c r="AS48" s="638"/>
      <c r="AT48" s="639"/>
      <c r="AU48" s="637"/>
      <c r="AV48" s="638"/>
      <c r="AW48" s="639"/>
      <c r="AX48" s="637"/>
    </row>
    <row r="49" spans="1:50">
      <c r="B49" s="112" t="s">
        <v>49</v>
      </c>
      <c r="C49" s="134"/>
      <c r="D49" s="134"/>
      <c r="G49" s="633"/>
      <c r="H49" s="634"/>
      <c r="I49" s="633"/>
      <c r="J49" s="634"/>
      <c r="K49" s="633"/>
      <c r="L49" s="634"/>
      <c r="M49" s="633"/>
      <c r="N49" s="634"/>
      <c r="O49" s="633"/>
      <c r="P49" s="634"/>
      <c r="Q49" s="633"/>
      <c r="R49" s="634"/>
      <c r="S49" s="633"/>
      <c r="T49" s="634"/>
      <c r="U49" s="633"/>
      <c r="V49" s="634"/>
      <c r="W49" s="634"/>
      <c r="X49" s="633"/>
      <c r="Y49" s="634"/>
      <c r="Z49" s="634"/>
      <c r="AA49" s="633"/>
      <c r="AB49" s="635"/>
      <c r="AC49" s="634"/>
      <c r="AD49" s="633"/>
      <c r="AE49" s="635"/>
      <c r="AF49" s="634"/>
      <c r="AG49" s="633"/>
      <c r="AH49" s="635"/>
      <c r="AI49" s="634"/>
      <c r="AJ49" s="633"/>
      <c r="AK49" s="634"/>
      <c r="AL49" s="636"/>
      <c r="AM49" s="633"/>
      <c r="AN49" s="634"/>
      <c r="AO49" s="636"/>
      <c r="AP49" s="633"/>
      <c r="AQ49" s="634"/>
      <c r="AR49" s="637"/>
      <c r="AS49" s="638"/>
      <c r="AT49" s="639"/>
      <c r="AU49" s="637"/>
      <c r="AV49" s="638"/>
      <c r="AW49" s="639"/>
      <c r="AX49" s="637"/>
    </row>
    <row r="50" spans="1:50">
      <c r="A50" s="132">
        <v>27</v>
      </c>
      <c r="B50" s="134" t="s">
        <v>50</v>
      </c>
      <c r="D50" s="134"/>
      <c r="G50" s="633"/>
      <c r="H50" s="634"/>
      <c r="I50" s="633"/>
      <c r="J50" s="634"/>
      <c r="K50" s="633"/>
      <c r="L50" s="634"/>
      <c r="M50" s="633"/>
      <c r="N50" s="634"/>
      <c r="O50" s="633"/>
      <c r="P50" s="634"/>
      <c r="Q50" s="633"/>
      <c r="R50" s="634"/>
      <c r="S50" s="633"/>
      <c r="T50" s="634"/>
      <c r="U50" s="633"/>
      <c r="V50" s="634"/>
      <c r="W50" s="634"/>
      <c r="X50" s="633"/>
      <c r="Y50" s="634"/>
      <c r="Z50" s="634"/>
      <c r="AA50" s="633"/>
      <c r="AB50" s="635"/>
      <c r="AC50" s="634"/>
      <c r="AD50" s="633"/>
      <c r="AE50" s="635"/>
      <c r="AF50" s="634"/>
      <c r="AG50" s="633"/>
      <c r="AH50" s="635"/>
      <c r="AI50" s="634"/>
      <c r="AJ50" s="633"/>
      <c r="AK50" s="634"/>
      <c r="AL50" s="636"/>
      <c r="AM50" s="633"/>
      <c r="AN50" s="634"/>
      <c r="AO50" s="636"/>
      <c r="AP50" s="633"/>
      <c r="AQ50" s="634"/>
      <c r="AR50" s="637"/>
      <c r="AS50" s="638"/>
      <c r="AT50" s="639"/>
      <c r="AU50" s="637"/>
      <c r="AV50" s="638"/>
      <c r="AW50" s="639"/>
      <c r="AX50" s="637"/>
    </row>
    <row r="51" spans="1:50">
      <c r="A51" s="132">
        <v>28</v>
      </c>
      <c r="B51" s="134" t="s">
        <v>153</v>
      </c>
      <c r="D51" s="134"/>
      <c r="G51" s="633"/>
      <c r="H51" s="634"/>
      <c r="I51" s="633"/>
      <c r="J51" s="634"/>
      <c r="K51" s="633"/>
      <c r="L51" s="634"/>
      <c r="M51" s="633"/>
      <c r="N51" s="634"/>
      <c r="O51" s="633"/>
      <c r="P51" s="634"/>
      <c r="Q51" s="633"/>
      <c r="R51" s="634"/>
      <c r="S51" s="633"/>
      <c r="T51" s="634"/>
      <c r="U51" s="633"/>
      <c r="V51" s="634"/>
      <c r="W51" s="634"/>
      <c r="X51" s="633"/>
      <c r="Y51" s="634"/>
      <c r="Z51" s="634"/>
      <c r="AA51" s="633"/>
      <c r="AB51" s="635"/>
      <c r="AC51" s="634"/>
      <c r="AD51" s="633"/>
      <c r="AE51" s="635"/>
      <c r="AF51" s="634"/>
      <c r="AG51" s="633"/>
      <c r="AH51" s="635"/>
      <c r="AI51" s="634"/>
      <c r="AJ51" s="633"/>
      <c r="AK51" s="634"/>
      <c r="AL51" s="636"/>
      <c r="AM51" s="633"/>
      <c r="AN51" s="634"/>
      <c r="AO51" s="636"/>
      <c r="AP51" s="633"/>
      <c r="AQ51" s="634"/>
      <c r="AR51" s="637"/>
      <c r="AS51" s="638"/>
      <c r="AT51" s="639"/>
      <c r="AU51" s="637"/>
      <c r="AV51" s="638"/>
      <c r="AW51" s="639"/>
      <c r="AX51" s="637"/>
    </row>
    <row r="52" spans="1:50">
      <c r="A52" s="132">
        <v>29</v>
      </c>
      <c r="B52" s="134" t="s">
        <v>51</v>
      </c>
      <c r="D52" s="134"/>
      <c r="G52" s="633"/>
      <c r="H52" s="634"/>
      <c r="I52" s="633"/>
      <c r="J52" s="634"/>
      <c r="K52" s="633"/>
      <c r="L52" s="634"/>
      <c r="M52" s="633"/>
      <c r="N52" s="634"/>
      <c r="O52" s="633"/>
      <c r="P52" s="634"/>
      <c r="Q52" s="633"/>
      <c r="R52" s="634"/>
      <c r="S52" s="633"/>
      <c r="T52" s="634"/>
      <c r="U52" s="633"/>
      <c r="V52" s="634"/>
      <c r="W52" s="634"/>
      <c r="X52" s="633"/>
      <c r="Y52" s="634"/>
      <c r="Z52" s="634"/>
      <c r="AA52" s="633"/>
      <c r="AB52" s="635"/>
      <c r="AC52" s="634"/>
      <c r="AD52" s="633"/>
      <c r="AE52" s="635"/>
      <c r="AF52" s="634"/>
      <c r="AG52" s="633"/>
      <c r="AH52" s="635"/>
      <c r="AI52" s="634"/>
      <c r="AJ52" s="633"/>
      <c r="AK52" s="634"/>
      <c r="AL52" s="636"/>
      <c r="AM52" s="633"/>
      <c r="AN52" s="634"/>
      <c r="AO52" s="636"/>
      <c r="AP52" s="633"/>
      <c r="AQ52" s="634"/>
      <c r="AR52" s="637"/>
      <c r="AS52" s="638"/>
      <c r="AT52" s="639"/>
      <c r="AU52" s="637"/>
      <c r="AV52" s="638"/>
      <c r="AW52" s="639"/>
      <c r="AX52" s="637"/>
    </row>
    <row r="53" spans="1:50">
      <c r="A53" s="132">
        <v>30</v>
      </c>
      <c r="B53" s="134" t="s">
        <v>52</v>
      </c>
      <c r="D53" s="134"/>
      <c r="G53" s="640"/>
      <c r="H53" s="641"/>
      <c r="I53" s="640"/>
      <c r="J53" s="641"/>
      <c r="K53" s="640"/>
      <c r="L53" s="641"/>
      <c r="M53" s="640"/>
      <c r="N53" s="641"/>
      <c r="O53" s="640"/>
      <c r="P53" s="641"/>
      <c r="Q53" s="640"/>
      <c r="R53" s="641"/>
      <c r="S53" s="640"/>
      <c r="T53" s="641"/>
      <c r="U53" s="640"/>
      <c r="V53" s="641"/>
      <c r="W53" s="641"/>
      <c r="X53" s="640"/>
      <c r="Y53" s="634"/>
      <c r="Z53" s="641"/>
      <c r="AA53" s="640"/>
      <c r="AB53" s="641"/>
      <c r="AC53" s="641"/>
      <c r="AD53" s="640"/>
      <c r="AE53" s="641"/>
      <c r="AF53" s="641"/>
      <c r="AG53" s="640"/>
      <c r="AH53" s="641"/>
      <c r="AI53" s="641"/>
      <c r="AJ53" s="640"/>
      <c r="AK53" s="641"/>
      <c r="AL53" s="642"/>
      <c r="AM53" s="640"/>
      <c r="AN53" s="641"/>
      <c r="AO53" s="642"/>
      <c r="AP53" s="640"/>
      <c r="AQ53" s="641"/>
      <c r="AR53" s="643"/>
      <c r="AS53" s="644"/>
      <c r="AT53" s="645"/>
      <c r="AU53" s="643"/>
      <c r="AV53" s="644"/>
      <c r="AW53" s="645"/>
      <c r="AX53" s="643"/>
    </row>
    <row r="54" spans="1:50">
      <c r="G54" s="633"/>
      <c r="H54" s="634"/>
      <c r="I54" s="633"/>
      <c r="J54" s="634"/>
      <c r="K54" s="633"/>
      <c r="L54" s="634"/>
      <c r="M54" s="633"/>
      <c r="N54" s="634"/>
      <c r="O54" s="633"/>
      <c r="P54" s="634"/>
      <c r="Q54" s="633"/>
      <c r="R54" s="634"/>
      <c r="S54" s="633"/>
      <c r="T54" s="634"/>
      <c r="U54" s="633"/>
      <c r="V54" s="634"/>
      <c r="W54" s="634"/>
      <c r="X54" s="633"/>
      <c r="Y54" s="646"/>
      <c r="Z54" s="634"/>
      <c r="AA54" s="633"/>
      <c r="AB54" s="635"/>
      <c r="AC54" s="634"/>
      <c r="AD54" s="633"/>
      <c r="AE54" s="635"/>
      <c r="AF54" s="634"/>
      <c r="AG54" s="633"/>
      <c r="AH54" s="635"/>
      <c r="AI54" s="634"/>
      <c r="AJ54" s="633"/>
      <c r="AK54" s="634"/>
      <c r="AL54" s="636"/>
      <c r="AM54" s="633"/>
      <c r="AN54" s="634"/>
      <c r="AO54" s="636"/>
      <c r="AP54" s="633"/>
      <c r="AQ54" s="634"/>
      <c r="AR54" s="637"/>
      <c r="AS54" s="638"/>
      <c r="AT54" s="639"/>
      <c r="AU54" s="637"/>
      <c r="AV54" s="638"/>
      <c r="AW54" s="639"/>
      <c r="AX54" s="637"/>
    </row>
    <row r="55" spans="1:50">
      <c r="A55" s="132">
        <v>31</v>
      </c>
      <c r="B55" s="133" t="s">
        <v>53</v>
      </c>
      <c r="C55" s="133"/>
      <c r="D55" s="133"/>
      <c r="G55" s="633">
        <f>G47-G50-G51-G52-G53</f>
        <v>0</v>
      </c>
      <c r="H55" s="634">
        <f>H47-H50-H51-H52-H53</f>
        <v>0</v>
      </c>
      <c r="I55" s="633">
        <f t="shared" ref="I55:AT55" si="12">I47-I50-I51-I52-I53</f>
        <v>0</v>
      </c>
      <c r="J55" s="634">
        <f t="shared" si="12"/>
        <v>0</v>
      </c>
      <c r="K55" s="633">
        <f t="shared" si="12"/>
        <v>1</v>
      </c>
      <c r="L55" s="634">
        <f t="shared" si="12"/>
        <v>0</v>
      </c>
      <c r="M55" s="633">
        <f t="shared" si="12"/>
        <v>0</v>
      </c>
      <c r="N55" s="634">
        <f t="shared" si="12"/>
        <v>-1</v>
      </c>
      <c r="O55" s="633">
        <f t="shared" si="12"/>
        <v>0</v>
      </c>
      <c r="P55" s="634">
        <f t="shared" si="12"/>
        <v>1</v>
      </c>
      <c r="Q55" s="633">
        <f t="shared" si="12"/>
        <v>0</v>
      </c>
      <c r="R55" s="634">
        <f t="shared" si="12"/>
        <v>-1</v>
      </c>
      <c r="S55" s="633">
        <f t="shared" si="12"/>
        <v>0</v>
      </c>
      <c r="T55" s="634">
        <f t="shared" si="12"/>
        <v>1</v>
      </c>
      <c r="U55" s="633">
        <f t="shared" si="12"/>
        <v>0</v>
      </c>
      <c r="V55" s="634">
        <f t="shared" si="12"/>
        <v>-1</v>
      </c>
      <c r="W55" s="634">
        <f t="shared" si="12"/>
        <v>1</v>
      </c>
      <c r="X55" s="633">
        <f t="shared" si="12"/>
        <v>0</v>
      </c>
      <c r="Y55" s="634">
        <f t="shared" si="12"/>
        <v>0</v>
      </c>
      <c r="Z55" s="634">
        <f t="shared" si="12"/>
        <v>1</v>
      </c>
      <c r="AA55" s="633">
        <f t="shared" si="12"/>
        <v>-1</v>
      </c>
      <c r="AB55" s="635">
        <f t="shared" si="12"/>
        <v>0</v>
      </c>
      <c r="AC55" s="634">
        <f t="shared" si="12"/>
        <v>-1</v>
      </c>
      <c r="AD55" s="633">
        <f t="shared" si="12"/>
        <v>0</v>
      </c>
      <c r="AE55" s="635">
        <f t="shared" si="12"/>
        <v>0</v>
      </c>
      <c r="AF55" s="634">
        <f t="shared" si="12"/>
        <v>-1</v>
      </c>
      <c r="AG55" s="633">
        <f t="shared" si="12"/>
        <v>1</v>
      </c>
      <c r="AH55" s="635">
        <f t="shared" si="12"/>
        <v>0</v>
      </c>
      <c r="AI55" s="634">
        <f t="shared" si="12"/>
        <v>1</v>
      </c>
      <c r="AJ55" s="633">
        <f t="shared" si="12"/>
        <v>0</v>
      </c>
      <c r="AK55" s="634">
        <f t="shared" si="12"/>
        <v>0</v>
      </c>
      <c r="AL55" s="636">
        <f t="shared" si="12"/>
        <v>0</v>
      </c>
      <c r="AM55" s="633">
        <f t="shared" si="12"/>
        <v>0</v>
      </c>
      <c r="AN55" s="634">
        <f t="shared" si="12"/>
        <v>0</v>
      </c>
      <c r="AO55" s="636">
        <f t="shared" si="12"/>
        <v>1</v>
      </c>
      <c r="AP55" s="633">
        <f t="shared" si="12"/>
        <v>0</v>
      </c>
      <c r="AQ55" s="634">
        <f t="shared" si="12"/>
        <v>0</v>
      </c>
      <c r="AR55" s="637">
        <f t="shared" si="12"/>
        <v>0</v>
      </c>
      <c r="AS55" s="638">
        <f t="shared" si="12"/>
        <v>0</v>
      </c>
      <c r="AT55" s="639">
        <f t="shared" si="12"/>
        <v>0</v>
      </c>
      <c r="AU55" s="637">
        <f>AU47-AU50-AU51-AU52-AU53</f>
        <v>1</v>
      </c>
      <c r="AV55" s="638">
        <f>AV47-AV50-AV51-AV52-AV53</f>
        <v>0</v>
      </c>
      <c r="AW55" s="639">
        <f>AW47-AW50-AW51-AW52-AW53</f>
        <v>0</v>
      </c>
      <c r="AX55" s="637">
        <f>AX47-AX50-AX51-AX52-AX53</f>
        <v>0</v>
      </c>
    </row>
    <row r="56" spans="1:50">
      <c r="G56" s="603"/>
      <c r="H56" s="602"/>
      <c r="I56" s="603"/>
      <c r="J56" s="602"/>
      <c r="K56" s="603"/>
      <c r="L56" s="602"/>
      <c r="M56" s="603"/>
      <c r="N56" s="602"/>
      <c r="O56" s="603"/>
      <c r="P56" s="602"/>
      <c r="Q56" s="603"/>
      <c r="R56" s="602"/>
      <c r="S56" s="603"/>
      <c r="T56" s="602"/>
      <c r="U56" s="603"/>
      <c r="V56" s="602"/>
      <c r="W56" s="602"/>
      <c r="X56" s="603"/>
      <c r="Y56" s="602"/>
      <c r="Z56" s="602"/>
      <c r="AA56" s="603"/>
      <c r="AC56" s="602"/>
      <c r="AD56" s="603"/>
      <c r="AF56" s="602"/>
      <c r="AG56" s="603"/>
      <c r="AI56" s="602"/>
      <c r="AJ56" s="603"/>
      <c r="AK56" s="602"/>
      <c r="AL56" s="602"/>
      <c r="AM56" s="603"/>
      <c r="AN56" s="602"/>
      <c r="AO56" s="602"/>
      <c r="AP56" s="603"/>
      <c r="AQ56" s="602"/>
      <c r="AR56" s="567"/>
      <c r="AS56" s="606"/>
      <c r="AT56" s="567"/>
      <c r="AU56" s="567"/>
      <c r="AV56" s="606"/>
      <c r="AW56" s="567"/>
      <c r="AX56" s="567"/>
    </row>
    <row r="57" spans="1:50">
      <c r="B57" s="138" t="s">
        <v>562</v>
      </c>
      <c r="C57" s="138"/>
      <c r="D57" s="138"/>
      <c r="K57" s="602"/>
      <c r="S57" s="602"/>
      <c r="AS57" s="601"/>
      <c r="AT57" s="601"/>
    </row>
    <row r="58" spans="1:50">
      <c r="B58" s="112" t="s">
        <v>563</v>
      </c>
      <c r="C58" s="112" t="s">
        <v>564</v>
      </c>
      <c r="K58" s="602"/>
      <c r="S58" s="602"/>
      <c r="AS58" s="601"/>
      <c r="AT58" s="601"/>
    </row>
    <row r="59" spans="1:50">
      <c r="B59" s="112" t="s">
        <v>565</v>
      </c>
      <c r="D59" s="112" t="s">
        <v>566</v>
      </c>
      <c r="K59" s="602"/>
      <c r="S59" s="602"/>
      <c r="AS59" s="601"/>
      <c r="AT59" s="601"/>
    </row>
    <row r="60" spans="1:50" ht="6" customHeight="1">
      <c r="K60" s="602"/>
      <c r="S60" s="602"/>
      <c r="AS60" s="601"/>
      <c r="AT60" s="601"/>
    </row>
    <row r="61" spans="1:50">
      <c r="D61" s="112" t="s">
        <v>567</v>
      </c>
      <c r="G61" s="655"/>
      <c r="H61" s="655">
        <v>242</v>
      </c>
      <c r="I61" s="655"/>
      <c r="J61" s="655">
        <v>244</v>
      </c>
      <c r="K61" s="655"/>
      <c r="L61" s="655">
        <v>144</v>
      </c>
      <c r="M61" s="655"/>
      <c r="N61" s="655">
        <v>0</v>
      </c>
      <c r="O61" s="655"/>
      <c r="P61" s="655">
        <v>0</v>
      </c>
      <c r="Q61" s="655"/>
      <c r="R61" s="655">
        <f>27855+479</f>
        <v>28334</v>
      </c>
      <c r="S61" s="655"/>
      <c r="T61" s="655">
        <f>36725+0</f>
        <v>36725</v>
      </c>
      <c r="U61" s="655"/>
      <c r="V61" s="655"/>
      <c r="W61" s="655">
        <f>66526+160</f>
        <v>66686</v>
      </c>
      <c r="X61" s="655"/>
      <c r="Y61" s="655"/>
      <c r="Z61" s="655">
        <f>149894+3124</f>
        <v>153018</v>
      </c>
      <c r="AA61" s="655"/>
      <c r="AB61" s="655"/>
      <c r="AC61" s="655">
        <f>78622+5370</f>
        <v>83992</v>
      </c>
      <c r="AD61" s="655"/>
      <c r="AE61" s="655"/>
      <c r="AF61" s="655">
        <f>109009+6184</f>
        <v>115193</v>
      </c>
      <c r="AG61" s="655"/>
      <c r="AH61" s="655"/>
      <c r="AI61" s="655">
        <f>94024+4770</f>
        <v>98794</v>
      </c>
      <c r="AJ61" s="655"/>
      <c r="AK61" s="655"/>
      <c r="AL61" s="655">
        <f>63689+4133</f>
        <v>67822</v>
      </c>
      <c r="AM61" s="655"/>
      <c r="AN61" s="655"/>
      <c r="AO61" s="655">
        <v>0</v>
      </c>
      <c r="AP61" s="655"/>
      <c r="AQ61" s="655"/>
      <c r="AR61" s="656">
        <v>0</v>
      </c>
      <c r="AS61" s="656"/>
      <c r="AT61" s="656"/>
      <c r="AU61" s="656">
        <v>0</v>
      </c>
      <c r="AV61" s="656"/>
      <c r="AW61" s="656"/>
      <c r="AX61" s="656">
        <v>0</v>
      </c>
    </row>
    <row r="62" spans="1:50">
      <c r="G62" s="655"/>
      <c r="H62" s="655"/>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655"/>
      <c r="AN62" s="655"/>
      <c r="AO62" s="655"/>
      <c r="AP62" s="655"/>
      <c r="AQ62" s="655"/>
      <c r="AR62" s="656"/>
      <c r="AS62" s="656"/>
      <c r="AT62" s="656"/>
      <c r="AU62" s="656"/>
      <c r="AV62" s="656"/>
      <c r="AW62" s="656"/>
      <c r="AX62" s="656"/>
    </row>
    <row r="63" spans="1:50">
      <c r="D63" s="112" t="s">
        <v>568</v>
      </c>
      <c r="G63" s="655"/>
      <c r="H63" s="655">
        <f>125+38</f>
        <v>163</v>
      </c>
      <c r="I63" s="655"/>
      <c r="J63" s="655">
        <f>134+98</f>
        <v>232</v>
      </c>
      <c r="K63" s="655"/>
      <c r="L63" s="655">
        <f>131+128+2</f>
        <v>261</v>
      </c>
      <c r="M63" s="655"/>
      <c r="N63" s="655">
        <f>142+141+2</f>
        <v>285</v>
      </c>
      <c r="O63" s="655"/>
      <c r="P63" s="655">
        <f>148+181+48-8</f>
        <v>369</v>
      </c>
      <c r="Q63" s="655"/>
      <c r="R63" s="655">
        <f>643+8</f>
        <v>651</v>
      </c>
      <c r="S63" s="655"/>
      <c r="T63" s="655">
        <v>653</v>
      </c>
      <c r="U63" s="655"/>
      <c r="V63" s="655"/>
      <c r="W63" s="655">
        <v>792</v>
      </c>
      <c r="X63" s="655"/>
      <c r="Y63" s="655"/>
      <c r="Z63" s="655">
        <v>783</v>
      </c>
      <c r="AA63" s="655"/>
      <c r="AB63" s="655"/>
      <c r="AC63" s="655">
        <v>802</v>
      </c>
      <c r="AD63" s="655"/>
      <c r="AE63" s="655"/>
      <c r="AF63" s="655">
        <f>801-1</f>
        <v>800</v>
      </c>
      <c r="AG63" s="655"/>
      <c r="AH63" s="655"/>
      <c r="AI63" s="655">
        <f>903+78</f>
        <v>981</v>
      </c>
      <c r="AJ63" s="655"/>
      <c r="AK63" s="655"/>
      <c r="AL63" s="655">
        <f>857+71</f>
        <v>928</v>
      </c>
      <c r="AM63" s="655"/>
      <c r="AN63" s="655"/>
      <c r="AO63" s="655">
        <v>891</v>
      </c>
      <c r="AP63" s="655"/>
      <c r="AQ63" s="655"/>
      <c r="AR63" s="656">
        <v>779</v>
      </c>
      <c r="AS63" s="656"/>
      <c r="AT63" s="656"/>
      <c r="AU63" s="637">
        <f>'Cost Trends'!U20</f>
        <v>840</v>
      </c>
      <c r="AV63" s="656"/>
      <c r="AW63" s="656"/>
      <c r="AX63" s="637">
        <f>'Cost Trends'!V20</f>
        <v>994</v>
      </c>
    </row>
    <row r="64" spans="1:50">
      <c r="K64" s="602"/>
      <c r="S64" s="655"/>
      <c r="T64" s="655"/>
      <c r="U64" s="655"/>
      <c r="V64" s="655"/>
      <c r="W64" s="655"/>
      <c r="X64" s="655"/>
      <c r="Y64" s="655"/>
      <c r="Z64" s="655"/>
      <c r="AA64" s="655"/>
      <c r="AB64" s="655"/>
      <c r="AC64" s="655"/>
      <c r="AD64" s="655"/>
      <c r="AE64" s="655"/>
      <c r="AF64" s="655"/>
      <c r="AG64" s="655"/>
      <c r="AH64" s="655"/>
      <c r="AI64" s="655"/>
      <c r="AJ64" s="655"/>
      <c r="AK64" s="655"/>
      <c r="AL64" s="655"/>
      <c r="AM64" s="655"/>
      <c r="AN64" s="655"/>
      <c r="AO64" s="655"/>
      <c r="AP64" s="655"/>
      <c r="AQ64" s="655"/>
      <c r="AR64" s="656"/>
      <c r="AS64" s="656"/>
      <c r="AT64" s="656"/>
      <c r="AU64" s="656"/>
      <c r="AV64" s="656"/>
      <c r="AW64" s="656"/>
      <c r="AX64" s="656"/>
    </row>
    <row r="65" spans="4:50">
      <c r="D65" s="112" t="s">
        <v>569</v>
      </c>
      <c r="H65" s="657">
        <f>'Cost Trends'!F22+H21</f>
        <v>163</v>
      </c>
      <c r="J65" s="657">
        <f>'Cost Trends'!G22+J21</f>
        <v>232</v>
      </c>
      <c r="K65" s="602"/>
      <c r="L65" s="657">
        <f>'Cost Trends'!H22+L21</f>
        <v>261</v>
      </c>
      <c r="N65" s="657">
        <f>'Cost Trends'!I22+N21</f>
        <v>285</v>
      </c>
      <c r="P65" s="657">
        <f>'Cost Trends'!J22+P21</f>
        <v>369</v>
      </c>
      <c r="R65" s="657">
        <f>'Cost Trends'!K22+R21</f>
        <v>651</v>
      </c>
      <c r="T65" s="657">
        <f>'Cost Trends'!L22+T21</f>
        <v>653</v>
      </c>
      <c r="W65" s="657">
        <f>'Cost Trends'!M22+W21</f>
        <v>792</v>
      </c>
      <c r="Z65" s="657">
        <f>'Cost Trends'!N22+Z21</f>
        <v>783</v>
      </c>
      <c r="AC65" s="657">
        <f>'Cost Trends'!O22+AC21</f>
        <v>802</v>
      </c>
      <c r="AF65" s="657">
        <f>'Cost Trends'!P22+AF21</f>
        <v>800</v>
      </c>
      <c r="AI65" s="657">
        <f>'Cost Trends'!Q22+AI21</f>
        <v>981</v>
      </c>
      <c r="AL65" s="657">
        <f>'Cost Trends'!R22+AL21</f>
        <v>928</v>
      </c>
      <c r="AO65" s="657">
        <f>'Cost Trends'!S22+AO21</f>
        <v>891</v>
      </c>
      <c r="AR65" s="658">
        <f>'Cost Trends'!T22+AR21</f>
        <v>779</v>
      </c>
      <c r="AS65" s="601"/>
      <c r="AT65" s="601"/>
      <c r="AU65" s="658">
        <f>'Cost Trends'!U22+AU21</f>
        <v>840</v>
      </c>
      <c r="AX65" s="658">
        <f>'Cost Trends'!V22+AX21</f>
        <v>994</v>
      </c>
    </row>
  </sheetData>
  <mergeCells count="5">
    <mergeCell ref="AJ6:AL6"/>
    <mergeCell ref="AM6:AO6"/>
    <mergeCell ref="AP6:AR6"/>
    <mergeCell ref="AS6:AU6"/>
    <mergeCell ref="AV6:AX6"/>
  </mergeCells>
  <pageMargins left="0.32" right="0.4" top="0.3" bottom="0.36" header="0.3" footer="0.27"/>
  <pageSetup scale="67" orientation="landscape" r:id="rId1"/>
  <headerFooter>
    <oddFooter>&amp;C&amp;F / &amp;A&amp;RPage &amp;P</oddFooter>
  </headerFooter>
  <colBreaks count="1" manualBreakCount="1">
    <brk id="23"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6" tint="0.39997558519241921"/>
  </sheetPr>
  <dimension ref="A1:V68"/>
  <sheetViews>
    <sheetView topLeftCell="A31" workbookViewId="0">
      <selection activeCell="C28" sqref="C28"/>
    </sheetView>
  </sheetViews>
  <sheetFormatPr defaultColWidth="9.140625" defaultRowHeight="12.75"/>
  <cols>
    <col min="1" max="1" width="9" style="558" bestFit="1" customWidth="1"/>
    <col min="2" max="2" width="9.140625" style="558"/>
    <col min="3" max="3" width="13.28515625" style="558" customWidth="1"/>
    <col min="4" max="4" width="9.140625" style="558"/>
    <col min="5" max="7" width="11.28515625" style="558" bestFit="1" customWidth="1"/>
    <col min="8" max="9" width="10.85546875" style="558" bestFit="1" customWidth="1"/>
    <col min="10" max="11" width="11.28515625" style="558" bestFit="1" customWidth="1"/>
    <col min="12" max="13" width="10.85546875" style="558" bestFit="1" customWidth="1"/>
    <col min="14" max="16" width="11.28515625" style="558" bestFit="1" customWidth="1"/>
    <col min="17" max="17" width="11.5703125" style="558" bestFit="1" customWidth="1"/>
    <col min="18" max="18" width="11.85546875" style="558" customWidth="1"/>
    <col min="19" max="21" width="9.140625" style="601"/>
    <col min="22" max="16384" width="9.140625" style="558"/>
  </cols>
  <sheetData>
    <row r="1" spans="1:21">
      <c r="A1" s="659" t="s">
        <v>570</v>
      </c>
      <c r="B1" s="659"/>
      <c r="C1" s="659"/>
      <c r="D1" s="659"/>
      <c r="E1" s="659"/>
      <c r="F1" s="659"/>
      <c r="G1" s="659"/>
      <c r="H1" s="659"/>
      <c r="I1" s="659"/>
      <c r="J1" s="659"/>
      <c r="K1" s="659"/>
      <c r="L1" s="659"/>
      <c r="M1" s="659"/>
      <c r="N1" s="659"/>
      <c r="O1" s="659"/>
      <c r="P1" s="659"/>
      <c r="Q1" s="659"/>
    </row>
    <row r="2" spans="1:21">
      <c r="A2" s="659" t="s">
        <v>571</v>
      </c>
      <c r="B2" s="659"/>
      <c r="C2" s="659"/>
      <c r="D2" s="659"/>
      <c r="E2" s="659"/>
      <c r="F2" s="659"/>
      <c r="G2" s="659"/>
      <c r="H2" s="659"/>
      <c r="I2" s="659"/>
      <c r="J2" s="659"/>
      <c r="K2" s="659"/>
      <c r="L2" s="659"/>
      <c r="M2" s="659"/>
      <c r="N2" s="659"/>
      <c r="O2" s="659"/>
      <c r="P2" s="659"/>
      <c r="Q2" s="659"/>
    </row>
    <row r="3" spans="1:21">
      <c r="A3" s="659" t="s">
        <v>572</v>
      </c>
      <c r="B3" s="659"/>
      <c r="C3" s="659"/>
      <c r="D3" s="659"/>
      <c r="E3" s="659"/>
      <c r="F3" s="659"/>
      <c r="G3" s="659"/>
      <c r="H3" s="659"/>
      <c r="I3" s="659"/>
      <c r="J3" s="659"/>
      <c r="K3" s="659"/>
      <c r="L3" s="659"/>
      <c r="M3" s="659"/>
      <c r="N3" s="659"/>
      <c r="O3" s="659"/>
      <c r="P3" s="659"/>
      <c r="Q3" s="659"/>
    </row>
    <row r="4" spans="1:21">
      <c r="A4" s="659" t="s">
        <v>573</v>
      </c>
      <c r="B4" s="659"/>
      <c r="C4" s="659"/>
      <c r="D4" s="659"/>
      <c r="E4" s="659"/>
      <c r="F4" s="659"/>
      <c r="G4" s="659"/>
      <c r="H4" s="659"/>
      <c r="I4" s="659"/>
      <c r="J4" s="659"/>
      <c r="K4" s="659"/>
      <c r="L4" s="659"/>
      <c r="M4" s="659"/>
      <c r="N4" s="659"/>
      <c r="O4" s="659"/>
      <c r="P4" s="659"/>
      <c r="Q4" s="659"/>
    </row>
    <row r="5" spans="1:21">
      <c r="A5" s="659"/>
      <c r="B5" s="659"/>
      <c r="C5" s="659"/>
      <c r="D5" s="659"/>
      <c r="E5" s="659"/>
      <c r="F5" s="659"/>
      <c r="G5" s="659"/>
      <c r="H5" s="659"/>
      <c r="I5" s="659"/>
      <c r="J5" s="659"/>
      <c r="K5" s="659"/>
      <c r="L5" s="659"/>
      <c r="M5" s="659"/>
      <c r="N5" s="659"/>
      <c r="O5" s="659"/>
      <c r="P5" s="659"/>
      <c r="Q5" s="659"/>
      <c r="S5" s="504"/>
      <c r="T5" s="504"/>
      <c r="U5" s="504"/>
    </row>
    <row r="6" spans="1:21">
      <c r="A6" s="659"/>
      <c r="B6" s="659"/>
      <c r="C6" s="659"/>
      <c r="D6" s="659"/>
      <c r="E6" s="660">
        <v>2000</v>
      </c>
      <c r="F6" s="660">
        <v>2001</v>
      </c>
      <c r="G6" s="660">
        <v>2002</v>
      </c>
      <c r="H6" s="660">
        <v>2003</v>
      </c>
      <c r="I6" s="660">
        <v>2004</v>
      </c>
      <c r="J6" s="660">
        <v>2005</v>
      </c>
      <c r="K6" s="660">
        <v>2006</v>
      </c>
      <c r="L6" s="660">
        <v>2007</v>
      </c>
      <c r="M6" s="660">
        <v>2008</v>
      </c>
      <c r="N6" s="660">
        <v>2009</v>
      </c>
      <c r="O6" s="660">
        <v>2010</v>
      </c>
      <c r="P6" s="660">
        <v>2011</v>
      </c>
      <c r="Q6" s="660">
        <v>2012</v>
      </c>
      <c r="R6" s="660">
        <v>2013</v>
      </c>
      <c r="S6" s="661">
        <v>2014</v>
      </c>
      <c r="T6" s="661">
        <v>2015</v>
      </c>
      <c r="U6" s="662" t="s">
        <v>466</v>
      </c>
    </row>
    <row r="9" spans="1:21">
      <c r="A9" s="558" t="s">
        <v>574</v>
      </c>
    </row>
    <row r="10" spans="1:21">
      <c r="A10" s="132">
        <v>21</v>
      </c>
      <c r="B10" s="134" t="s">
        <v>168</v>
      </c>
      <c r="C10" s="134"/>
      <c r="D10" s="134"/>
      <c r="E10" s="512">
        <v>1027</v>
      </c>
      <c r="F10" s="512">
        <v>1187</v>
      </c>
      <c r="G10" s="512">
        <v>1460</v>
      </c>
      <c r="H10" s="512">
        <v>1522</v>
      </c>
      <c r="I10" s="512">
        <v>1349</v>
      </c>
      <c r="J10" s="512">
        <v>1343</v>
      </c>
      <c r="K10" s="512">
        <v>1282</v>
      </c>
      <c r="L10" s="512">
        <v>683</v>
      </c>
      <c r="M10" s="512">
        <v>1561</v>
      </c>
      <c r="N10" s="512">
        <v>2439</v>
      </c>
      <c r="O10" s="512">
        <v>2628</v>
      </c>
      <c r="P10" s="512">
        <v>2734</v>
      </c>
      <c r="Q10" s="512">
        <v>3276</v>
      </c>
      <c r="R10" s="513">
        <v>3868</v>
      </c>
      <c r="S10" s="513">
        <v>4389</v>
      </c>
      <c r="T10" s="513">
        <v>5649</v>
      </c>
      <c r="U10" s="513">
        <v>6260</v>
      </c>
    </row>
    <row r="11" spans="1:21">
      <c r="A11" s="132">
        <v>22</v>
      </c>
      <c r="B11" s="517" t="s">
        <v>379</v>
      </c>
      <c r="C11" s="517"/>
      <c r="D11" s="134"/>
      <c r="E11" s="512"/>
      <c r="F11" s="512"/>
      <c r="G11" s="512"/>
      <c r="H11" s="512"/>
      <c r="I11" s="512"/>
      <c r="J11" s="512"/>
      <c r="K11" s="512"/>
      <c r="L11" s="512"/>
      <c r="M11" s="512"/>
      <c r="N11" s="512"/>
      <c r="O11" s="512"/>
      <c r="P11" s="512">
        <v>-186</v>
      </c>
      <c r="Q11" s="512">
        <v>171</v>
      </c>
      <c r="R11" s="513">
        <v>91</v>
      </c>
      <c r="S11" s="513">
        <v>-91</v>
      </c>
      <c r="T11" s="513">
        <v>-2087</v>
      </c>
      <c r="U11" s="513">
        <v>1079</v>
      </c>
    </row>
    <row r="12" spans="1:21">
      <c r="A12" s="575"/>
    </row>
    <row r="13" spans="1:21">
      <c r="A13" s="575"/>
      <c r="B13" s="575"/>
      <c r="E13" s="663"/>
      <c r="F13" s="663"/>
      <c r="G13" s="663"/>
      <c r="H13" s="663"/>
      <c r="I13" s="663"/>
      <c r="J13" s="663"/>
      <c r="K13" s="663"/>
      <c r="L13" s="663"/>
      <c r="M13" s="663"/>
      <c r="N13" s="663"/>
      <c r="O13" s="663"/>
      <c r="P13" s="663"/>
      <c r="Q13" s="663"/>
    </row>
    <row r="14" spans="1:21">
      <c r="A14" s="575" t="s">
        <v>575</v>
      </c>
      <c r="B14" s="575"/>
      <c r="E14" s="663">
        <v>565</v>
      </c>
      <c r="F14" s="663">
        <v>632</v>
      </c>
      <c r="G14" s="663">
        <v>811</v>
      </c>
      <c r="H14" s="663">
        <v>907</v>
      </c>
      <c r="I14" s="663">
        <f>291+478</f>
        <v>769</v>
      </c>
      <c r="J14" s="663">
        <f>827-54</f>
        <v>773</v>
      </c>
      <c r="K14" s="663">
        <v>903</v>
      </c>
      <c r="L14" s="663">
        <v>1014</v>
      </c>
      <c r="M14" s="663">
        <v>1151</v>
      </c>
      <c r="N14" s="663">
        <v>1220</v>
      </c>
      <c r="O14" s="663">
        <v>1478</v>
      </c>
      <c r="P14" s="663">
        <v>1642</v>
      </c>
      <c r="Q14" s="663">
        <v>1954</v>
      </c>
      <c r="R14" s="655">
        <f>2332+61</f>
        <v>2393</v>
      </c>
      <c r="S14" s="664">
        <f>2496+90</f>
        <v>2586</v>
      </c>
      <c r="T14" s="664">
        <f>2876+111</f>
        <v>2987</v>
      </c>
      <c r="U14" s="664">
        <f>3159+110</f>
        <v>3269</v>
      </c>
    </row>
    <row r="15" spans="1:21">
      <c r="A15" s="575" t="s">
        <v>576</v>
      </c>
      <c r="E15" s="655">
        <f>358+3</f>
        <v>361</v>
      </c>
      <c r="F15" s="655">
        <f>269+3</f>
        <v>272</v>
      </c>
      <c r="G15" s="655">
        <f>355+2</f>
        <v>357</v>
      </c>
      <c r="H15" s="655">
        <f>351+3</f>
        <v>354</v>
      </c>
      <c r="I15" s="655">
        <f>236+6</f>
        <v>242</v>
      </c>
      <c r="J15" s="655">
        <f>419+4</f>
        <v>423</v>
      </c>
      <c r="K15" s="655">
        <f>373+5+1</f>
        <v>379</v>
      </c>
      <c r="L15" s="655">
        <f>478+5</f>
        <v>483</v>
      </c>
      <c r="M15" s="655">
        <f>646+5</f>
        <v>651</v>
      </c>
      <c r="N15" s="655">
        <f>773+5</f>
        <v>778</v>
      </c>
      <c r="O15" s="655">
        <f>16+778+139</f>
        <v>933</v>
      </c>
      <c r="P15" s="655">
        <f>24+1066</f>
        <v>1090</v>
      </c>
      <c r="Q15" s="655">
        <f>1292+26</f>
        <v>1318</v>
      </c>
      <c r="R15" s="655">
        <v>1471</v>
      </c>
      <c r="S15" s="656">
        <v>1799</v>
      </c>
      <c r="T15" s="656">
        <v>2658</v>
      </c>
      <c r="U15" s="656">
        <v>2988</v>
      </c>
    </row>
    <row r="16" spans="1:21">
      <c r="A16" s="575" t="s">
        <v>577</v>
      </c>
      <c r="E16" s="655">
        <v>101</v>
      </c>
      <c r="F16" s="655">
        <v>116</v>
      </c>
      <c r="G16" s="655">
        <v>107</v>
      </c>
      <c r="H16" s="655">
        <v>102</v>
      </c>
      <c r="I16" s="655">
        <f>146+23</f>
        <v>169</v>
      </c>
      <c r="J16" s="655">
        <f>139+8</f>
        <v>147</v>
      </c>
      <c r="K16" s="655"/>
      <c r="L16" s="655">
        <v>1</v>
      </c>
      <c r="M16" s="655">
        <v>1</v>
      </c>
      <c r="N16" s="655">
        <v>1</v>
      </c>
      <c r="O16" s="655">
        <v>1</v>
      </c>
      <c r="P16" s="655">
        <v>2</v>
      </c>
      <c r="Q16" s="655">
        <v>4</v>
      </c>
      <c r="R16" s="655">
        <v>4</v>
      </c>
      <c r="S16" s="656">
        <v>4</v>
      </c>
      <c r="T16" s="656">
        <v>4</v>
      </c>
      <c r="U16" s="656">
        <v>3</v>
      </c>
    </row>
    <row r="17" spans="1:22">
      <c r="A17" s="575" t="s">
        <v>578</v>
      </c>
      <c r="E17" s="665">
        <f>SUM(E14:E16)</f>
        <v>1027</v>
      </c>
      <c r="F17" s="665">
        <f t="shared" ref="F17:Q17" si="0">SUM(F14:F16)</f>
        <v>1020</v>
      </c>
      <c r="G17" s="665">
        <f t="shared" si="0"/>
        <v>1275</v>
      </c>
      <c r="H17" s="665">
        <f t="shared" si="0"/>
        <v>1363</v>
      </c>
      <c r="I17" s="665">
        <f t="shared" si="0"/>
        <v>1180</v>
      </c>
      <c r="J17" s="665">
        <f t="shared" si="0"/>
        <v>1343</v>
      </c>
      <c r="K17" s="665">
        <f t="shared" si="0"/>
        <v>1282</v>
      </c>
      <c r="L17" s="665">
        <f t="shared" si="0"/>
        <v>1498</v>
      </c>
      <c r="M17" s="665">
        <f t="shared" si="0"/>
        <v>1803</v>
      </c>
      <c r="N17" s="665">
        <f t="shared" si="0"/>
        <v>1999</v>
      </c>
      <c r="O17" s="665">
        <f t="shared" si="0"/>
        <v>2412</v>
      </c>
      <c r="P17" s="665">
        <f t="shared" si="0"/>
        <v>2734</v>
      </c>
      <c r="Q17" s="665">
        <f t="shared" si="0"/>
        <v>3276</v>
      </c>
      <c r="R17" s="665">
        <f>SUM(R14:R16)</f>
        <v>3868</v>
      </c>
      <c r="S17" s="666">
        <f>SUM(S14:S16)</f>
        <v>4389</v>
      </c>
      <c r="T17" s="666">
        <f>SUM(T14:T16)</f>
        <v>5649</v>
      </c>
      <c r="U17" s="666">
        <f>SUM(U14:U16)</f>
        <v>6260</v>
      </c>
    </row>
    <row r="18" spans="1:22">
      <c r="A18" s="575"/>
      <c r="E18" s="667"/>
      <c r="F18" s="655"/>
      <c r="G18" s="655"/>
      <c r="H18" s="655"/>
      <c r="I18" s="655"/>
      <c r="J18" s="655"/>
      <c r="K18" s="655"/>
      <c r="L18" s="655"/>
      <c r="M18" s="655"/>
      <c r="N18" s="655"/>
      <c r="O18" s="655"/>
      <c r="P18" s="655"/>
      <c r="Q18" s="655"/>
      <c r="R18" s="655"/>
      <c r="S18" s="656"/>
      <c r="T18" s="656"/>
      <c r="U18" s="656"/>
    </row>
    <row r="19" spans="1:22">
      <c r="A19" s="575" t="s">
        <v>579</v>
      </c>
      <c r="B19" s="575"/>
      <c r="E19" s="668"/>
      <c r="F19" s="668">
        <v>167</v>
      </c>
      <c r="G19" s="668">
        <v>185</v>
      </c>
      <c r="H19" s="668">
        <v>159</v>
      </c>
      <c r="I19" s="668">
        <v>169</v>
      </c>
      <c r="J19" s="668">
        <v>0</v>
      </c>
      <c r="K19" s="668"/>
      <c r="L19" s="668"/>
      <c r="M19" s="668"/>
      <c r="N19" s="668"/>
      <c r="O19" s="668"/>
      <c r="P19" s="668"/>
      <c r="Q19" s="668"/>
      <c r="R19" s="668"/>
      <c r="S19" s="669"/>
      <c r="T19" s="669"/>
      <c r="U19" s="669"/>
    </row>
    <row r="20" spans="1:22">
      <c r="A20" s="575" t="s">
        <v>580</v>
      </c>
      <c r="B20" s="575"/>
      <c r="E20" s="668"/>
      <c r="F20" s="668"/>
      <c r="G20" s="668"/>
      <c r="H20" s="668"/>
      <c r="I20" s="668"/>
      <c r="J20" s="668"/>
      <c r="K20" s="668"/>
      <c r="L20" s="668"/>
      <c r="M20" s="668"/>
      <c r="N20" s="668"/>
      <c r="O20" s="668"/>
      <c r="P20" s="668">
        <v>-449</v>
      </c>
      <c r="Q20" s="668"/>
      <c r="R20" s="668"/>
      <c r="S20" s="669"/>
      <c r="T20" s="669"/>
      <c r="U20" s="669"/>
    </row>
    <row r="21" spans="1:22">
      <c r="A21" s="575" t="s">
        <v>581</v>
      </c>
      <c r="E21" s="655"/>
      <c r="F21" s="655"/>
      <c r="G21" s="655"/>
      <c r="H21" s="655"/>
      <c r="I21" s="655"/>
      <c r="J21" s="655"/>
      <c r="K21" s="655"/>
      <c r="L21" s="655">
        <v>-900</v>
      </c>
      <c r="M21" s="655">
        <v>-674</v>
      </c>
      <c r="N21" s="655">
        <v>-270</v>
      </c>
      <c r="O21" s="655">
        <v>-278</v>
      </c>
      <c r="P21" s="655">
        <v>-231</v>
      </c>
      <c r="Q21" s="655">
        <v>-13</v>
      </c>
      <c r="R21" s="656">
        <v>91</v>
      </c>
      <c r="S21" s="656">
        <v>-91</v>
      </c>
      <c r="T21" s="656">
        <v>0</v>
      </c>
      <c r="U21" s="656">
        <v>0</v>
      </c>
    </row>
    <row r="22" spans="1:22">
      <c r="A22" s="575" t="s">
        <v>582</v>
      </c>
      <c r="D22" s="575" t="s">
        <v>583</v>
      </c>
      <c r="L22" s="558">
        <v>85</v>
      </c>
      <c r="M22" s="558">
        <v>432</v>
      </c>
      <c r="N22" s="558">
        <v>710</v>
      </c>
      <c r="O22" s="558">
        <v>494</v>
      </c>
      <c r="P22" s="558">
        <v>494</v>
      </c>
      <c r="Q22" s="558">
        <v>184</v>
      </c>
      <c r="R22" s="601">
        <v>0</v>
      </c>
      <c r="S22" s="601">
        <v>0</v>
      </c>
      <c r="T22" s="601">
        <v>0</v>
      </c>
      <c r="U22" s="601">
        <v>0</v>
      </c>
    </row>
    <row r="23" spans="1:22">
      <c r="A23" s="670" t="s">
        <v>584</v>
      </c>
      <c r="B23" s="671"/>
      <c r="C23" s="671"/>
      <c r="T23" s="656">
        <v>-2087</v>
      </c>
      <c r="U23" s="656">
        <v>1079</v>
      </c>
      <c r="V23" s="558" t="s">
        <v>585</v>
      </c>
    </row>
    <row r="25" spans="1:22">
      <c r="A25" s="575" t="s">
        <v>586</v>
      </c>
      <c r="E25" s="672">
        <f t="shared" ref="E25:P25" si="1">SUM(E19:E24)</f>
        <v>0</v>
      </c>
      <c r="F25" s="672">
        <f t="shared" si="1"/>
        <v>167</v>
      </c>
      <c r="G25" s="672">
        <f t="shared" si="1"/>
        <v>185</v>
      </c>
      <c r="H25" s="672">
        <f t="shared" si="1"/>
        <v>159</v>
      </c>
      <c r="I25" s="672">
        <f t="shared" si="1"/>
        <v>169</v>
      </c>
      <c r="J25" s="672">
        <f t="shared" si="1"/>
        <v>0</v>
      </c>
      <c r="K25" s="672">
        <f t="shared" si="1"/>
        <v>0</v>
      </c>
      <c r="L25" s="672">
        <f t="shared" si="1"/>
        <v>-815</v>
      </c>
      <c r="M25" s="672">
        <f t="shared" si="1"/>
        <v>-242</v>
      </c>
      <c r="N25" s="672">
        <f t="shared" si="1"/>
        <v>440</v>
      </c>
      <c r="O25" s="672">
        <f t="shared" si="1"/>
        <v>216</v>
      </c>
      <c r="P25" s="672">
        <f t="shared" si="1"/>
        <v>-186</v>
      </c>
      <c r="Q25" s="672">
        <f>SUM(Q19:Q24)</f>
        <v>171</v>
      </c>
      <c r="R25" s="672">
        <f>SUM(R19:R24)</f>
        <v>91</v>
      </c>
      <c r="S25" s="673">
        <f>SUM(S19:S24)</f>
        <v>-91</v>
      </c>
      <c r="T25" s="673">
        <f>SUM(T19:T24)</f>
        <v>-2087</v>
      </c>
      <c r="U25" s="673">
        <f>SUM(U19:U24)</f>
        <v>1079</v>
      </c>
    </row>
    <row r="27" spans="1:22">
      <c r="B27" s="575" t="s">
        <v>587</v>
      </c>
      <c r="E27" s="663">
        <f>E17+E25</f>
        <v>1027</v>
      </c>
      <c r="F27" s="663">
        <f t="shared" ref="F27:Q27" si="2">F17+F25</f>
        <v>1187</v>
      </c>
      <c r="G27" s="663">
        <f t="shared" si="2"/>
        <v>1460</v>
      </c>
      <c r="H27" s="663">
        <f t="shared" si="2"/>
        <v>1522</v>
      </c>
      <c r="I27" s="663">
        <f t="shared" si="2"/>
        <v>1349</v>
      </c>
      <c r="J27" s="663">
        <f t="shared" si="2"/>
        <v>1343</v>
      </c>
      <c r="K27" s="663">
        <f t="shared" si="2"/>
        <v>1282</v>
      </c>
      <c r="L27" s="663">
        <f t="shared" si="2"/>
        <v>683</v>
      </c>
      <c r="M27" s="663">
        <f t="shared" si="2"/>
        <v>1561</v>
      </c>
      <c r="N27" s="663">
        <f t="shared" si="2"/>
        <v>2439</v>
      </c>
      <c r="O27" s="663">
        <f t="shared" si="2"/>
        <v>2628</v>
      </c>
      <c r="P27" s="663">
        <f t="shared" si="2"/>
        <v>2548</v>
      </c>
      <c r="Q27" s="663">
        <f t="shared" si="2"/>
        <v>3447</v>
      </c>
      <c r="R27" s="663">
        <f>R17+R25</f>
        <v>3959</v>
      </c>
      <c r="S27" s="664">
        <f>S17+S25</f>
        <v>4298</v>
      </c>
      <c r="T27" s="664">
        <f>T17+T25</f>
        <v>3562</v>
      </c>
      <c r="U27" s="664">
        <f>U17+U25</f>
        <v>7339</v>
      </c>
    </row>
    <row r="28" spans="1:22">
      <c r="E28" s="558" t="str">
        <f t="shared" ref="E28:Q28" si="3">IF(E27=E10+E11,"","check")</f>
        <v/>
      </c>
      <c r="F28" s="558" t="str">
        <f t="shared" si="3"/>
        <v/>
      </c>
      <c r="G28" s="558" t="str">
        <f t="shared" si="3"/>
        <v/>
      </c>
      <c r="H28" s="558" t="str">
        <f t="shared" si="3"/>
        <v/>
      </c>
      <c r="I28" s="558" t="str">
        <f t="shared" si="3"/>
        <v/>
      </c>
      <c r="J28" s="558" t="str">
        <f t="shared" si="3"/>
        <v/>
      </c>
      <c r="K28" s="558" t="str">
        <f t="shared" si="3"/>
        <v/>
      </c>
      <c r="L28" s="558" t="str">
        <f t="shared" si="3"/>
        <v/>
      </c>
      <c r="M28" s="558" t="str">
        <f t="shared" si="3"/>
        <v/>
      </c>
      <c r="N28" s="558" t="str">
        <f t="shared" si="3"/>
        <v/>
      </c>
      <c r="O28" s="558" t="str">
        <f t="shared" si="3"/>
        <v/>
      </c>
      <c r="P28" s="558" t="str">
        <f t="shared" si="3"/>
        <v/>
      </c>
      <c r="Q28" s="558" t="str">
        <f t="shared" si="3"/>
        <v/>
      </c>
      <c r="R28" s="558" t="str">
        <f>IF(R27=R10+R11,"","check")</f>
        <v/>
      </c>
      <c r="S28" s="601" t="str">
        <f>IF(S27=S10+S11,"","check")</f>
        <v/>
      </c>
      <c r="T28" s="601" t="str">
        <f>IF(T27=T10+T11,"","check")</f>
        <v/>
      </c>
      <c r="U28" s="601" t="str">
        <f>IF(U27=U10+U11,"","check")</f>
        <v/>
      </c>
    </row>
    <row r="29" spans="1:22">
      <c r="B29" s="558" t="s">
        <v>588</v>
      </c>
    </row>
    <row r="30" spans="1:22">
      <c r="E30" s="663">
        <f>E25-E22</f>
        <v>0</v>
      </c>
      <c r="F30" s="663">
        <f t="shared" ref="F30:Q30" si="4">F25-F22</f>
        <v>167</v>
      </c>
      <c r="G30" s="663">
        <f t="shared" si="4"/>
        <v>185</v>
      </c>
      <c r="H30" s="663">
        <f t="shared" si="4"/>
        <v>159</v>
      </c>
      <c r="I30" s="663">
        <f t="shared" si="4"/>
        <v>169</v>
      </c>
      <c r="J30" s="663">
        <f t="shared" si="4"/>
        <v>0</v>
      </c>
      <c r="K30" s="663">
        <f t="shared" si="4"/>
        <v>0</v>
      </c>
      <c r="L30" s="663">
        <f t="shared" si="4"/>
        <v>-900</v>
      </c>
      <c r="M30" s="663">
        <f t="shared" si="4"/>
        <v>-674</v>
      </c>
      <c r="N30" s="663">
        <f t="shared" si="4"/>
        <v>-270</v>
      </c>
      <c r="O30" s="663">
        <f t="shared" si="4"/>
        <v>-278</v>
      </c>
      <c r="P30" s="663">
        <f t="shared" si="4"/>
        <v>-680</v>
      </c>
      <c r="Q30" s="663">
        <f t="shared" si="4"/>
        <v>-13</v>
      </c>
      <c r="R30" s="663">
        <f>R25-R22</f>
        <v>91</v>
      </c>
      <c r="S30" s="664">
        <f>S25-S22</f>
        <v>-91</v>
      </c>
      <c r="T30" s="664">
        <f>T25-T22</f>
        <v>-2087</v>
      </c>
      <c r="U30" s="664">
        <f>U25-U22</f>
        <v>1079</v>
      </c>
    </row>
    <row r="31" spans="1:22">
      <c r="E31" s="663"/>
      <c r="F31" s="663"/>
      <c r="G31" s="663"/>
      <c r="H31" s="663"/>
      <c r="I31" s="663"/>
      <c r="J31" s="663"/>
      <c r="K31" s="663"/>
      <c r="L31" s="663"/>
      <c r="M31" s="663"/>
      <c r="N31" s="663"/>
      <c r="O31" s="663"/>
      <c r="P31" s="663"/>
      <c r="Q31" s="663"/>
      <c r="R31" s="663"/>
      <c r="S31" s="664"/>
      <c r="T31" s="664"/>
      <c r="U31" s="664"/>
    </row>
    <row r="32" spans="1:22">
      <c r="E32" s="660">
        <v>2000</v>
      </c>
      <c r="F32" s="660">
        <v>2001</v>
      </c>
      <c r="G32" s="660">
        <v>2002</v>
      </c>
      <c r="H32" s="660">
        <v>2003</v>
      </c>
      <c r="I32" s="660">
        <v>2004</v>
      </c>
      <c r="J32" s="660">
        <v>2005</v>
      </c>
      <c r="K32" s="660">
        <v>2006</v>
      </c>
      <c r="L32" s="660">
        <v>2007</v>
      </c>
      <c r="M32" s="660">
        <v>2008</v>
      </c>
      <c r="N32" s="660">
        <v>2009</v>
      </c>
      <c r="O32" s="660">
        <v>2010</v>
      </c>
      <c r="P32" s="660">
        <v>2011</v>
      </c>
      <c r="Q32" s="660">
        <v>2012</v>
      </c>
      <c r="R32" s="660">
        <v>2013</v>
      </c>
      <c r="S32" s="661">
        <v>2013</v>
      </c>
      <c r="T32" s="661">
        <f>T6</f>
        <v>2015</v>
      </c>
      <c r="U32" s="661" t="str">
        <f>U6</f>
        <v>2016</v>
      </c>
    </row>
    <row r="33" spans="1:21">
      <c r="A33" s="132"/>
      <c r="B33" s="112" t="s">
        <v>95</v>
      </c>
      <c r="C33" s="112"/>
      <c r="D33" s="112"/>
      <c r="E33" s="512"/>
      <c r="F33" s="512"/>
      <c r="G33" s="512"/>
      <c r="H33" s="512"/>
      <c r="I33" s="512"/>
      <c r="J33" s="512"/>
      <c r="K33" s="512"/>
      <c r="L33" s="512"/>
      <c r="M33" s="512"/>
      <c r="N33" s="512"/>
      <c r="O33" s="512"/>
      <c r="P33" s="512"/>
      <c r="Q33" s="512"/>
      <c r="R33" s="512"/>
      <c r="S33" s="513"/>
      <c r="T33" s="513"/>
      <c r="U33" s="513"/>
    </row>
    <row r="34" spans="1:21">
      <c r="A34" s="132"/>
      <c r="B34" s="112" t="s">
        <v>96</v>
      </c>
      <c r="C34" s="112"/>
      <c r="D34" s="112"/>
      <c r="E34" s="512"/>
      <c r="F34" s="512"/>
      <c r="G34" s="512"/>
      <c r="H34" s="512"/>
      <c r="I34" s="512"/>
      <c r="J34" s="512"/>
      <c r="K34" s="512"/>
      <c r="L34" s="512"/>
      <c r="M34" s="512"/>
      <c r="N34" s="512"/>
      <c r="O34" s="512"/>
      <c r="P34" s="512"/>
      <c r="Q34" s="512"/>
      <c r="R34" s="512"/>
      <c r="S34" s="513"/>
      <c r="T34" s="513"/>
      <c r="U34" s="513"/>
    </row>
    <row r="35" spans="1:21">
      <c r="A35" s="132">
        <v>32</v>
      </c>
      <c r="B35" s="134"/>
      <c r="C35" s="134" t="s">
        <v>36</v>
      </c>
      <c r="D35" s="134"/>
      <c r="E35" s="510">
        <v>13695</v>
      </c>
      <c r="F35" s="510">
        <v>13533</v>
      </c>
      <c r="G35" s="510">
        <v>13439</v>
      </c>
      <c r="H35" s="510">
        <v>13712</v>
      </c>
      <c r="I35" s="510">
        <v>13632</v>
      </c>
      <c r="J35" s="510">
        <v>13708</v>
      </c>
      <c r="K35" s="510">
        <v>13854</v>
      </c>
      <c r="L35" s="510">
        <v>13758</v>
      </c>
      <c r="M35" s="510">
        <v>15260</v>
      </c>
      <c r="N35" s="510">
        <v>21798</v>
      </c>
      <c r="O35" s="510">
        <v>20047</v>
      </c>
      <c r="P35" s="510">
        <v>22008</v>
      </c>
      <c r="Q35" s="510">
        <v>24365</v>
      </c>
      <c r="R35" s="511">
        <v>24711</v>
      </c>
      <c r="S35" s="511">
        <v>25235</v>
      </c>
      <c r="T35" s="511">
        <v>25720</v>
      </c>
      <c r="U35" s="511">
        <v>26868</v>
      </c>
    </row>
    <row r="36" spans="1:21">
      <c r="A36" s="132">
        <v>33</v>
      </c>
      <c r="B36" s="134"/>
      <c r="C36" s="134" t="s">
        <v>54</v>
      </c>
      <c r="D36" s="134"/>
      <c r="E36" s="512">
        <v>172997</v>
      </c>
      <c r="F36" s="512">
        <v>182083</v>
      </c>
      <c r="G36" s="512">
        <v>188021</v>
      </c>
      <c r="H36" s="512">
        <v>194231</v>
      </c>
      <c r="I36" s="512">
        <v>201198</v>
      </c>
      <c r="J36" s="512">
        <v>209825</v>
      </c>
      <c r="K36" s="512">
        <v>220332</v>
      </c>
      <c r="L36" s="512">
        <v>230137</v>
      </c>
      <c r="M36" s="512">
        <v>241177</v>
      </c>
      <c r="N36" s="512">
        <v>254579</v>
      </c>
      <c r="O36" s="512">
        <v>268306</v>
      </c>
      <c r="P36" s="512">
        <v>281279</v>
      </c>
      <c r="Q36" s="512">
        <v>296152</v>
      </c>
      <c r="R36" s="512">
        <v>313469</v>
      </c>
      <c r="S36" s="513">
        <v>337894</v>
      </c>
      <c r="T36" s="513">
        <v>360612</v>
      </c>
      <c r="U36" s="513">
        <v>390508</v>
      </c>
    </row>
    <row r="37" spans="1:21">
      <c r="A37" s="132">
        <v>34</v>
      </c>
      <c r="B37" s="134"/>
      <c r="C37" s="134" t="s">
        <v>55</v>
      </c>
      <c r="D37" s="134"/>
      <c r="E37" s="514">
        <v>14347</v>
      </c>
      <c r="F37" s="514">
        <v>15060</v>
      </c>
      <c r="G37" s="514">
        <v>15368</v>
      </c>
      <c r="H37" s="514">
        <v>16112</v>
      </c>
      <c r="I37" s="514">
        <v>16499</v>
      </c>
      <c r="J37" s="514">
        <v>17878</v>
      </c>
      <c r="K37" s="514">
        <v>20791</v>
      </c>
      <c r="L37" s="514">
        <v>21708</v>
      </c>
      <c r="M37" s="514">
        <v>24256</v>
      </c>
      <c r="N37" s="514">
        <v>27747</v>
      </c>
      <c r="O37" s="514">
        <v>33401</v>
      </c>
      <c r="P37" s="514">
        <v>38971</v>
      </c>
      <c r="Q37" s="514">
        <v>44809</v>
      </c>
      <c r="R37" s="514">
        <v>52223</v>
      </c>
      <c r="S37" s="515">
        <v>59169</v>
      </c>
      <c r="T37" s="515">
        <v>75514</v>
      </c>
      <c r="U37" s="515">
        <f>25720+56904</f>
        <v>82624</v>
      </c>
    </row>
    <row r="38" spans="1:21">
      <c r="A38" s="132">
        <v>35</v>
      </c>
      <c r="B38" s="134" t="s">
        <v>56</v>
      </c>
      <c r="C38" s="134"/>
      <c r="D38" s="112"/>
      <c r="E38" s="512">
        <f>SUM(E35:E37)</f>
        <v>201039</v>
      </c>
      <c r="F38" s="512">
        <f t="shared" ref="F38:U38" si="5">SUM(F35:F37)</f>
        <v>210676</v>
      </c>
      <c r="G38" s="512">
        <f t="shared" si="5"/>
        <v>216828</v>
      </c>
      <c r="H38" s="512">
        <f t="shared" si="5"/>
        <v>224055</v>
      </c>
      <c r="I38" s="512">
        <f t="shared" si="5"/>
        <v>231329</v>
      </c>
      <c r="J38" s="512">
        <f t="shared" si="5"/>
        <v>241411</v>
      </c>
      <c r="K38" s="512">
        <f t="shared" si="5"/>
        <v>254977</v>
      </c>
      <c r="L38" s="512">
        <f t="shared" si="5"/>
        <v>265603</v>
      </c>
      <c r="M38" s="512">
        <f t="shared" si="5"/>
        <v>280693</v>
      </c>
      <c r="N38" s="512">
        <f t="shared" si="5"/>
        <v>304124</v>
      </c>
      <c r="O38" s="512">
        <f t="shared" si="5"/>
        <v>321754</v>
      </c>
      <c r="P38" s="512">
        <f t="shared" si="5"/>
        <v>342258</v>
      </c>
      <c r="Q38" s="512">
        <f t="shared" si="5"/>
        <v>365326</v>
      </c>
      <c r="R38" s="512">
        <f t="shared" si="5"/>
        <v>390403</v>
      </c>
      <c r="S38" s="513">
        <f t="shared" si="5"/>
        <v>422298</v>
      </c>
      <c r="T38" s="513">
        <f t="shared" si="5"/>
        <v>461846</v>
      </c>
      <c r="U38" s="513">
        <f t="shared" si="5"/>
        <v>500000</v>
      </c>
    </row>
    <row r="39" spans="1:21">
      <c r="A39" s="132"/>
      <c r="B39" s="134"/>
      <c r="C39" s="134"/>
      <c r="D39" s="112"/>
      <c r="E39" s="512"/>
      <c r="F39" s="512"/>
      <c r="G39" s="512"/>
      <c r="H39" s="512"/>
      <c r="I39" s="512"/>
      <c r="J39" s="512"/>
      <c r="K39" s="512"/>
      <c r="L39" s="512"/>
      <c r="M39" s="512"/>
      <c r="N39" s="512"/>
      <c r="O39" s="512"/>
      <c r="P39" s="512"/>
      <c r="Q39" s="512"/>
      <c r="R39" s="512"/>
      <c r="S39" s="513"/>
      <c r="T39" s="513"/>
      <c r="U39" s="513"/>
    </row>
    <row r="40" spans="1:21">
      <c r="A40" s="132"/>
      <c r="B40" s="134" t="s">
        <v>170</v>
      </c>
      <c r="C40" s="134"/>
      <c r="D40" s="134"/>
      <c r="E40" s="512"/>
      <c r="F40" s="512"/>
      <c r="G40" s="512"/>
      <c r="H40" s="512"/>
      <c r="I40" s="512"/>
      <c r="J40" s="512"/>
      <c r="K40" s="512"/>
      <c r="L40" s="512"/>
      <c r="M40" s="512"/>
      <c r="N40" s="512"/>
      <c r="O40" s="512"/>
      <c r="P40" s="512"/>
      <c r="Q40" s="512"/>
      <c r="R40" s="512"/>
      <c r="S40" s="513"/>
      <c r="T40" s="513"/>
      <c r="U40" s="513"/>
    </row>
    <row r="41" spans="1:21">
      <c r="A41" s="132">
        <v>36</v>
      </c>
      <c r="B41" s="134"/>
      <c r="C41" s="134" t="s">
        <v>36</v>
      </c>
      <c r="D41" s="134"/>
      <c r="E41" s="512">
        <v>6192</v>
      </c>
      <c r="F41" s="512">
        <v>6220</v>
      </c>
      <c r="G41" s="512">
        <v>6115</v>
      </c>
      <c r="H41" s="512">
        <v>6495</v>
      </c>
      <c r="I41" s="512">
        <v>6659</v>
      </c>
      <c r="J41" s="512">
        <v>6924</v>
      </c>
      <c r="K41" s="512">
        <v>7249</v>
      </c>
      <c r="L41" s="512">
        <v>7427</v>
      </c>
      <c r="M41" s="512">
        <v>7581</v>
      </c>
      <c r="N41" s="512">
        <v>7807</v>
      </c>
      <c r="O41" s="512">
        <v>7912</v>
      </c>
      <c r="P41" s="512">
        <v>8286</v>
      </c>
      <c r="Q41" s="512">
        <v>8677</v>
      </c>
      <c r="R41" s="512">
        <f>8920+168</f>
        <v>9088</v>
      </c>
      <c r="S41" s="513">
        <v>9521</v>
      </c>
      <c r="T41" s="513">
        <v>9736</v>
      </c>
      <c r="U41" s="513">
        <v>10148</v>
      </c>
    </row>
    <row r="42" spans="1:21">
      <c r="A42" s="132">
        <v>37</v>
      </c>
      <c r="B42" s="134"/>
      <c r="C42" s="134" t="s">
        <v>54</v>
      </c>
      <c r="D42" s="134"/>
      <c r="E42" s="512">
        <v>47423</v>
      </c>
      <c r="F42" s="512">
        <v>51645</v>
      </c>
      <c r="G42" s="512">
        <v>55845</v>
      </c>
      <c r="H42" s="512">
        <v>60239</v>
      </c>
      <c r="I42" s="512">
        <v>64817</v>
      </c>
      <c r="J42" s="512">
        <v>69428</v>
      </c>
      <c r="K42" s="512">
        <v>74019</v>
      </c>
      <c r="L42" s="512">
        <v>77997</v>
      </c>
      <c r="M42" s="512">
        <v>81405</v>
      </c>
      <c r="N42" s="512">
        <v>84021</v>
      </c>
      <c r="O42" s="512">
        <v>89620</v>
      </c>
      <c r="P42" s="512">
        <v>97489</v>
      </c>
      <c r="Q42" s="512">
        <v>102678</v>
      </c>
      <c r="R42" s="512">
        <v>108662</v>
      </c>
      <c r="S42" s="513">
        <v>114795</v>
      </c>
      <c r="T42" s="513">
        <v>121623</v>
      </c>
      <c r="U42" s="513">
        <v>129098</v>
      </c>
    </row>
    <row r="43" spans="1:21">
      <c r="A43" s="132">
        <v>38</v>
      </c>
      <c r="B43" s="134"/>
      <c r="C43" s="134" t="s">
        <v>55</v>
      </c>
      <c r="D43" s="134"/>
      <c r="E43" s="512">
        <v>5661</v>
      </c>
      <c r="F43" s="512">
        <v>5695</v>
      </c>
      <c r="G43" s="512">
        <v>6442</v>
      </c>
      <c r="H43" s="512">
        <v>7446</v>
      </c>
      <c r="I43" s="512">
        <v>6984</v>
      </c>
      <c r="J43" s="512">
        <v>7208</v>
      </c>
      <c r="K43" s="512">
        <v>7230</v>
      </c>
      <c r="L43" s="512">
        <v>7136</v>
      </c>
      <c r="M43" s="512">
        <v>8309</v>
      </c>
      <c r="N43" s="512">
        <v>8882</v>
      </c>
      <c r="O43" s="512">
        <v>10722</v>
      </c>
      <c r="P43" s="512">
        <v>10926</v>
      </c>
      <c r="Q43" s="512">
        <v>12186</v>
      </c>
      <c r="R43" s="512">
        <f>10772+113+28+3811</f>
        <v>14724</v>
      </c>
      <c r="S43" s="513">
        <v>17429</v>
      </c>
      <c r="T43" s="513">
        <f>15111+5798</f>
        <v>20909</v>
      </c>
      <c r="U43" s="513">
        <f>16999+6644</f>
        <v>23643</v>
      </c>
    </row>
    <row r="44" spans="1:21">
      <c r="A44" s="132">
        <v>39</v>
      </c>
      <c r="B44" s="134" t="s">
        <v>383</v>
      </c>
      <c r="C44" s="134"/>
      <c r="D44" s="112"/>
      <c r="E44" s="525">
        <f t="shared" ref="E44:U44" si="6">SUM(E41:E43)</f>
        <v>59276</v>
      </c>
      <c r="F44" s="525">
        <f t="shared" si="6"/>
        <v>63560</v>
      </c>
      <c r="G44" s="525">
        <f t="shared" si="6"/>
        <v>68402</v>
      </c>
      <c r="H44" s="525">
        <f t="shared" si="6"/>
        <v>74180</v>
      </c>
      <c r="I44" s="525">
        <f t="shared" si="6"/>
        <v>78460</v>
      </c>
      <c r="J44" s="525">
        <f t="shared" si="6"/>
        <v>83560</v>
      </c>
      <c r="K44" s="525">
        <f t="shared" si="6"/>
        <v>88498</v>
      </c>
      <c r="L44" s="525">
        <f t="shared" si="6"/>
        <v>92560</v>
      </c>
      <c r="M44" s="525">
        <f t="shared" si="6"/>
        <v>97295</v>
      </c>
      <c r="N44" s="525">
        <f t="shared" si="6"/>
        <v>100710</v>
      </c>
      <c r="O44" s="525">
        <f t="shared" si="6"/>
        <v>108254</v>
      </c>
      <c r="P44" s="525">
        <f t="shared" si="6"/>
        <v>116701</v>
      </c>
      <c r="Q44" s="525">
        <f t="shared" si="6"/>
        <v>123541</v>
      </c>
      <c r="R44" s="525">
        <f t="shared" si="6"/>
        <v>132474</v>
      </c>
      <c r="S44" s="526">
        <f t="shared" si="6"/>
        <v>141745</v>
      </c>
      <c r="T44" s="526">
        <f t="shared" si="6"/>
        <v>152268</v>
      </c>
      <c r="U44" s="526">
        <f t="shared" si="6"/>
        <v>162889</v>
      </c>
    </row>
    <row r="45" spans="1:21">
      <c r="A45" s="132">
        <v>40</v>
      </c>
      <c r="B45" s="134" t="s">
        <v>147</v>
      </c>
      <c r="C45" s="134"/>
      <c r="D45" s="134"/>
      <c r="E45" s="527">
        <f t="shared" ref="E45:T45" si="7">E38-E44</f>
        <v>141763</v>
      </c>
      <c r="F45" s="527">
        <f t="shared" si="7"/>
        <v>147116</v>
      </c>
      <c r="G45" s="527">
        <f t="shared" si="7"/>
        <v>148426</v>
      </c>
      <c r="H45" s="527">
        <f t="shared" si="7"/>
        <v>149875</v>
      </c>
      <c r="I45" s="527">
        <f t="shared" si="7"/>
        <v>152869</v>
      </c>
      <c r="J45" s="527">
        <f t="shared" si="7"/>
        <v>157851</v>
      </c>
      <c r="K45" s="527">
        <f t="shared" si="7"/>
        <v>166479</v>
      </c>
      <c r="L45" s="527">
        <f t="shared" si="7"/>
        <v>173043</v>
      </c>
      <c r="M45" s="527">
        <f t="shared" si="7"/>
        <v>183398</v>
      </c>
      <c r="N45" s="527">
        <f t="shared" si="7"/>
        <v>203414</v>
      </c>
      <c r="O45" s="527">
        <f t="shared" si="7"/>
        <v>213500</v>
      </c>
      <c r="P45" s="527">
        <f t="shared" si="7"/>
        <v>225557</v>
      </c>
      <c r="Q45" s="527">
        <f t="shared" si="7"/>
        <v>241785</v>
      </c>
      <c r="R45" s="527">
        <f t="shared" si="7"/>
        <v>257929</v>
      </c>
      <c r="S45" s="528">
        <f t="shared" si="7"/>
        <v>280553</v>
      </c>
      <c r="T45" s="528">
        <f t="shared" si="7"/>
        <v>309578</v>
      </c>
      <c r="U45" s="528">
        <f>U38-U44</f>
        <v>337111</v>
      </c>
    </row>
    <row r="46" spans="1:21">
      <c r="A46" s="135">
        <v>41</v>
      </c>
      <c r="B46" s="136" t="s">
        <v>101</v>
      </c>
      <c r="C46" s="136"/>
      <c r="D46" s="136"/>
      <c r="E46" s="514">
        <v>-13136</v>
      </c>
      <c r="F46" s="514">
        <v>-14312</v>
      </c>
      <c r="G46" s="514">
        <v>-15831</v>
      </c>
      <c r="H46" s="514">
        <v>-22438</v>
      </c>
      <c r="I46" s="514">
        <v>-26715</v>
      </c>
      <c r="J46" s="514">
        <v>-23705</v>
      </c>
      <c r="K46" s="514">
        <v>-24592</v>
      </c>
      <c r="L46" s="514">
        <v>-26754</v>
      </c>
      <c r="M46" s="514">
        <v>-28892</v>
      </c>
      <c r="N46" s="514">
        <v>-30967</v>
      </c>
      <c r="O46" s="514">
        <v>-36762</v>
      </c>
      <c r="P46" s="514">
        <v>-42004</v>
      </c>
      <c r="Q46" s="514">
        <v>-46498</v>
      </c>
      <c r="R46" s="514">
        <f>-49832-338</f>
        <v>-50170</v>
      </c>
      <c r="S46" s="515">
        <v>-54652</v>
      </c>
      <c r="T46" s="515">
        <v>-65064</v>
      </c>
      <c r="U46" s="515">
        <v>-73856</v>
      </c>
    </row>
    <row r="47" spans="1:21">
      <c r="A47" s="135">
        <v>42</v>
      </c>
      <c r="B47" s="136" t="s">
        <v>171</v>
      </c>
      <c r="C47" s="136"/>
      <c r="D47" s="136"/>
      <c r="E47" s="527">
        <f t="shared" ref="E47:U47" si="8">E45+E46</f>
        <v>128627</v>
      </c>
      <c r="F47" s="527">
        <f t="shared" si="8"/>
        <v>132804</v>
      </c>
      <c r="G47" s="527">
        <f t="shared" si="8"/>
        <v>132595</v>
      </c>
      <c r="H47" s="527">
        <f t="shared" si="8"/>
        <v>127437</v>
      </c>
      <c r="I47" s="527">
        <f t="shared" si="8"/>
        <v>126154</v>
      </c>
      <c r="J47" s="527">
        <f t="shared" si="8"/>
        <v>134146</v>
      </c>
      <c r="K47" s="527">
        <f t="shared" si="8"/>
        <v>141887</v>
      </c>
      <c r="L47" s="527">
        <f t="shared" si="8"/>
        <v>146289</v>
      </c>
      <c r="M47" s="527">
        <f t="shared" si="8"/>
        <v>154506</v>
      </c>
      <c r="N47" s="527">
        <f t="shared" si="8"/>
        <v>172447</v>
      </c>
      <c r="O47" s="527">
        <f t="shared" si="8"/>
        <v>176738</v>
      </c>
      <c r="P47" s="527">
        <f t="shared" si="8"/>
        <v>183553</v>
      </c>
      <c r="Q47" s="527">
        <f t="shared" si="8"/>
        <v>195287</v>
      </c>
      <c r="R47" s="527">
        <f t="shared" si="8"/>
        <v>207759</v>
      </c>
      <c r="S47" s="528">
        <f t="shared" si="8"/>
        <v>225901</v>
      </c>
      <c r="T47" s="528">
        <f t="shared" si="8"/>
        <v>244514</v>
      </c>
      <c r="U47" s="528">
        <f t="shared" si="8"/>
        <v>263255</v>
      </c>
    </row>
    <row r="48" spans="1:21">
      <c r="A48" s="132">
        <v>43</v>
      </c>
      <c r="B48" s="134" t="s">
        <v>58</v>
      </c>
      <c r="C48" s="134"/>
      <c r="D48" s="134"/>
      <c r="E48" s="512">
        <v>2810</v>
      </c>
      <c r="F48" s="512">
        <v>3190</v>
      </c>
      <c r="G48" s="512">
        <v>4191</v>
      </c>
      <c r="H48" s="512">
        <v>4568</v>
      </c>
      <c r="I48" s="512">
        <v>4807</v>
      </c>
      <c r="J48" s="512">
        <v>6936</v>
      </c>
      <c r="K48" s="512">
        <v>7628</v>
      </c>
      <c r="L48" s="512">
        <v>5607</v>
      </c>
      <c r="M48" s="512">
        <v>15327</v>
      </c>
      <c r="N48" s="512">
        <v>8440</v>
      </c>
      <c r="O48" s="512">
        <v>10226</v>
      </c>
      <c r="P48" s="512">
        <v>13753</v>
      </c>
      <c r="Q48" s="512">
        <v>13107</v>
      </c>
      <c r="R48" s="512">
        <f>4027+7675</f>
        <v>11702</v>
      </c>
      <c r="S48" s="513">
        <v>14762</v>
      </c>
      <c r="T48" s="513">
        <v>12739</v>
      </c>
      <c r="U48" s="513">
        <f>4042+5074</f>
        <v>9116</v>
      </c>
    </row>
    <row r="49" spans="1:21">
      <c r="A49" s="135">
        <v>44</v>
      </c>
      <c r="B49" s="136" t="s">
        <v>59</v>
      </c>
      <c r="C49" s="136"/>
      <c r="D49" s="136"/>
      <c r="E49" s="527">
        <v>-517</v>
      </c>
      <c r="F49" s="527">
        <v>-470</v>
      </c>
      <c r="G49" s="527">
        <v>-424</v>
      </c>
      <c r="H49" s="527">
        <v>-378</v>
      </c>
      <c r="I49" s="527">
        <v>-243</v>
      </c>
      <c r="J49" s="527">
        <v>-286</v>
      </c>
      <c r="K49" s="527">
        <v>-153</v>
      </c>
      <c r="L49" s="527">
        <v>-197</v>
      </c>
      <c r="M49" s="527">
        <v>-152</v>
      </c>
      <c r="N49" s="527">
        <v>-109</v>
      </c>
      <c r="O49" s="527">
        <v>-44</v>
      </c>
      <c r="P49" s="527">
        <v>-14</v>
      </c>
      <c r="Q49" s="527">
        <v>0</v>
      </c>
      <c r="R49" s="527">
        <v>0</v>
      </c>
      <c r="S49" s="528">
        <v>0</v>
      </c>
      <c r="T49" s="528">
        <v>0</v>
      </c>
      <c r="U49" s="528">
        <v>0</v>
      </c>
    </row>
    <row r="50" spans="1:21">
      <c r="A50" s="135">
        <v>45</v>
      </c>
      <c r="B50" s="136" t="s">
        <v>384</v>
      </c>
      <c r="C50" s="136"/>
      <c r="D50" s="136"/>
      <c r="E50" s="527"/>
      <c r="F50" s="527"/>
      <c r="G50" s="527"/>
      <c r="H50" s="527"/>
      <c r="I50" s="527"/>
      <c r="J50" s="527"/>
      <c r="K50" s="527"/>
      <c r="L50" s="527"/>
      <c r="M50" s="527"/>
      <c r="N50" s="527"/>
      <c r="O50" s="527"/>
      <c r="P50" s="527">
        <v>-1012</v>
      </c>
      <c r="Q50" s="527">
        <v>-816</v>
      </c>
      <c r="R50" s="527">
        <f>-12-320</f>
        <v>-332</v>
      </c>
      <c r="S50" s="528">
        <v>-479</v>
      </c>
      <c r="T50" s="528">
        <v>-484</v>
      </c>
      <c r="U50" s="528">
        <f>-12-472-126+361</f>
        <v>-249</v>
      </c>
    </row>
    <row r="51" spans="1:21">
      <c r="A51" s="132">
        <v>46</v>
      </c>
      <c r="B51" s="134" t="s">
        <v>149</v>
      </c>
      <c r="C51" s="134"/>
      <c r="D51" s="134"/>
      <c r="E51" s="514">
        <v>0</v>
      </c>
      <c r="F51" s="514">
        <v>0</v>
      </c>
      <c r="G51" s="514">
        <v>0</v>
      </c>
      <c r="H51" s="514">
        <v>0</v>
      </c>
      <c r="I51" s="514">
        <v>0</v>
      </c>
      <c r="J51" s="514">
        <v>0</v>
      </c>
      <c r="K51" s="514">
        <v>0</v>
      </c>
      <c r="L51" s="514">
        <v>0</v>
      </c>
      <c r="M51" s="514">
        <v>0</v>
      </c>
      <c r="N51" s="514">
        <v>0</v>
      </c>
      <c r="O51" s="514">
        <v>0</v>
      </c>
      <c r="P51" s="514">
        <v>0</v>
      </c>
      <c r="Q51" s="514">
        <v>0</v>
      </c>
      <c r="R51" s="514">
        <v>5695</v>
      </c>
      <c r="S51" s="515">
        <v>10073</v>
      </c>
      <c r="T51" s="515">
        <v>12310</v>
      </c>
      <c r="U51" s="515">
        <v>15664</v>
      </c>
    </row>
    <row r="52" spans="1:21">
      <c r="A52" s="132"/>
      <c r="B52" s="112"/>
      <c r="C52" s="112"/>
      <c r="D52" s="112"/>
      <c r="E52" s="114"/>
      <c r="F52" s="114"/>
      <c r="G52" s="114"/>
      <c r="H52" s="114"/>
      <c r="I52" s="114"/>
      <c r="J52" s="114"/>
      <c r="K52" s="114"/>
      <c r="L52" s="114"/>
      <c r="M52" s="114"/>
      <c r="N52" s="114"/>
      <c r="O52" s="114"/>
      <c r="P52" s="114"/>
      <c r="Q52" s="114"/>
      <c r="R52" s="114"/>
      <c r="S52" s="509"/>
      <c r="T52" s="509"/>
      <c r="U52" s="509"/>
    </row>
    <row r="53" spans="1:21">
      <c r="A53" s="132"/>
      <c r="B53" s="112"/>
      <c r="C53" s="112"/>
      <c r="D53" s="112"/>
      <c r="E53" s="512"/>
      <c r="F53" s="512"/>
      <c r="G53" s="512"/>
      <c r="H53" s="512"/>
      <c r="I53" s="512"/>
      <c r="J53" s="512"/>
      <c r="K53" s="512"/>
      <c r="L53" s="512"/>
      <c r="M53" s="512"/>
      <c r="N53" s="512"/>
      <c r="O53" s="512"/>
      <c r="P53" s="512"/>
      <c r="Q53" s="512"/>
      <c r="R53" s="512"/>
      <c r="S53" s="513"/>
      <c r="T53" s="513"/>
      <c r="U53" s="513"/>
    </row>
    <row r="54" spans="1:21" ht="13.5" thickBot="1">
      <c r="A54" s="115">
        <v>47</v>
      </c>
      <c r="B54" s="256" t="s">
        <v>60</v>
      </c>
      <c r="C54" s="256"/>
      <c r="D54" s="256"/>
      <c r="E54" s="257">
        <f t="shared" ref="E54:M54" si="9">SUM(E47:E51)</f>
        <v>130920</v>
      </c>
      <c r="F54" s="257">
        <f t="shared" si="9"/>
        <v>135524</v>
      </c>
      <c r="G54" s="257">
        <f t="shared" si="9"/>
        <v>136362</v>
      </c>
      <c r="H54" s="257">
        <f t="shared" si="9"/>
        <v>131627</v>
      </c>
      <c r="I54" s="257">
        <f t="shared" si="9"/>
        <v>130718</v>
      </c>
      <c r="J54" s="257">
        <f t="shared" si="9"/>
        <v>140796</v>
      </c>
      <c r="K54" s="257">
        <f t="shared" si="9"/>
        <v>149362</v>
      </c>
      <c r="L54" s="257">
        <f t="shared" si="9"/>
        <v>151699</v>
      </c>
      <c r="M54" s="257">
        <f t="shared" si="9"/>
        <v>169681</v>
      </c>
      <c r="N54" s="257">
        <f t="shared" ref="N54:U54" si="10">SUM(N47:N51)</f>
        <v>180778</v>
      </c>
      <c r="O54" s="257">
        <f t="shared" si="10"/>
        <v>186920</v>
      </c>
      <c r="P54" s="257">
        <f t="shared" si="10"/>
        <v>196280</v>
      </c>
      <c r="Q54" s="257">
        <f t="shared" si="10"/>
        <v>207578</v>
      </c>
      <c r="R54" s="257">
        <f t="shared" si="10"/>
        <v>224824</v>
      </c>
      <c r="S54" s="518">
        <f t="shared" si="10"/>
        <v>250257</v>
      </c>
      <c r="T54" s="518">
        <f t="shared" si="10"/>
        <v>269079</v>
      </c>
      <c r="U54" s="518">
        <f t="shared" si="10"/>
        <v>287786</v>
      </c>
    </row>
    <row r="55" spans="1:21" ht="13.5" thickTop="1">
      <c r="A55" s="674"/>
      <c r="B55" s="675"/>
      <c r="C55" s="675"/>
      <c r="D55" s="675"/>
      <c r="E55" s="676"/>
      <c r="F55" s="677"/>
      <c r="G55" s="677"/>
      <c r="H55" s="677"/>
      <c r="I55" s="677"/>
      <c r="J55" s="677"/>
      <c r="K55" s="677"/>
      <c r="L55" s="677"/>
      <c r="M55" s="677"/>
      <c r="N55" s="677"/>
      <c r="O55" s="677"/>
      <c r="P55" s="677"/>
      <c r="Q55" s="677"/>
    </row>
    <row r="56" spans="1:21">
      <c r="E56" s="558" t="str">
        <f>IF('Cost Trends'!F91=E54,"","check total")</f>
        <v/>
      </c>
      <c r="F56" s="558" t="str">
        <f>IF('Cost Trends'!G91=F54,"","check total")</f>
        <v/>
      </c>
      <c r="G56" s="558" t="str">
        <f>IF('Cost Trends'!H91=G54,"","check total")</f>
        <v/>
      </c>
      <c r="H56" s="558" t="str">
        <f>IF('Cost Trends'!I91=H54,"","check total")</f>
        <v/>
      </c>
      <c r="I56" s="558" t="str">
        <f>IF('Cost Trends'!J91=I54,"","check total")</f>
        <v/>
      </c>
      <c r="J56" s="558" t="str">
        <f>IF('Cost Trends'!K91=J54,"","check total")</f>
        <v/>
      </c>
      <c r="K56" s="558" t="str">
        <f>IF('Cost Trends'!L91=K54,"","check total")</f>
        <v/>
      </c>
      <c r="L56" s="558" t="str">
        <f>IF('Cost Trends'!M91=L54,"","check total")</f>
        <v/>
      </c>
      <c r="M56" s="558" t="str">
        <f>IF('Cost Trends'!N91=M54,"","check total")</f>
        <v/>
      </c>
      <c r="N56" s="558" t="str">
        <f>IF('Cost Trends'!O91=N54,"","check total")</f>
        <v/>
      </c>
      <c r="O56" s="558" t="str">
        <f>IF('Cost Trends'!P91=O54,"","check total")</f>
        <v/>
      </c>
      <c r="P56" s="558" t="str">
        <f>IF('Cost Trends'!Q91=P54,"","check total")</f>
        <v/>
      </c>
      <c r="Q56" s="558" t="str">
        <f>IF('Cost Trends'!R91=Q54,"","check total")</f>
        <v/>
      </c>
    </row>
    <row r="58" spans="1:21">
      <c r="B58" s="559" t="s">
        <v>589</v>
      </c>
    </row>
    <row r="59" spans="1:21">
      <c r="A59" s="575" t="s">
        <v>590</v>
      </c>
      <c r="D59" s="678" t="s">
        <v>591</v>
      </c>
      <c r="E59" s="655">
        <v>181</v>
      </c>
      <c r="F59" s="655">
        <v>164</v>
      </c>
      <c r="G59" s="655">
        <v>148</v>
      </c>
      <c r="H59" s="655">
        <v>132</v>
      </c>
      <c r="I59" s="655">
        <v>85</v>
      </c>
      <c r="J59" s="655">
        <v>100</v>
      </c>
      <c r="K59" s="655">
        <v>53</v>
      </c>
      <c r="L59" s="655">
        <v>69</v>
      </c>
      <c r="M59" s="655">
        <v>53</v>
      </c>
      <c r="N59" s="655">
        <v>38</v>
      </c>
      <c r="O59" s="655">
        <v>0</v>
      </c>
      <c r="P59" s="655">
        <v>0</v>
      </c>
      <c r="Q59" s="655">
        <v>0</v>
      </c>
      <c r="R59" s="655">
        <v>0</v>
      </c>
      <c r="S59" s="656">
        <v>0</v>
      </c>
      <c r="T59" s="656">
        <v>0</v>
      </c>
      <c r="U59" s="656">
        <v>0</v>
      </c>
    </row>
    <row r="60" spans="1:21">
      <c r="A60" s="575" t="s">
        <v>592</v>
      </c>
      <c r="D60" s="678" t="s">
        <v>593</v>
      </c>
      <c r="E60" s="655">
        <v>3576</v>
      </c>
      <c r="F60" s="655">
        <v>3142</v>
      </c>
      <c r="G60" s="655">
        <v>2709</v>
      </c>
      <c r="H60" s="655">
        <v>2275</v>
      </c>
      <c r="I60" s="655">
        <v>1120</v>
      </c>
      <c r="J60" s="655">
        <v>1457</v>
      </c>
      <c r="K60" s="655">
        <v>1120</v>
      </c>
      <c r="L60" s="655">
        <v>784</v>
      </c>
      <c r="M60" s="655">
        <v>448</v>
      </c>
      <c r="N60" s="655">
        <v>0</v>
      </c>
      <c r="O60" s="655">
        <v>0</v>
      </c>
      <c r="P60" s="655">
        <v>0</v>
      </c>
      <c r="Q60" s="655">
        <v>0</v>
      </c>
      <c r="R60" s="655">
        <v>0</v>
      </c>
      <c r="S60" s="656">
        <v>0</v>
      </c>
      <c r="T60" s="656">
        <v>0</v>
      </c>
      <c r="U60" s="656">
        <v>0</v>
      </c>
    </row>
    <row r="61" spans="1:21">
      <c r="A61" s="575" t="s">
        <v>372</v>
      </c>
      <c r="D61" s="678" t="s">
        <v>593</v>
      </c>
      <c r="E61" s="655">
        <v>-15</v>
      </c>
      <c r="F61" s="655">
        <v>-2</v>
      </c>
      <c r="G61" s="655">
        <v>-2</v>
      </c>
      <c r="H61" s="655">
        <v>-14</v>
      </c>
      <c r="I61" s="655">
        <v>-1</v>
      </c>
      <c r="J61" s="655">
        <v>-28</v>
      </c>
      <c r="K61" s="655">
        <v>-75</v>
      </c>
      <c r="L61" s="655">
        <v>-64</v>
      </c>
      <c r="M61" s="655">
        <v>-49</v>
      </c>
      <c r="N61" s="655">
        <v>-38</v>
      </c>
      <c r="O61" s="655">
        <v>-31</v>
      </c>
      <c r="P61" s="655">
        <v>-22</v>
      </c>
      <c r="Q61" s="655">
        <v>-18</v>
      </c>
      <c r="R61" s="655">
        <v>-12</v>
      </c>
      <c r="S61" s="656">
        <v>-12</v>
      </c>
      <c r="T61" s="656">
        <v>-12</v>
      </c>
      <c r="U61" s="656">
        <v>-12</v>
      </c>
    </row>
    <row r="62" spans="1:21">
      <c r="A62" s="575" t="s">
        <v>373</v>
      </c>
      <c r="D62" s="678" t="s">
        <v>593</v>
      </c>
      <c r="E62" s="655"/>
      <c r="F62" s="655"/>
      <c r="G62" s="655"/>
      <c r="H62" s="655"/>
      <c r="I62" s="655"/>
      <c r="J62" s="655"/>
      <c r="K62" s="655"/>
      <c r="L62" s="655"/>
      <c r="M62" s="655"/>
      <c r="N62" s="655">
        <v>-1359</v>
      </c>
      <c r="O62" s="655">
        <v>-1132</v>
      </c>
      <c r="P62" s="655">
        <v>-990</v>
      </c>
      <c r="Q62" s="655">
        <v>-798</v>
      </c>
      <c r="R62" s="655">
        <v>-320</v>
      </c>
      <c r="S62" s="656">
        <v>-467</v>
      </c>
      <c r="T62" s="656">
        <v>-472</v>
      </c>
      <c r="U62" s="656">
        <v>-472</v>
      </c>
    </row>
    <row r="63" spans="1:21">
      <c r="A63" s="575"/>
    </row>
    <row r="64" spans="1:21">
      <c r="A64" s="575" t="s">
        <v>25</v>
      </c>
      <c r="E64" s="663">
        <f t="shared" ref="E64:R64" si="11">SUM(E59:E62)</f>
        <v>3742</v>
      </c>
      <c r="F64" s="663">
        <f t="shared" si="11"/>
        <v>3304</v>
      </c>
      <c r="G64" s="663">
        <f t="shared" si="11"/>
        <v>2855</v>
      </c>
      <c r="H64" s="663">
        <f t="shared" si="11"/>
        <v>2393</v>
      </c>
      <c r="I64" s="663">
        <f t="shared" si="11"/>
        <v>1204</v>
      </c>
      <c r="J64" s="663">
        <f t="shared" si="11"/>
        <v>1529</v>
      </c>
      <c r="K64" s="663">
        <f t="shared" si="11"/>
        <v>1098</v>
      </c>
      <c r="L64" s="663">
        <f t="shared" si="11"/>
        <v>789</v>
      </c>
      <c r="M64" s="663">
        <f t="shared" si="11"/>
        <v>452</v>
      </c>
      <c r="N64" s="663">
        <f t="shared" si="11"/>
        <v>-1359</v>
      </c>
      <c r="O64" s="663">
        <f t="shared" si="11"/>
        <v>-1163</v>
      </c>
      <c r="P64" s="663">
        <f t="shared" si="11"/>
        <v>-1012</v>
      </c>
      <c r="Q64" s="663">
        <f t="shared" si="11"/>
        <v>-816</v>
      </c>
      <c r="R64" s="663">
        <f t="shared" si="11"/>
        <v>-332</v>
      </c>
      <c r="S64" s="664">
        <f>SUM(S59:S62)</f>
        <v>-479</v>
      </c>
      <c r="T64" s="664">
        <f>SUM(T59:T62)</f>
        <v>-484</v>
      </c>
      <c r="U64" s="664">
        <f>SUM(U59:U62)</f>
        <v>-484</v>
      </c>
    </row>
    <row r="65" spans="1:21">
      <c r="A65" s="575"/>
      <c r="E65" s="663"/>
      <c r="F65" s="663"/>
      <c r="G65" s="663"/>
      <c r="H65" s="663"/>
      <c r="I65" s="663"/>
      <c r="J65" s="663"/>
      <c r="K65" s="663"/>
      <c r="L65" s="663"/>
      <c r="M65" s="663"/>
      <c r="N65" s="663"/>
      <c r="O65" s="663"/>
      <c r="P65" s="663"/>
      <c r="Q65" s="663"/>
    </row>
    <row r="66" spans="1:21">
      <c r="A66" s="575" t="s">
        <v>54</v>
      </c>
      <c r="E66" s="663">
        <f>SUM(E60:E62)</f>
        <v>3561</v>
      </c>
      <c r="F66" s="663">
        <f t="shared" ref="F66:O66" si="12">SUM(F60:F62)</f>
        <v>3140</v>
      </c>
      <c r="G66" s="663">
        <f t="shared" si="12"/>
        <v>2707</v>
      </c>
      <c r="H66" s="663">
        <f t="shared" si="12"/>
        <v>2261</v>
      </c>
      <c r="I66" s="663">
        <f t="shared" si="12"/>
        <v>1119</v>
      </c>
      <c r="J66" s="663">
        <f t="shared" si="12"/>
        <v>1429</v>
      </c>
      <c r="K66" s="663">
        <f t="shared" si="12"/>
        <v>1045</v>
      </c>
      <c r="L66" s="663">
        <f t="shared" si="12"/>
        <v>720</v>
      </c>
      <c r="M66" s="663">
        <f t="shared" si="12"/>
        <v>399</v>
      </c>
      <c r="N66" s="663">
        <f t="shared" si="12"/>
        <v>-1397</v>
      </c>
      <c r="O66" s="663">
        <f t="shared" si="12"/>
        <v>-1163</v>
      </c>
      <c r="P66" s="663"/>
      <c r="Q66" s="663"/>
    </row>
    <row r="67" spans="1:21">
      <c r="A67" s="575" t="s">
        <v>591</v>
      </c>
      <c r="E67" s="663">
        <f>E59</f>
        <v>181</v>
      </c>
      <c r="F67" s="663">
        <f t="shared" ref="F67:O67" si="13">F59</f>
        <v>164</v>
      </c>
      <c r="G67" s="663">
        <f t="shared" si="13"/>
        <v>148</v>
      </c>
      <c r="H67" s="663">
        <f t="shared" si="13"/>
        <v>132</v>
      </c>
      <c r="I67" s="663">
        <f t="shared" si="13"/>
        <v>85</v>
      </c>
      <c r="J67" s="663">
        <f t="shared" si="13"/>
        <v>100</v>
      </c>
      <c r="K67" s="663">
        <f t="shared" si="13"/>
        <v>53</v>
      </c>
      <c r="L67" s="663">
        <f t="shared" si="13"/>
        <v>69</v>
      </c>
      <c r="M67" s="663">
        <f t="shared" si="13"/>
        <v>53</v>
      </c>
      <c r="N67" s="663">
        <f t="shared" si="13"/>
        <v>38</v>
      </c>
      <c r="O67" s="663">
        <f t="shared" si="13"/>
        <v>0</v>
      </c>
      <c r="P67" s="663"/>
      <c r="Q67" s="663"/>
    </row>
    <row r="68" spans="1:21">
      <c r="A68" s="575" t="s">
        <v>594</v>
      </c>
      <c r="E68" s="663"/>
      <c r="F68" s="663"/>
      <c r="G68" s="663"/>
      <c r="H68" s="663"/>
      <c r="I68" s="663"/>
      <c r="J68" s="663"/>
      <c r="K68" s="663"/>
      <c r="L68" s="663"/>
      <c r="M68" s="663"/>
      <c r="N68" s="663"/>
      <c r="O68" s="663"/>
      <c r="P68" s="663">
        <f t="shared" ref="P68:U68" si="14">SUM(P59:P62)</f>
        <v>-1012</v>
      </c>
      <c r="Q68" s="663">
        <f t="shared" si="14"/>
        <v>-816</v>
      </c>
      <c r="R68" s="663">
        <f t="shared" si="14"/>
        <v>-332</v>
      </c>
      <c r="S68" s="664">
        <f t="shared" si="14"/>
        <v>-479</v>
      </c>
      <c r="T68" s="664">
        <f t="shared" si="14"/>
        <v>-484</v>
      </c>
      <c r="U68" s="664">
        <f t="shared" si="14"/>
        <v>-484</v>
      </c>
    </row>
  </sheetData>
  <pageMargins left="0.7" right="0.7" top="0.75" bottom="0.75" header="0.3" footer="0.55000000000000004"/>
  <pageSetup scale="67" orientation="landscape" r:id="rId1"/>
  <headerFooter>
    <oddFooter>&amp;C&amp;F / &amp;A&amp;RPage &amp;P</oddFooter>
  </headerFooter>
  <rowBreaks count="1" manualBreakCount="1">
    <brk id="30"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X82"/>
  <sheetViews>
    <sheetView view="pageBreakPreview" zoomScale="130" zoomScaleNormal="100" zoomScaleSheetLayoutView="130" workbookViewId="0">
      <selection activeCell="G35" sqref="G35"/>
    </sheetView>
  </sheetViews>
  <sheetFormatPr defaultColWidth="9.140625" defaultRowHeight="12.75"/>
  <cols>
    <col min="1" max="1" width="9.140625" style="35"/>
    <col min="2" max="2" width="6.5703125" style="35" customWidth="1"/>
    <col min="3" max="3" width="42" style="35" customWidth="1"/>
    <col min="4" max="4" width="9.140625" style="35"/>
    <col min="5" max="5" width="20.140625" style="72" customWidth="1"/>
    <col min="6" max="9" width="9.140625" style="35"/>
    <col min="10" max="10" width="19.85546875" style="35" bestFit="1" customWidth="1"/>
    <col min="11" max="16384" width="9.140625" style="35"/>
  </cols>
  <sheetData>
    <row r="1" spans="1:24" s="59" customFormat="1">
      <c r="A1" s="35"/>
      <c r="B1" s="35"/>
      <c r="C1" s="56" t="s">
        <v>103</v>
      </c>
      <c r="D1" s="57"/>
      <c r="E1" s="58"/>
      <c r="G1" s="265"/>
      <c r="H1" s="266"/>
      <c r="I1" s="266"/>
      <c r="J1" s="35"/>
    </row>
    <row r="2" spans="1:24" s="59" customFormat="1">
      <c r="B2" s="35"/>
      <c r="C2" s="226" t="s">
        <v>139</v>
      </c>
      <c r="D2" s="57"/>
      <c r="E2" s="60"/>
      <c r="J2" s="35"/>
    </row>
    <row r="3" spans="1:24" s="59" customFormat="1">
      <c r="B3" s="35"/>
      <c r="C3" s="83" t="s">
        <v>408</v>
      </c>
      <c r="D3" s="57"/>
      <c r="E3" s="60"/>
      <c r="J3" s="35"/>
    </row>
    <row r="4" spans="1:24">
      <c r="B4" s="82"/>
      <c r="C4" s="226" t="s">
        <v>436</v>
      </c>
      <c r="D4" s="82"/>
      <c r="E4" s="82"/>
      <c r="F4" s="82"/>
      <c r="G4" s="82"/>
      <c r="H4" s="82"/>
      <c r="I4" s="82"/>
      <c r="J4" s="82"/>
      <c r="K4" s="82"/>
      <c r="L4" s="82"/>
      <c r="M4" s="56"/>
      <c r="N4" s="56"/>
      <c r="O4" s="56"/>
    </row>
    <row r="5" spans="1:24">
      <c r="C5" s="39"/>
      <c r="D5" s="61"/>
      <c r="P5" s="78"/>
      <c r="Q5" s="78"/>
      <c r="R5" s="78"/>
      <c r="S5" s="78"/>
      <c r="T5" s="78"/>
      <c r="U5" s="78"/>
      <c r="V5" s="78"/>
      <c r="W5" s="78"/>
      <c r="X5" s="78"/>
    </row>
    <row r="6" spans="1:24">
      <c r="A6" s="39"/>
      <c r="C6" s="62"/>
      <c r="D6" s="61"/>
      <c r="E6" s="57"/>
      <c r="O6" s="78"/>
      <c r="P6" s="78"/>
      <c r="Q6" s="78"/>
      <c r="R6" s="78"/>
      <c r="S6" s="78"/>
      <c r="T6" s="78"/>
      <c r="U6" s="78"/>
      <c r="V6" s="78"/>
      <c r="W6" s="78"/>
      <c r="X6" s="78"/>
    </row>
    <row r="7" spans="1:24">
      <c r="A7" s="39"/>
      <c r="C7" s="62"/>
      <c r="D7" s="61"/>
      <c r="E7" s="57"/>
    </row>
    <row r="8" spans="1:24">
      <c r="A8" s="39"/>
      <c r="C8" s="61"/>
      <c r="D8" s="61"/>
      <c r="E8" s="108"/>
      <c r="F8" s="109"/>
      <c r="G8" s="109"/>
    </row>
    <row r="9" spans="1:24">
      <c r="A9" s="39" t="s">
        <v>120</v>
      </c>
      <c r="C9" s="39"/>
      <c r="D9" s="61"/>
      <c r="E9" s="39"/>
      <c r="J9" s="74" t="s">
        <v>141</v>
      </c>
      <c r="L9" s="42"/>
      <c r="M9" s="42"/>
      <c r="N9" s="42"/>
      <c r="O9" s="42"/>
    </row>
    <row r="10" spans="1:24">
      <c r="A10" s="40" t="s">
        <v>15</v>
      </c>
      <c r="C10" s="40" t="s">
        <v>63</v>
      </c>
      <c r="D10" s="61"/>
      <c r="E10" s="40" t="s">
        <v>130</v>
      </c>
      <c r="L10" s="42"/>
      <c r="M10" s="42"/>
      <c r="N10" s="42"/>
      <c r="O10" s="42"/>
    </row>
    <row r="11" spans="1:24">
      <c r="A11" s="39"/>
      <c r="C11" s="61"/>
      <c r="D11" s="61"/>
      <c r="E11" s="61"/>
      <c r="L11" s="42"/>
      <c r="M11" s="42"/>
      <c r="N11" s="42"/>
      <c r="O11" s="42"/>
    </row>
    <row r="12" spans="1:24">
      <c r="A12" s="36">
        <v>1</v>
      </c>
      <c r="C12" s="63" t="s">
        <v>131</v>
      </c>
      <c r="D12" s="61"/>
      <c r="E12" s="61">
        <v>1</v>
      </c>
      <c r="J12" s="64">
        <f>'Coat of Capital'!F20</f>
        <v>-1109.9765324783045</v>
      </c>
      <c r="L12" s="42"/>
      <c r="M12" s="267"/>
      <c r="N12" s="42"/>
      <c r="O12" s="42"/>
    </row>
    <row r="13" spans="1:24">
      <c r="A13" s="36"/>
      <c r="C13" s="63"/>
      <c r="D13" s="61"/>
      <c r="E13" s="61"/>
      <c r="L13" s="42"/>
      <c r="M13" s="42"/>
      <c r="N13" s="42"/>
      <c r="O13" s="42"/>
    </row>
    <row r="14" spans="1:24">
      <c r="A14" s="36"/>
      <c r="C14" s="63" t="s">
        <v>132</v>
      </c>
      <c r="D14" s="61"/>
      <c r="E14" s="61"/>
      <c r="L14" s="42"/>
      <c r="M14" s="42"/>
      <c r="N14" s="42"/>
      <c r="O14" s="42"/>
    </row>
    <row r="15" spans="1:24">
      <c r="A15" s="36">
        <v>2</v>
      </c>
      <c r="B15" s="38"/>
      <c r="C15" s="61" t="s">
        <v>133</v>
      </c>
      <c r="D15" s="61"/>
      <c r="E15" s="348">
        <v>4.8267980101441661E-3</v>
      </c>
      <c r="J15" s="65">
        <f>ROUND($J$12*E15,0)</f>
        <v>-5</v>
      </c>
      <c r="L15" s="42"/>
      <c r="M15" s="68"/>
      <c r="N15" s="42"/>
      <c r="O15" s="42"/>
    </row>
    <row r="16" spans="1:24">
      <c r="A16" s="36"/>
      <c r="C16" s="61"/>
      <c r="D16" s="61"/>
      <c r="E16" s="348"/>
      <c r="L16" s="42"/>
      <c r="M16" s="42"/>
      <c r="N16" s="42"/>
      <c r="O16" s="42"/>
    </row>
    <row r="17" spans="1:15">
      <c r="A17" s="36">
        <v>3</v>
      </c>
      <c r="C17" s="61" t="s">
        <v>134</v>
      </c>
      <c r="D17" s="61"/>
      <c r="E17" s="349">
        <v>2E-3</v>
      </c>
      <c r="J17" s="65">
        <f>ROUND($J$12*E17,0)</f>
        <v>-2</v>
      </c>
      <c r="L17" s="42"/>
      <c r="M17" s="68"/>
      <c r="N17" s="42"/>
      <c r="O17" s="42"/>
    </row>
    <row r="18" spans="1:15">
      <c r="A18" s="36"/>
      <c r="C18" s="61"/>
      <c r="D18" s="61"/>
      <c r="E18" s="348"/>
      <c r="L18" s="42"/>
      <c r="M18" s="42"/>
      <c r="N18" s="42"/>
      <c r="O18" s="42"/>
    </row>
    <row r="19" spans="1:15">
      <c r="A19" s="36">
        <v>4</v>
      </c>
      <c r="C19" s="61" t="s">
        <v>135</v>
      </c>
      <c r="D19" s="61"/>
      <c r="E19" s="348">
        <v>3.8334071740649248E-2</v>
      </c>
      <c r="J19" s="65">
        <f>ROUND($J$12*E19,0)</f>
        <v>-43</v>
      </c>
      <c r="L19" s="42"/>
      <c r="M19" s="68"/>
      <c r="N19" s="42"/>
      <c r="O19" s="42"/>
    </row>
    <row r="20" spans="1:15">
      <c r="A20" s="36"/>
      <c r="C20" s="61"/>
      <c r="D20" s="61"/>
      <c r="E20" s="73"/>
      <c r="L20" s="42"/>
      <c r="M20" s="42"/>
      <c r="N20" s="42"/>
      <c r="O20" s="42"/>
    </row>
    <row r="21" spans="1:15">
      <c r="A21" s="36">
        <v>6</v>
      </c>
      <c r="C21" s="61" t="s">
        <v>136</v>
      </c>
      <c r="D21" s="61"/>
      <c r="E21" s="272">
        <f>SUM(E15:E19)</f>
        <v>4.5160869750793413E-2</v>
      </c>
      <c r="J21" s="67">
        <f>SUM(J15:J20)</f>
        <v>-50</v>
      </c>
      <c r="L21" s="42"/>
      <c r="M21" s="68"/>
      <c r="N21" s="42"/>
      <c r="O21" s="42"/>
    </row>
    <row r="22" spans="1:15">
      <c r="A22" s="36"/>
      <c r="C22" s="61"/>
      <c r="D22" s="61"/>
      <c r="E22" s="271"/>
      <c r="J22" s="68"/>
      <c r="L22" s="42"/>
      <c r="M22" s="68"/>
      <c r="N22" s="42"/>
      <c r="O22" s="42"/>
    </row>
    <row r="23" spans="1:15">
      <c r="A23" s="36">
        <v>7</v>
      </c>
      <c r="C23" s="61" t="s">
        <v>137</v>
      </c>
      <c r="D23" s="61"/>
      <c r="E23" s="271">
        <f>E12-E21</f>
        <v>0.95483913024920664</v>
      </c>
      <c r="J23" s="68">
        <f>J12-J21</f>
        <v>-1059.9765324783045</v>
      </c>
      <c r="L23" s="42"/>
      <c r="M23" s="68"/>
      <c r="N23" s="42"/>
      <c r="O23" s="42"/>
    </row>
    <row r="24" spans="1:15">
      <c r="A24" s="36"/>
      <c r="C24" s="61"/>
      <c r="D24" s="61"/>
      <c r="E24" s="271"/>
      <c r="L24" s="42"/>
      <c r="M24" s="42"/>
      <c r="N24" s="42"/>
      <c r="O24" s="42"/>
    </row>
    <row r="25" spans="1:15">
      <c r="A25" s="36">
        <v>8</v>
      </c>
      <c r="C25" s="61" t="s">
        <v>138</v>
      </c>
      <c r="D25" s="69"/>
      <c r="E25" s="271">
        <f>E23*0.35</f>
        <v>0.33419369558722228</v>
      </c>
      <c r="J25" s="70">
        <f>ROUND(J23*0.35,0)</f>
        <v>-371</v>
      </c>
      <c r="L25" s="42"/>
      <c r="M25" s="68"/>
      <c r="N25" s="42"/>
      <c r="O25" s="42"/>
    </row>
    <row r="26" spans="1:15">
      <c r="C26" s="61"/>
      <c r="D26" s="61"/>
      <c r="E26" s="271"/>
      <c r="L26" s="42"/>
      <c r="M26" s="42"/>
      <c r="N26" s="42"/>
      <c r="O26" s="42"/>
    </row>
    <row r="27" spans="1:15" ht="13.5" thickBot="1">
      <c r="A27" s="36">
        <v>9</v>
      </c>
      <c r="C27" s="61" t="s">
        <v>139</v>
      </c>
      <c r="D27" s="61"/>
      <c r="E27" s="271">
        <f>ROUND(E23-E25,6)</f>
        <v>0.620645</v>
      </c>
      <c r="J27" s="71">
        <f>J23-J25</f>
        <v>-688.97653247830453</v>
      </c>
      <c r="L27" s="42"/>
      <c r="M27" s="268"/>
      <c r="N27" s="42"/>
      <c r="O27" s="42"/>
    </row>
    <row r="28" spans="1:15" ht="13.5" customHeight="1" thickTop="1">
      <c r="C28" s="61"/>
      <c r="D28" s="61"/>
      <c r="F28" s="899"/>
      <c r="G28" s="899"/>
      <c r="H28" s="899"/>
      <c r="L28" s="42"/>
      <c r="M28" s="42"/>
      <c r="N28" s="42"/>
      <c r="O28" s="42"/>
    </row>
    <row r="29" spans="1:15">
      <c r="C29" s="426"/>
      <c r="D29" s="61"/>
      <c r="F29" s="899"/>
      <c r="G29" s="899"/>
      <c r="H29" s="899"/>
      <c r="J29" s="65">
        <f>J27/E27</f>
        <v>-1110.0976121265853</v>
      </c>
      <c r="K29" s="35" t="s">
        <v>397</v>
      </c>
      <c r="L29" s="42"/>
      <c r="M29" s="42"/>
      <c r="N29" s="42"/>
      <c r="O29" s="42"/>
    </row>
    <row r="30" spans="1:15">
      <c r="C30" s="61"/>
      <c r="D30" s="61"/>
      <c r="F30" s="899"/>
      <c r="G30" s="899"/>
      <c r="H30" s="899"/>
      <c r="J30" s="48">
        <f>J29-'Coat of Capital'!F20</f>
        <v>-0.12107964828078366</v>
      </c>
      <c r="K30" s="35" t="s">
        <v>74</v>
      </c>
      <c r="L30" s="42"/>
      <c r="M30" s="42"/>
      <c r="N30" s="42"/>
      <c r="O30" s="42"/>
    </row>
    <row r="31" spans="1:15">
      <c r="C31" s="61"/>
      <c r="D31" s="61"/>
      <c r="L31" s="42"/>
      <c r="M31" s="42"/>
      <c r="N31" s="42"/>
      <c r="O31" s="42"/>
    </row>
    <row r="32" spans="1:15">
      <c r="C32" s="61"/>
      <c r="D32" s="61"/>
      <c r="L32" s="42"/>
      <c r="M32" s="42"/>
      <c r="N32" s="42"/>
      <c r="O32" s="42"/>
    </row>
    <row r="33" spans="3:15">
      <c r="C33" s="61"/>
      <c r="D33" s="61"/>
      <c r="L33" s="42"/>
      <c r="M33" s="42"/>
      <c r="N33" s="42"/>
      <c r="O33" s="42"/>
    </row>
    <row r="34" spans="3:15">
      <c r="C34" s="61"/>
      <c r="D34" s="61"/>
      <c r="L34" s="42"/>
      <c r="M34" s="42"/>
      <c r="N34" s="42"/>
      <c r="O34" s="42"/>
    </row>
    <row r="35" spans="3:15">
      <c r="C35" s="61"/>
      <c r="D35" s="61"/>
    </row>
    <row r="36" spans="3:15">
      <c r="C36" s="61"/>
      <c r="D36" s="61"/>
    </row>
    <row r="37" spans="3:15">
      <c r="C37" s="61"/>
      <c r="D37" s="61"/>
    </row>
    <row r="38" spans="3:15">
      <c r="C38" s="66"/>
      <c r="D38" s="61"/>
    </row>
    <row r="39" spans="3:15">
      <c r="C39" s="61"/>
      <c r="D39" s="61"/>
    </row>
    <row r="40" spans="3:15">
      <c r="C40" s="61"/>
      <c r="D40" s="61"/>
    </row>
    <row r="41" spans="3:15">
      <c r="C41" s="61"/>
      <c r="D41" s="61"/>
    </row>
    <row r="42" spans="3:15">
      <c r="C42" s="61"/>
      <c r="D42" s="61"/>
    </row>
    <row r="43" spans="3:15">
      <c r="C43" s="61"/>
      <c r="D43" s="61"/>
    </row>
    <row r="44" spans="3:15">
      <c r="C44" s="61"/>
    </row>
    <row r="45" spans="3:15">
      <c r="C45" s="61"/>
    </row>
    <row r="46" spans="3:15">
      <c r="C46" s="61"/>
      <c r="D46" s="61"/>
    </row>
    <row r="47" spans="3:15">
      <c r="C47" s="61"/>
      <c r="D47" s="61"/>
    </row>
    <row r="48" spans="3:15">
      <c r="C48" s="61"/>
      <c r="D48" s="61"/>
    </row>
    <row r="49" spans="3:4">
      <c r="C49" s="61"/>
      <c r="D49" s="61"/>
    </row>
    <row r="50" spans="3:4">
      <c r="C50" s="61"/>
      <c r="D50" s="61"/>
    </row>
    <row r="51" spans="3:4">
      <c r="C51" s="61"/>
      <c r="D51" s="61"/>
    </row>
    <row r="52" spans="3:4">
      <c r="C52" s="61"/>
      <c r="D52" s="61"/>
    </row>
    <row r="53" spans="3:4">
      <c r="D53" s="61"/>
    </row>
    <row r="54" spans="3:4">
      <c r="C54" s="61"/>
      <c r="D54" s="61"/>
    </row>
    <row r="55" spans="3:4">
      <c r="C55" s="61"/>
      <c r="D55" s="61"/>
    </row>
    <row r="82" spans="17:17">
      <c r="Q82" s="35">
        <f>Q88</f>
        <v>0</v>
      </c>
    </row>
  </sheetData>
  <mergeCells count="1">
    <mergeCell ref="F28:H30"/>
  </mergeCells>
  <phoneticPr fontId="0" type="noConversion"/>
  <pageMargins left="0.75" right="0.5" top="0.72" bottom="0.84" header="0.5" footer="0.5"/>
  <pageSetup scale="105" orientation="portrait" r:id="rId1"/>
  <headerFooter alignWithMargins="0">
    <oddHeader xml:space="preserve">&amp;LK-Factor Study
(Natural Gas)&amp;RExh. EMA-8
</oddHeader>
    <oddFooter>&amp;RPage &amp;P of 17</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J153"/>
  <sheetViews>
    <sheetView zoomScaleNormal="100" workbookViewId="0">
      <selection activeCell="M30" sqref="M30:M31"/>
    </sheetView>
  </sheetViews>
  <sheetFormatPr defaultColWidth="10.7109375" defaultRowHeight="12.75"/>
  <cols>
    <col min="1" max="1" width="8.28515625" style="156" customWidth="1"/>
    <col min="2" max="2" width="18.7109375" style="157" customWidth="1"/>
    <col min="3" max="4" width="10.7109375" style="150" customWidth="1"/>
    <col min="5" max="5" width="10.140625" style="150" customWidth="1"/>
    <col min="6" max="6" width="14.7109375" style="158" customWidth="1"/>
    <col min="7" max="7" width="11.140625" style="150" bestFit="1" customWidth="1"/>
    <col min="8" max="8" width="2.140625" style="150" customWidth="1"/>
    <col min="9" max="9" width="14.140625" style="150" customWidth="1"/>
    <col min="10" max="10" width="19.140625" style="150" customWidth="1"/>
    <col min="11" max="16384" width="10.7109375" style="150"/>
  </cols>
  <sheetData>
    <row r="1" spans="1:9">
      <c r="A1" s="903" t="s">
        <v>103</v>
      </c>
      <c r="B1" s="903"/>
      <c r="C1" s="903"/>
      <c r="D1" s="903"/>
      <c r="E1" s="903"/>
      <c r="F1" s="903"/>
      <c r="G1" s="903"/>
      <c r="H1" s="903"/>
    </row>
    <row r="2" spans="1:9">
      <c r="A2" s="904" t="s">
        <v>116</v>
      </c>
      <c r="B2" s="904"/>
      <c r="C2" s="904"/>
      <c r="D2" s="904"/>
      <c r="E2" s="904"/>
      <c r="F2" s="904"/>
      <c r="G2" s="904"/>
      <c r="H2" s="904"/>
    </row>
    <row r="3" spans="1:9">
      <c r="A3" s="904" t="s">
        <v>202</v>
      </c>
      <c r="B3" s="904"/>
      <c r="C3" s="904"/>
      <c r="D3" s="904"/>
      <c r="E3" s="904"/>
      <c r="F3" s="904"/>
      <c r="G3" s="904"/>
      <c r="H3" s="904"/>
    </row>
    <row r="4" spans="1:9">
      <c r="A4" s="905" t="str">
        <f>'ROO INPUT'!A5:C5</f>
        <v>TWELVE MONTHS ENDED DECEMBER 31, 2016</v>
      </c>
      <c r="B4" s="905"/>
      <c r="C4" s="905"/>
      <c r="D4" s="905"/>
      <c r="E4" s="905"/>
      <c r="F4" s="905"/>
      <c r="G4" s="905"/>
      <c r="H4" s="905"/>
    </row>
    <row r="5" spans="1:9">
      <c r="A5" s="906" t="s">
        <v>106</v>
      </c>
      <c r="B5" s="906"/>
      <c r="C5" s="906"/>
      <c r="D5" s="906"/>
      <c r="E5" s="906"/>
      <c r="F5" s="906"/>
      <c r="G5" s="906"/>
      <c r="H5" s="906"/>
    </row>
    <row r="6" spans="1:9" ht="13.5" thickBot="1">
      <c r="A6" s="151"/>
      <c r="B6" s="152"/>
      <c r="C6" s="153"/>
      <c r="D6" s="154"/>
      <c r="E6" s="154"/>
      <c r="F6" s="154"/>
      <c r="I6" s="155" t="s">
        <v>173</v>
      </c>
    </row>
    <row r="7" spans="1:9" ht="13.5" thickBot="1">
      <c r="C7" s="158"/>
      <c r="D7" s="158"/>
      <c r="E7" s="900" t="s">
        <v>116</v>
      </c>
      <c r="F7" s="901"/>
      <c r="G7" s="902"/>
      <c r="I7" s="155" t="s">
        <v>174</v>
      </c>
    </row>
    <row r="8" spans="1:9">
      <c r="C8" s="158"/>
      <c r="D8" s="158"/>
      <c r="E8" s="156"/>
      <c r="F8" s="260"/>
      <c r="G8" s="260"/>
      <c r="I8" s="155"/>
    </row>
    <row r="9" spans="1:9">
      <c r="C9" s="158"/>
      <c r="D9" s="158"/>
      <c r="E9" s="159" t="s">
        <v>19</v>
      </c>
      <c r="F9" s="155" t="s">
        <v>387</v>
      </c>
      <c r="G9" s="155" t="s">
        <v>388</v>
      </c>
      <c r="I9" s="155" t="s">
        <v>175</v>
      </c>
    </row>
    <row r="10" spans="1:9">
      <c r="B10" s="160" t="s">
        <v>107</v>
      </c>
      <c r="C10" s="158"/>
      <c r="D10" s="158"/>
      <c r="E10" s="161" t="s">
        <v>176</v>
      </c>
      <c r="F10" s="162" t="s">
        <v>108</v>
      </c>
      <c r="G10" s="162" t="s">
        <v>177</v>
      </c>
      <c r="I10" s="162" t="str">
        <f>F10</f>
        <v>Adjustments</v>
      </c>
    </row>
    <row r="11" spans="1:9">
      <c r="A11" s="156">
        <f>'ADJ SUMMARY'!A8</f>
        <v>1</v>
      </c>
      <c r="B11" s="157" t="str">
        <f>'ADJ SUMMARY'!C8</f>
        <v>Per Results Report</v>
      </c>
      <c r="C11" s="158"/>
      <c r="D11" s="158"/>
      <c r="E11" s="163">
        <f>'ADJ SUMMARY'!E8</f>
        <v>287787</v>
      </c>
      <c r="F11" s="163"/>
      <c r="G11" s="210">
        <f>SUM(E11:F11)</f>
        <v>287787</v>
      </c>
      <c r="H11" s="210"/>
      <c r="I11" s="210">
        <f>ROUND(E11*$E$45*-$E$52,0)-(E49*-E52)</f>
        <v>-90.200000000000273</v>
      </c>
    </row>
    <row r="12" spans="1:9">
      <c r="A12" s="156">
        <f>'ADJ SUMMARY'!A9</f>
        <v>1.01</v>
      </c>
      <c r="B12" s="157" t="str">
        <f>'ADJ SUMMARY'!C9</f>
        <v>Deferred FIT Rate Base</v>
      </c>
      <c r="C12" s="158"/>
      <c r="D12" s="158"/>
      <c r="E12" s="210"/>
      <c r="F12" s="163">
        <f>'ADJ SUMMARY'!E9</f>
        <v>-325</v>
      </c>
      <c r="G12" s="210">
        <f>SUM(E12:F12)</f>
        <v>-325</v>
      </c>
      <c r="H12" s="210"/>
      <c r="I12" s="210">
        <f>ROUND(F12*$E$45*-$E$52,0)</f>
        <v>3</v>
      </c>
    </row>
    <row r="13" spans="1:9">
      <c r="A13" s="156">
        <f>'ADJ SUMMARY'!A10</f>
        <v>1.02</v>
      </c>
      <c r="B13" s="157" t="str">
        <f>'ADJ SUMMARY'!C10</f>
        <v>Deferred Debits and Credits</v>
      </c>
      <c r="C13" s="158"/>
      <c r="D13" s="158"/>
      <c r="E13" s="210"/>
      <c r="F13" s="163">
        <f>'ADJ SUMMARY'!E10</f>
        <v>0</v>
      </c>
      <c r="G13" s="210">
        <f>SUM(E13:F13)</f>
        <v>0</v>
      </c>
      <c r="H13" s="210"/>
      <c r="I13" s="210">
        <f>ROUND(F13*$E$45*-$E$52,0)</f>
        <v>0</v>
      </c>
    </row>
    <row r="14" spans="1:9">
      <c r="A14" s="156">
        <f>'ADJ SUMMARY'!A11</f>
        <v>1.03</v>
      </c>
      <c r="B14" s="157" t="str">
        <f>'ADJ SUMMARY'!C11</f>
        <v>Working Capital</v>
      </c>
      <c r="C14" s="158"/>
      <c r="D14" s="158"/>
      <c r="E14" s="210"/>
      <c r="F14" s="163">
        <f>'ADJ SUMMARY'!E11</f>
        <v>-864</v>
      </c>
      <c r="G14" s="210">
        <f>SUM(E14:F14)</f>
        <v>-864</v>
      </c>
      <c r="H14" s="210"/>
      <c r="I14" s="210">
        <f>ROUND(F14*$E$45*-$E$52,0)</f>
        <v>8</v>
      </c>
    </row>
    <row r="15" spans="1:9">
      <c r="A15" s="156">
        <f>'ADJ SUMMARY'!A12</f>
        <v>2.0099999999999998</v>
      </c>
      <c r="B15" s="157" t="str">
        <f>'ADJ SUMMARY'!C12</f>
        <v>Eliminate B &amp; O Taxes</v>
      </c>
      <c r="C15" s="158"/>
      <c r="D15" s="158"/>
      <c r="E15" s="210"/>
      <c r="F15" s="163">
        <f>'ADJ SUMMARY'!E12</f>
        <v>0</v>
      </c>
      <c r="G15" s="210">
        <f>SUM(E15:F15)</f>
        <v>0</v>
      </c>
      <c r="H15" s="210"/>
      <c r="I15" s="210">
        <f>ROUND(F15*$E$45*-$E$52,0)</f>
        <v>0</v>
      </c>
    </row>
    <row r="16" spans="1:9">
      <c r="A16" s="156">
        <f>'ADJ SUMMARY'!A13</f>
        <v>2.0199999999999996</v>
      </c>
      <c r="B16" s="157" t="str">
        <f>'ADJ SUMMARY'!C13</f>
        <v>Restate Property Tax</v>
      </c>
      <c r="C16" s="158"/>
      <c r="D16" s="158"/>
      <c r="E16" s="210"/>
      <c r="F16" s="163">
        <f>'ADJ SUMMARY'!E13</f>
        <v>0</v>
      </c>
      <c r="G16" s="210">
        <f t="shared" ref="G16:G29" si="0">SUM(E16:F16)</f>
        <v>0</v>
      </c>
      <c r="H16" s="210"/>
      <c r="I16" s="210">
        <f t="shared" ref="I16:I29" si="1">ROUND(F16*$E$45*-$E$52,0)</f>
        <v>0</v>
      </c>
    </row>
    <row r="17" spans="1:9">
      <c r="A17" s="156">
        <f>'ADJ SUMMARY'!A14</f>
        <v>2.0299999999999994</v>
      </c>
      <c r="B17" s="157" t="str">
        <f>'ADJ SUMMARY'!C14</f>
        <v>Uncollectible Expense</v>
      </c>
      <c r="C17" s="158"/>
      <c r="D17" s="158"/>
      <c r="E17" s="210"/>
      <c r="F17" s="163">
        <f>'ADJ SUMMARY'!E14</f>
        <v>0</v>
      </c>
      <c r="G17" s="210">
        <f t="shared" si="0"/>
        <v>0</v>
      </c>
      <c r="H17" s="210"/>
      <c r="I17" s="210">
        <f t="shared" si="1"/>
        <v>0</v>
      </c>
    </row>
    <row r="18" spans="1:9">
      <c r="A18" s="156">
        <f>'ADJ SUMMARY'!A15</f>
        <v>2.0399999999999991</v>
      </c>
      <c r="B18" s="157" t="str">
        <f>'ADJ SUMMARY'!C15</f>
        <v>Regulatory Expense</v>
      </c>
      <c r="C18" s="158"/>
      <c r="D18" s="158"/>
      <c r="E18" s="210"/>
      <c r="F18" s="163">
        <f>'ADJ SUMMARY'!E15</f>
        <v>0</v>
      </c>
      <c r="G18" s="210">
        <f t="shared" si="0"/>
        <v>0</v>
      </c>
      <c r="H18" s="210"/>
      <c r="I18" s="210">
        <f t="shared" si="1"/>
        <v>0</v>
      </c>
    </row>
    <row r="19" spans="1:9">
      <c r="A19" s="156">
        <f>'ADJ SUMMARY'!A16</f>
        <v>2.0499999999999989</v>
      </c>
      <c r="B19" s="157" t="str">
        <f>'ADJ SUMMARY'!C16</f>
        <v>Injuries &amp; Damages</v>
      </c>
      <c r="C19" s="158"/>
      <c r="D19" s="158"/>
      <c r="E19" s="210"/>
      <c r="F19" s="163">
        <f>'ADJ SUMMARY'!E16</f>
        <v>0</v>
      </c>
      <c r="G19" s="210">
        <f t="shared" si="0"/>
        <v>0</v>
      </c>
      <c r="H19" s="210"/>
      <c r="I19" s="210">
        <f t="shared" si="1"/>
        <v>0</v>
      </c>
    </row>
    <row r="20" spans="1:9">
      <c r="A20" s="156">
        <f>'ADJ SUMMARY'!A17</f>
        <v>2.0599999999999987</v>
      </c>
      <c r="B20" s="157" t="str">
        <f>'ADJ SUMMARY'!C17</f>
        <v>FIT / DFIT Expense</v>
      </c>
      <c r="C20" s="158"/>
      <c r="D20" s="158"/>
      <c r="E20" s="210"/>
      <c r="F20" s="163">
        <f>'ADJ SUMMARY'!E17</f>
        <v>0</v>
      </c>
      <c r="G20" s="210">
        <f t="shared" si="0"/>
        <v>0</v>
      </c>
      <c r="H20" s="210"/>
      <c r="I20" s="210">
        <f t="shared" si="1"/>
        <v>0</v>
      </c>
    </row>
    <row r="21" spans="1:9">
      <c r="A21" s="156">
        <f>'ADJ SUMMARY'!A18</f>
        <v>2.0699999999999985</v>
      </c>
      <c r="B21" s="157" t="str">
        <f>'ADJ SUMMARY'!C18</f>
        <v>Office Space Charges to Subs</v>
      </c>
      <c r="C21" s="158"/>
      <c r="D21" s="158"/>
      <c r="E21" s="210"/>
      <c r="F21" s="163">
        <f>'ADJ SUMMARY'!E18</f>
        <v>0</v>
      </c>
      <c r="G21" s="210">
        <f t="shared" si="0"/>
        <v>0</v>
      </c>
      <c r="H21" s="210"/>
      <c r="I21" s="210">
        <f t="shared" si="1"/>
        <v>0</v>
      </c>
    </row>
    <row r="22" spans="1:9">
      <c r="A22" s="156">
        <f>'ADJ SUMMARY'!A19</f>
        <v>2.0799999999999983</v>
      </c>
      <c r="B22" s="157" t="str">
        <f>'ADJ SUMMARY'!C19</f>
        <v>Restate Excise Taxes</v>
      </c>
      <c r="C22" s="158"/>
      <c r="D22" s="158"/>
      <c r="E22" s="210"/>
      <c r="F22" s="163">
        <f>'ADJ SUMMARY'!E19</f>
        <v>0</v>
      </c>
      <c r="G22" s="210">
        <f t="shared" si="0"/>
        <v>0</v>
      </c>
      <c r="H22" s="210"/>
      <c r="I22" s="210">
        <f t="shared" si="1"/>
        <v>0</v>
      </c>
    </row>
    <row r="23" spans="1:9">
      <c r="A23" s="156">
        <f>'ADJ SUMMARY'!A20</f>
        <v>2.0899999999999981</v>
      </c>
      <c r="B23" s="157" t="str">
        <f>'ADJ SUMMARY'!C20</f>
        <v>Net Gains &amp; Losses</v>
      </c>
      <c r="C23" s="158"/>
      <c r="D23" s="158"/>
      <c r="E23" s="210"/>
      <c r="F23" s="163">
        <f>'ADJ SUMMARY'!E20</f>
        <v>0</v>
      </c>
      <c r="G23" s="210">
        <f t="shared" si="0"/>
        <v>0</v>
      </c>
      <c r="H23" s="210"/>
      <c r="I23" s="210">
        <f t="shared" si="1"/>
        <v>0</v>
      </c>
    </row>
    <row r="24" spans="1:9">
      <c r="A24" s="156">
        <f>'ADJ SUMMARY'!A21</f>
        <v>2.0999999999999979</v>
      </c>
      <c r="B24" s="157" t="str">
        <f>'ADJ SUMMARY'!C21</f>
        <v>Weather Normalization / Gas Cost Adjust</v>
      </c>
      <c r="C24" s="158"/>
      <c r="D24" s="158"/>
      <c r="E24" s="210"/>
      <c r="F24" s="163">
        <f>'ADJ SUMMARY'!E21</f>
        <v>0</v>
      </c>
      <c r="G24" s="210">
        <f t="shared" si="0"/>
        <v>0</v>
      </c>
      <c r="H24" s="210"/>
      <c r="I24" s="210">
        <f t="shared" si="1"/>
        <v>0</v>
      </c>
    </row>
    <row r="25" spans="1:9">
      <c r="A25" s="156">
        <f>'ADJ SUMMARY'!A22</f>
        <v>2.1099999999999977</v>
      </c>
      <c r="B25" s="157" t="str">
        <f>'ADJ SUMMARY'!C22</f>
        <v>Eliminate Adder Schedules</v>
      </c>
      <c r="C25" s="158"/>
      <c r="D25" s="158"/>
      <c r="E25" s="210"/>
      <c r="F25" s="163">
        <f>'ADJ SUMMARY'!E22</f>
        <v>0</v>
      </c>
      <c r="G25" s="210">
        <f t="shared" si="0"/>
        <v>0</v>
      </c>
      <c r="H25" s="210"/>
      <c r="I25" s="210">
        <f t="shared" si="1"/>
        <v>0</v>
      </c>
    </row>
    <row r="26" spans="1:9">
      <c r="A26" s="156">
        <f>'ADJ SUMMARY'!A23</f>
        <v>2.1199999999999974</v>
      </c>
      <c r="B26" s="157" t="str">
        <f>'ADJ SUMMARY'!C23</f>
        <v>Misc. Restating Non-Util / Non- Recurring Expenses</v>
      </c>
      <c r="C26" s="158"/>
      <c r="D26" s="158"/>
      <c r="E26" s="210"/>
      <c r="F26" s="163">
        <f>'ADJ SUMMARY'!E23</f>
        <v>0</v>
      </c>
      <c r="G26" s="210">
        <f t="shared" si="0"/>
        <v>0</v>
      </c>
      <c r="H26" s="210"/>
      <c r="I26" s="210">
        <f t="shared" si="1"/>
        <v>0</v>
      </c>
    </row>
    <row r="27" spans="1:9">
      <c r="A27" s="156">
        <f>'ADJ SUMMARY'!A24</f>
        <v>2.1299999999999972</v>
      </c>
      <c r="B27" s="157" t="str">
        <f>'ADJ SUMMARY'!C24</f>
        <v>Project Compass Deferral</v>
      </c>
      <c r="C27" s="158"/>
      <c r="D27" s="158"/>
      <c r="E27" s="210"/>
      <c r="F27" s="163">
        <f>'ADJ SUMMARY'!E24</f>
        <v>0</v>
      </c>
      <c r="G27" s="210">
        <f t="shared" si="0"/>
        <v>0</v>
      </c>
      <c r="H27" s="210"/>
      <c r="I27" s="210">
        <f t="shared" si="1"/>
        <v>0</v>
      </c>
    </row>
    <row r="28" spans="1:9">
      <c r="A28" s="156">
        <f>'ADJ SUMMARY'!A25</f>
        <v>2.139999999999997</v>
      </c>
      <c r="B28" s="157" t="str">
        <f>'ADJ SUMMARY'!C25</f>
        <v>Restating Incentives</v>
      </c>
      <c r="C28" s="158"/>
      <c r="D28" s="158"/>
      <c r="E28" s="210"/>
      <c r="F28" s="163">
        <f>'ADJ SUMMARY'!E25</f>
        <v>0</v>
      </c>
      <c r="G28" s="210">
        <f t="shared" si="0"/>
        <v>0</v>
      </c>
      <c r="H28" s="210"/>
      <c r="I28" s="210">
        <f t="shared" si="1"/>
        <v>0</v>
      </c>
    </row>
    <row r="29" spans="1:9">
      <c r="A29" s="156">
        <f>'ADJ SUMMARY'!A26</f>
        <v>2.1499999999999968</v>
      </c>
      <c r="B29" s="157" t="str">
        <f>'ADJ SUMMARY'!C26</f>
        <v>Restate Debt Interest</v>
      </c>
      <c r="C29" s="158"/>
      <c r="D29" s="158"/>
      <c r="E29" s="210"/>
      <c r="F29" s="163">
        <f>'ADJ SUMMARY'!E26</f>
        <v>0</v>
      </c>
      <c r="G29" s="210">
        <f t="shared" si="0"/>
        <v>0</v>
      </c>
      <c r="H29" s="210"/>
      <c r="I29" s="210">
        <f t="shared" si="1"/>
        <v>0</v>
      </c>
    </row>
    <row r="30" spans="1:9" ht="13.5" customHeight="1">
      <c r="A30" s="156">
        <f>'ADJ SUMMARY'!A30</f>
        <v>0</v>
      </c>
      <c r="B30" s="157">
        <f>'ADJ SUMMARY'!C30</f>
        <v>0</v>
      </c>
      <c r="C30" s="158"/>
      <c r="D30" s="158"/>
      <c r="E30" s="210"/>
      <c r="F30" s="163">
        <f>'ADJ SUMMARY'!E30</f>
        <v>0</v>
      </c>
      <c r="G30" s="210">
        <f>SUM(E30:F30)</f>
        <v>0</v>
      </c>
      <c r="H30" s="210"/>
      <c r="I30" s="210">
        <f t="shared" ref="I30:I40" si="2">ROUND(F30*$E$45*-$E$52,0)</f>
        <v>0</v>
      </c>
    </row>
    <row r="31" spans="1:9" ht="13.5" customHeight="1">
      <c r="A31" s="156">
        <f>'ADJ SUMMARY'!A31</f>
        <v>0</v>
      </c>
      <c r="B31" s="157">
        <f>'ADJ SUMMARY'!C31</f>
        <v>0</v>
      </c>
      <c r="C31" s="158"/>
      <c r="D31" s="158"/>
      <c r="E31" s="210"/>
      <c r="F31" s="163">
        <f>'ADJ SUMMARY'!E31</f>
        <v>0</v>
      </c>
      <c r="G31" s="210">
        <f t="shared" ref="G31:G40" si="3">SUM(E31:F31)</f>
        <v>0</v>
      </c>
      <c r="H31" s="210"/>
      <c r="I31" s="210">
        <f t="shared" si="2"/>
        <v>0</v>
      </c>
    </row>
    <row r="32" spans="1:9" ht="13.5" customHeight="1">
      <c r="A32" s="156">
        <f>'ADJ SUMMARY'!A32</f>
        <v>0</v>
      </c>
      <c r="B32" s="157">
        <f>'ADJ SUMMARY'!C32</f>
        <v>0</v>
      </c>
      <c r="C32" s="158"/>
      <c r="D32" s="158"/>
      <c r="E32" s="210"/>
      <c r="F32" s="163">
        <f>'ADJ SUMMARY'!E32</f>
        <v>0</v>
      </c>
      <c r="G32" s="210">
        <f t="shared" si="3"/>
        <v>0</v>
      </c>
      <c r="H32" s="210"/>
      <c r="I32" s="210">
        <f t="shared" si="2"/>
        <v>0</v>
      </c>
    </row>
    <row r="33" spans="1:9" ht="13.5" customHeight="1">
      <c r="A33" s="156">
        <f>'ADJ SUMMARY'!A33</f>
        <v>0</v>
      </c>
      <c r="B33" s="157">
        <f>'ADJ SUMMARY'!C33</f>
        <v>0</v>
      </c>
      <c r="C33" s="158"/>
      <c r="D33" s="158"/>
      <c r="E33" s="210"/>
      <c r="F33" s="163">
        <f>'ADJ SUMMARY'!E33</f>
        <v>0</v>
      </c>
      <c r="G33" s="210">
        <f t="shared" si="3"/>
        <v>0</v>
      </c>
      <c r="H33" s="210"/>
      <c r="I33" s="210">
        <f t="shared" si="2"/>
        <v>0</v>
      </c>
    </row>
    <row r="34" spans="1:9" ht="13.5" customHeight="1">
      <c r="A34" s="156">
        <f>'ADJ SUMMARY'!A34</f>
        <v>0</v>
      </c>
      <c r="B34" s="157">
        <f>'ADJ SUMMARY'!C34</f>
        <v>0</v>
      </c>
      <c r="C34" s="158"/>
      <c r="D34" s="158"/>
      <c r="E34" s="210"/>
      <c r="F34" s="163">
        <f>'ADJ SUMMARY'!E34</f>
        <v>0</v>
      </c>
      <c r="G34" s="210">
        <f t="shared" si="3"/>
        <v>0</v>
      </c>
      <c r="H34" s="210"/>
      <c r="I34" s="210">
        <f t="shared" si="2"/>
        <v>0</v>
      </c>
    </row>
    <row r="35" spans="1:9" ht="13.5" customHeight="1">
      <c r="A35" s="156">
        <f>'ADJ SUMMARY'!A35</f>
        <v>0</v>
      </c>
      <c r="B35" s="157">
        <f>'ADJ SUMMARY'!C35</f>
        <v>0</v>
      </c>
      <c r="C35" s="158"/>
      <c r="D35" s="158"/>
      <c r="E35" s="210"/>
      <c r="F35" s="163">
        <f>'ADJ SUMMARY'!E35</f>
        <v>0</v>
      </c>
      <c r="G35" s="210">
        <f t="shared" si="3"/>
        <v>0</v>
      </c>
      <c r="H35" s="210"/>
      <c r="I35" s="210">
        <f t="shared" si="2"/>
        <v>0</v>
      </c>
    </row>
    <row r="36" spans="1:9" ht="13.5" customHeight="1">
      <c r="A36" s="156">
        <f>'ADJ SUMMARY'!A36</f>
        <v>0</v>
      </c>
      <c r="B36" s="157">
        <f>'ADJ SUMMARY'!C36</f>
        <v>0</v>
      </c>
      <c r="C36" s="158"/>
      <c r="D36" s="158"/>
      <c r="E36" s="210"/>
      <c r="F36" s="163">
        <f>'ADJ SUMMARY'!E36</f>
        <v>0</v>
      </c>
      <c r="G36" s="210">
        <f t="shared" si="3"/>
        <v>0</v>
      </c>
      <c r="H36" s="210"/>
      <c r="I36" s="210">
        <f t="shared" si="2"/>
        <v>0</v>
      </c>
    </row>
    <row r="37" spans="1:9" ht="13.5" customHeight="1">
      <c r="A37" s="156">
        <f>'ADJ SUMMARY'!A37</f>
        <v>0</v>
      </c>
      <c r="B37" s="157">
        <f>'ADJ SUMMARY'!C37</f>
        <v>0</v>
      </c>
      <c r="C37" s="158"/>
      <c r="D37" s="158"/>
      <c r="E37" s="210"/>
      <c r="F37" s="163">
        <f>'ADJ SUMMARY'!E37</f>
        <v>0</v>
      </c>
      <c r="G37" s="210">
        <f t="shared" si="3"/>
        <v>0</v>
      </c>
      <c r="H37" s="210"/>
      <c r="I37" s="210">
        <f t="shared" si="2"/>
        <v>0</v>
      </c>
    </row>
    <row r="38" spans="1:9" ht="13.5" customHeight="1">
      <c r="A38" s="156">
        <f>'ADJ SUMMARY'!A38</f>
        <v>0</v>
      </c>
      <c r="B38" s="157">
        <f>'ADJ SUMMARY'!C38</f>
        <v>0</v>
      </c>
      <c r="C38" s="158"/>
      <c r="D38" s="158"/>
      <c r="E38" s="210"/>
      <c r="F38" s="163">
        <f>'ADJ SUMMARY'!E38</f>
        <v>0</v>
      </c>
      <c r="G38" s="210">
        <f t="shared" si="3"/>
        <v>0</v>
      </c>
      <c r="H38" s="210"/>
      <c r="I38" s="210">
        <f t="shared" si="2"/>
        <v>0</v>
      </c>
    </row>
    <row r="39" spans="1:9" ht="13.5" customHeight="1">
      <c r="A39" s="156">
        <f>'ADJ SUMMARY'!A39</f>
        <v>0</v>
      </c>
      <c r="B39" s="157">
        <f>'ADJ SUMMARY'!C39</f>
        <v>0</v>
      </c>
      <c r="C39" s="158"/>
      <c r="D39" s="158"/>
      <c r="E39" s="210"/>
      <c r="F39" s="163">
        <f>'ADJ SUMMARY'!E39</f>
        <v>0</v>
      </c>
      <c r="G39" s="210">
        <f t="shared" si="3"/>
        <v>0</v>
      </c>
      <c r="H39" s="210"/>
      <c r="I39" s="210">
        <f t="shared" si="2"/>
        <v>0</v>
      </c>
    </row>
    <row r="40" spans="1:9" ht="13.5" customHeight="1">
      <c r="A40" s="156">
        <f>'ADJ SUMMARY'!A40</f>
        <v>0</v>
      </c>
      <c r="B40" s="157">
        <f>'ADJ SUMMARY'!C40</f>
        <v>0</v>
      </c>
      <c r="C40" s="158"/>
      <c r="D40" s="158"/>
      <c r="E40" s="210"/>
      <c r="F40" s="163">
        <f>'ADJ SUMMARY'!E40</f>
        <v>0</v>
      </c>
      <c r="G40" s="210">
        <f t="shared" si="3"/>
        <v>0</v>
      </c>
      <c r="H40" s="210"/>
      <c r="I40" s="210">
        <f t="shared" si="2"/>
        <v>0</v>
      </c>
    </row>
    <row r="41" spans="1:9" ht="13.5" customHeight="1">
      <c r="A41" s="156">
        <f>'ADJ SUMMARY'!A41</f>
        <v>0</v>
      </c>
      <c r="B41" s="157">
        <f>'ADJ SUMMARY'!C41</f>
        <v>0</v>
      </c>
      <c r="C41" s="158"/>
      <c r="D41" s="158"/>
      <c r="E41" s="210"/>
      <c r="F41" s="163">
        <f>'ADJ SUMMARY'!E41</f>
        <v>0</v>
      </c>
      <c r="G41" s="210">
        <f>SUM(E41:F41)</f>
        <v>0</v>
      </c>
      <c r="H41" s="210"/>
      <c r="I41" s="210">
        <f>ROUND(F41*$E$45*-$E$52,0)</f>
        <v>0</v>
      </c>
    </row>
    <row r="42" spans="1:9" ht="13.5" customHeight="1">
      <c r="A42" s="473">
        <f>'ADJ SUMMARY'!A42</f>
        <v>0</v>
      </c>
      <c r="B42" s="160">
        <f>'ADJ SUMMARY'!C42</f>
        <v>0</v>
      </c>
      <c r="C42" s="474"/>
      <c r="D42" s="474"/>
      <c r="E42" s="475"/>
      <c r="F42" s="476">
        <f>'ADJ SUMMARY'!E42</f>
        <v>0</v>
      </c>
      <c r="G42" s="475">
        <f>SUM(E42:F42)</f>
        <v>0</v>
      </c>
      <c r="H42" s="475"/>
      <c r="I42" s="475">
        <f>ROUND(F42*$E$45*-$E$52,0)</f>
        <v>0</v>
      </c>
    </row>
    <row r="43" spans="1:9">
      <c r="B43" s="164"/>
      <c r="C43" s="158"/>
      <c r="D43" s="158"/>
      <c r="E43" s="211">
        <f>SUM(E11:E42)</f>
        <v>287787</v>
      </c>
      <c r="F43" s="211">
        <f>SUM(F11:F42)</f>
        <v>-1189</v>
      </c>
      <c r="G43" s="211">
        <f>SUM(G11:G42)</f>
        <v>286598</v>
      </c>
      <c r="H43" s="211"/>
      <c r="I43" s="211"/>
    </row>
    <row r="44" spans="1:9" ht="5.25" customHeight="1">
      <c r="C44" s="158"/>
      <c r="D44" s="158"/>
      <c r="E44" s="211"/>
      <c r="F44" s="211"/>
      <c r="G44" s="211"/>
      <c r="H44" s="210"/>
      <c r="I44" s="210"/>
    </row>
    <row r="45" spans="1:9">
      <c r="B45" s="157" t="s">
        <v>114</v>
      </c>
      <c r="C45" s="158"/>
      <c r="D45" s="158"/>
      <c r="E45" s="218">
        <f>'Coat of Capital'!P13</f>
        <v>2.81E-2</v>
      </c>
      <c r="F45" s="218">
        <f>E45-I45</f>
        <v>2.81E-2</v>
      </c>
      <c r="G45" s="218"/>
      <c r="H45" s="216"/>
      <c r="I45" s="218"/>
    </row>
    <row r="46" spans="1:9" ht="6" customHeight="1">
      <c r="C46" s="158"/>
      <c r="D46" s="158"/>
      <c r="E46" s="211"/>
      <c r="F46" s="211"/>
      <c r="G46" s="211"/>
      <c r="H46" s="210"/>
      <c r="I46" s="210"/>
    </row>
    <row r="47" spans="1:9">
      <c r="B47" s="157" t="s">
        <v>109</v>
      </c>
      <c r="C47" s="158"/>
      <c r="D47" s="158"/>
      <c r="E47" s="211">
        <f>E43*E45</f>
        <v>8086.8146999999999</v>
      </c>
      <c r="F47" s="211">
        <f>F43*F45</f>
        <v>-33.410899999999998</v>
      </c>
      <c r="G47" s="211">
        <f>SUM(E47:F47)</f>
        <v>8053.4038</v>
      </c>
      <c r="H47" s="210"/>
      <c r="I47" s="211">
        <f>SUM(I11:I42)</f>
        <v>-79.200000000000273</v>
      </c>
    </row>
    <row r="48" spans="1:9">
      <c r="C48" s="158"/>
      <c r="D48" s="158"/>
      <c r="E48" s="211"/>
      <c r="F48" s="211"/>
      <c r="G48" s="211"/>
      <c r="H48" s="210"/>
      <c r="I48" s="211"/>
    </row>
    <row r="49" spans="1:10">
      <c r="B49" s="157" t="s">
        <v>203</v>
      </c>
      <c r="C49" s="158"/>
      <c r="D49" s="158"/>
      <c r="E49" s="213">
        <v>7828</v>
      </c>
      <c r="F49" s="213"/>
      <c r="G49" s="212">
        <f>SUM(E49:F49)</f>
        <v>7828</v>
      </c>
      <c r="H49" s="210"/>
      <c r="I49" s="258"/>
    </row>
    <row r="50" spans="1:10" ht="5.25" customHeight="1">
      <c r="C50" s="158"/>
      <c r="D50" s="158"/>
      <c r="E50" s="211"/>
      <c r="F50" s="211"/>
      <c r="G50" s="211"/>
      <c r="H50" s="210"/>
      <c r="I50" s="259"/>
    </row>
    <row r="51" spans="1:10">
      <c r="B51" s="157" t="s">
        <v>110</v>
      </c>
      <c r="C51" s="158"/>
      <c r="D51" s="158"/>
      <c r="E51" s="211">
        <f>E47-E49</f>
        <v>258.8146999999999</v>
      </c>
      <c r="F51" s="211">
        <f>F47-F49</f>
        <v>-33.410899999999998</v>
      </c>
      <c r="G51" s="211">
        <f>SUM(E51:F51)</f>
        <v>225.4037999999999</v>
      </c>
      <c r="H51" s="210"/>
      <c r="I51" s="259"/>
    </row>
    <row r="52" spans="1:10" ht="18" customHeight="1">
      <c r="B52" s="157" t="s">
        <v>111</v>
      </c>
      <c r="D52" s="158"/>
      <c r="E52" s="215">
        <v>0.35</v>
      </c>
      <c r="F52" s="215">
        <v>0.35</v>
      </c>
      <c r="G52" s="215"/>
      <c r="H52" s="216"/>
      <c r="I52" s="215"/>
    </row>
    <row r="53" spans="1:10" ht="5.25" customHeight="1" thickBot="1">
      <c r="D53" s="158"/>
      <c r="E53" s="211"/>
      <c r="F53" s="211"/>
      <c r="G53" s="211"/>
      <c r="H53" s="210"/>
      <c r="I53" s="211"/>
    </row>
    <row r="54" spans="1:10" ht="13.5" thickBot="1">
      <c r="B54" s="157" t="s">
        <v>112</v>
      </c>
      <c r="D54" s="158"/>
      <c r="E54" s="261">
        <f>ROUND(E51*-E52,0)</f>
        <v>-91</v>
      </c>
      <c r="F54" s="214">
        <f>ROUND(F51*-F52,0)</f>
        <v>12</v>
      </c>
      <c r="G54" s="214">
        <f>SUM(E54:F54)</f>
        <v>-79</v>
      </c>
      <c r="H54" s="210"/>
      <c r="I54" s="214">
        <f>I47</f>
        <v>-79.200000000000273</v>
      </c>
      <c r="J54" s="462" t="s">
        <v>386</v>
      </c>
    </row>
    <row r="55" spans="1:10">
      <c r="F55" s="166"/>
      <c r="J55" s="463">
        <f>'ADJ DETAIL INPUT-Restated CB'!W54+'ADJ DETAIL INPUT-Restated CB'!X55-I54</f>
        <v>-0.10618499999972641</v>
      </c>
    </row>
    <row r="56" spans="1:10" hidden="1">
      <c r="A56" s="167" t="s">
        <v>178</v>
      </c>
      <c r="B56" s="168" t="s">
        <v>179</v>
      </c>
    </row>
    <row r="57" spans="1:10" hidden="1">
      <c r="B57" s="160" t="s">
        <v>180</v>
      </c>
    </row>
    <row r="58" spans="1:10" hidden="1">
      <c r="B58" s="157" t="s">
        <v>181</v>
      </c>
      <c r="C58" s="169">
        <v>2430</v>
      </c>
      <c r="H58" s="150" t="s">
        <v>182</v>
      </c>
    </row>
    <row r="59" spans="1:10" hidden="1">
      <c r="B59" s="157" t="s">
        <v>183</v>
      </c>
      <c r="C59" s="170">
        <v>2935</v>
      </c>
      <c r="H59" s="150" t="s">
        <v>182</v>
      </c>
    </row>
    <row r="60" spans="1:10" hidden="1">
      <c r="B60" s="157" t="s">
        <v>184</v>
      </c>
      <c r="C60" s="171">
        <f>C58+C59</f>
        <v>5365</v>
      </c>
    </row>
    <row r="61" spans="1:10" hidden="1">
      <c r="C61" s="165"/>
    </row>
    <row r="62" spans="1:10" hidden="1">
      <c r="C62" s="172"/>
      <c r="D62" s="155"/>
      <c r="E62" s="155" t="s">
        <v>185</v>
      </c>
    </row>
    <row r="63" spans="1:10" hidden="1">
      <c r="C63" s="162" t="s">
        <v>186</v>
      </c>
      <c r="D63" s="162" t="s">
        <v>187</v>
      </c>
      <c r="E63" s="162" t="s">
        <v>23</v>
      </c>
    </row>
    <row r="64" spans="1:10" hidden="1">
      <c r="B64" s="157" t="s">
        <v>188</v>
      </c>
      <c r="C64" s="173" t="e">
        <f>#REF!</f>
        <v>#REF!</v>
      </c>
      <c r="D64" s="174" t="e">
        <f>ROUND(C64/$C$67,4)</f>
        <v>#REF!</v>
      </c>
      <c r="E64" s="173" t="e">
        <f>D64*E67</f>
        <v>#REF!</v>
      </c>
      <c r="F64" s="175"/>
    </row>
    <row r="65" spans="1:6" hidden="1">
      <c r="B65" s="157" t="s">
        <v>189</v>
      </c>
      <c r="C65" s="176" t="e">
        <f>#REF!</f>
        <v>#REF!</v>
      </c>
      <c r="D65" s="174" t="e">
        <f>ROUND(C65/$C$67,4)</f>
        <v>#REF!</v>
      </c>
      <c r="E65" s="176" t="e">
        <f>D65*E67</f>
        <v>#REF!</v>
      </c>
    </row>
    <row r="66" spans="1:6" hidden="1">
      <c r="B66" s="157" t="s">
        <v>190</v>
      </c>
      <c r="C66" s="176" t="e">
        <f>#REF!</f>
        <v>#REF!</v>
      </c>
      <c r="D66" s="174" t="e">
        <f>ROUND(C66/$C$67,4)-0.0001</f>
        <v>#REF!</v>
      </c>
      <c r="E66" s="176" t="e">
        <f>E67*D66</f>
        <v>#REF!</v>
      </c>
    </row>
    <row r="67" spans="1:6" hidden="1">
      <c r="B67" s="157" t="s">
        <v>191</v>
      </c>
      <c r="C67" s="177" t="e">
        <f>C64+C65+C66</f>
        <v>#REF!</v>
      </c>
      <c r="D67" s="178" t="e">
        <f>D64+D65+D66</f>
        <v>#REF!</v>
      </c>
      <c r="E67" s="177">
        <f>C60</f>
        <v>5365</v>
      </c>
    </row>
    <row r="68" spans="1:6" hidden="1">
      <c r="C68" s="179"/>
      <c r="D68" s="179"/>
      <c r="E68" s="179"/>
    </row>
    <row r="69" spans="1:6" hidden="1">
      <c r="B69" s="157" t="s">
        <v>192</v>
      </c>
      <c r="C69" s="173" t="e">
        <f>#REF!</f>
        <v>#REF!</v>
      </c>
      <c r="D69" s="174" t="e">
        <f>C69/C71</f>
        <v>#REF!</v>
      </c>
      <c r="E69" s="173" t="e">
        <f>D69*E71</f>
        <v>#REF!</v>
      </c>
    </row>
    <row r="70" spans="1:6" hidden="1">
      <c r="B70" s="157" t="s">
        <v>193</v>
      </c>
      <c r="C70" s="179" t="e">
        <f>#REF!</f>
        <v>#REF!</v>
      </c>
      <c r="D70" s="174" t="e">
        <f>C70/C71</f>
        <v>#REF!</v>
      </c>
      <c r="E70" s="179" t="e">
        <f>D70*E71</f>
        <v>#REF!</v>
      </c>
    </row>
    <row r="71" spans="1:6" hidden="1">
      <c r="B71" s="157" t="s">
        <v>191</v>
      </c>
      <c r="C71" s="177" t="e">
        <f>C69+C70</f>
        <v>#REF!</v>
      </c>
      <c r="D71" s="178" t="e">
        <f>D69+D70</f>
        <v>#REF!</v>
      </c>
      <c r="E71" s="177" t="e">
        <f>E64</f>
        <v>#REF!</v>
      </c>
    </row>
    <row r="72" spans="1:6" hidden="1">
      <c r="C72" s="179"/>
      <c r="D72" s="179"/>
      <c r="E72" s="179"/>
    </row>
    <row r="73" spans="1:6" hidden="1">
      <c r="B73" s="157" t="s">
        <v>194</v>
      </c>
      <c r="C73" s="173" t="e">
        <f>#REF!</f>
        <v>#REF!</v>
      </c>
      <c r="D73" s="180" t="e">
        <f>C73/C75</f>
        <v>#REF!</v>
      </c>
      <c r="E73" s="173" t="e">
        <f>E75*D73</f>
        <v>#REF!</v>
      </c>
    </row>
    <row r="74" spans="1:6" hidden="1">
      <c r="B74" s="157" t="s">
        <v>195</v>
      </c>
      <c r="C74" s="179" t="e">
        <f>#REF!</f>
        <v>#REF!</v>
      </c>
      <c r="D74" s="181" t="e">
        <f>C74/C75</f>
        <v>#REF!</v>
      </c>
      <c r="E74" s="179" t="e">
        <f>E75*D74</f>
        <v>#REF!</v>
      </c>
    </row>
    <row r="75" spans="1:6" hidden="1">
      <c r="B75" s="157" t="s">
        <v>191</v>
      </c>
      <c r="C75" s="177" t="e">
        <f>SUM(C73:C74)</f>
        <v>#REF!</v>
      </c>
      <c r="D75" s="182" t="e">
        <f>SUM(D73:D74)</f>
        <v>#REF!</v>
      </c>
      <c r="E75" s="177" t="e">
        <f>E65</f>
        <v>#REF!</v>
      </c>
    </row>
    <row r="76" spans="1:6" hidden="1">
      <c r="A76" s="183" t="str">
        <f>A1</f>
        <v>AVISTA UTILITIES</v>
      </c>
      <c r="C76" s="184"/>
      <c r="D76" s="185"/>
      <c r="E76" s="184"/>
      <c r="F76" s="185"/>
    </row>
    <row r="77" spans="1:6" hidden="1">
      <c r="A77" s="183" t="str">
        <f>A2</f>
        <v>Restate Debt Interest</v>
      </c>
      <c r="C77" s="184"/>
      <c r="D77" s="185"/>
      <c r="E77" s="184"/>
      <c r="F77" s="185"/>
    </row>
    <row r="78" spans="1:6" hidden="1">
      <c r="A78" s="183" t="s">
        <v>196</v>
      </c>
      <c r="C78" s="184"/>
      <c r="D78" s="185"/>
      <c r="E78" s="184"/>
      <c r="F78" s="185"/>
    </row>
    <row r="79" spans="1:6" hidden="1">
      <c r="A79" s="186" t="str">
        <f>A4</f>
        <v>TWELVE MONTHS ENDED DECEMBER 31, 2016</v>
      </c>
      <c r="C79" s="153"/>
      <c r="D79" s="185"/>
      <c r="E79" s="153"/>
      <c r="F79" s="185"/>
    </row>
    <row r="80" spans="1:6" hidden="1">
      <c r="A80" s="187" t="s">
        <v>106</v>
      </c>
      <c r="C80" s="184"/>
      <c r="D80" s="185"/>
      <c r="E80" s="185"/>
      <c r="F80" s="185"/>
    </row>
    <row r="81" spans="1:6" hidden="1">
      <c r="C81" s="158"/>
      <c r="D81" s="158"/>
      <c r="E81" s="159"/>
      <c r="F81" s="155" t="s">
        <v>18</v>
      </c>
    </row>
    <row r="82" spans="1:6" hidden="1">
      <c r="B82" s="160" t="s">
        <v>107</v>
      </c>
      <c r="C82" s="158"/>
      <c r="D82" s="158"/>
      <c r="E82" s="159"/>
      <c r="F82" s="162" t="s">
        <v>108</v>
      </c>
    </row>
    <row r="83" spans="1:6" hidden="1">
      <c r="A83" s="156" t="e">
        <f>'[7]ADJ SUMMARY'!#REF!</f>
        <v>#REF!</v>
      </c>
      <c r="B83" s="157" t="e">
        <f>'[7]ADJ SUMMARY'!#REF!</f>
        <v>#REF!</v>
      </c>
      <c r="C83" s="158"/>
      <c r="D83" s="158"/>
      <c r="E83" s="165"/>
      <c r="F83" s="188" t="e">
        <f>'[7]ADJ SUMMARY'!#REF!</f>
        <v>#REF!</v>
      </c>
    </row>
    <row r="84" spans="1:6" hidden="1">
      <c r="A84" s="156" t="e">
        <f>'[7]ADJ SUMMARY'!#REF!</f>
        <v>#REF!</v>
      </c>
      <c r="B84" s="157" t="e">
        <f>'[7]ADJ SUMMARY'!#REF!</f>
        <v>#REF!</v>
      </c>
      <c r="C84" s="158"/>
      <c r="D84" s="158"/>
      <c r="E84" s="165"/>
      <c r="F84" s="188" t="e">
        <f>'[7]ADJ SUMMARY'!#REF!</f>
        <v>#REF!</v>
      </c>
    </row>
    <row r="85" spans="1:6" hidden="1">
      <c r="A85" s="156" t="e">
        <f>'[7]ADJ SUMMARY'!#REF!</f>
        <v>#REF!</v>
      </c>
      <c r="B85" s="157" t="e">
        <f>'[7]ADJ SUMMARY'!#REF!</f>
        <v>#REF!</v>
      </c>
      <c r="C85" s="158"/>
      <c r="D85" s="158"/>
      <c r="E85" s="165"/>
      <c r="F85" s="188" t="e">
        <f>'[7]ADJ SUMMARY'!#REF!</f>
        <v>#REF!</v>
      </c>
    </row>
    <row r="86" spans="1:6" hidden="1">
      <c r="A86" s="156" t="e">
        <f>'[7]ADJ SUMMARY'!#REF!</f>
        <v>#REF!</v>
      </c>
      <c r="B86" s="157" t="e">
        <f>'[7]ADJ SUMMARY'!#REF!</f>
        <v>#REF!</v>
      </c>
      <c r="C86" s="158"/>
      <c r="D86" s="158"/>
      <c r="E86" s="165"/>
      <c r="F86" s="188" t="e">
        <f>'[7]ADJ SUMMARY'!#REF!</f>
        <v>#REF!</v>
      </c>
    </row>
    <row r="87" spans="1:6" hidden="1">
      <c r="A87" s="156" t="e">
        <f>'[7]ADJ SUMMARY'!#REF!</f>
        <v>#REF!</v>
      </c>
      <c r="B87" s="157" t="e">
        <f>'[7]ADJ SUMMARY'!#REF!</f>
        <v>#REF!</v>
      </c>
      <c r="C87" s="158"/>
      <c r="D87" s="158"/>
      <c r="E87" s="165"/>
      <c r="F87" s="188" t="e">
        <f>'[7]ADJ SUMMARY'!#REF!</f>
        <v>#REF!</v>
      </c>
    </row>
    <row r="88" spans="1:6" hidden="1">
      <c r="A88" s="156" t="e">
        <f>'[7]ADJ SUMMARY'!#REF!</f>
        <v>#REF!</v>
      </c>
      <c r="B88" s="157" t="e">
        <f>'[7]ADJ SUMMARY'!#REF!</f>
        <v>#REF!</v>
      </c>
      <c r="C88" s="158"/>
      <c r="D88" s="158"/>
      <c r="E88" s="165"/>
      <c r="F88" s="188" t="e">
        <f>'[7]ADJ SUMMARY'!#REF!</f>
        <v>#REF!</v>
      </c>
    </row>
    <row r="89" spans="1:6" hidden="1">
      <c r="A89" s="156" t="e">
        <f>'[7]ADJ SUMMARY'!#REF!</f>
        <v>#REF!</v>
      </c>
      <c r="B89" s="157" t="e">
        <f>'[7]ADJ SUMMARY'!#REF!</f>
        <v>#REF!</v>
      </c>
      <c r="C89" s="158"/>
      <c r="D89" s="158"/>
      <c r="E89" s="165"/>
      <c r="F89" s="188" t="e">
        <f>'[7]ADJ SUMMARY'!#REF!</f>
        <v>#REF!</v>
      </c>
    </row>
    <row r="90" spans="1:6" hidden="1">
      <c r="A90" s="156" t="e">
        <f>'[7]ADJ SUMMARY'!#REF!</f>
        <v>#REF!</v>
      </c>
      <c r="B90" s="157" t="e">
        <f>'[7]ADJ SUMMARY'!#REF!</f>
        <v>#REF!</v>
      </c>
      <c r="C90" s="158"/>
      <c r="D90" s="158"/>
      <c r="E90" s="165"/>
      <c r="F90" s="188" t="e">
        <f>'[7]ADJ SUMMARY'!#REF!</f>
        <v>#REF!</v>
      </c>
    </row>
    <row r="91" spans="1:6" hidden="1">
      <c r="A91" s="156" t="e">
        <f>'[7]ADJ SUMMARY'!#REF!</f>
        <v>#REF!</v>
      </c>
      <c r="B91" s="157" t="e">
        <f>'[7]ADJ SUMMARY'!#REF!</f>
        <v>#REF!</v>
      </c>
      <c r="C91" s="158"/>
      <c r="D91" s="158"/>
      <c r="E91" s="165"/>
      <c r="F91" s="188" t="e">
        <f>'[7]ADJ SUMMARY'!#REF!</f>
        <v>#REF!</v>
      </c>
    </row>
    <row r="92" spans="1:6" hidden="1">
      <c r="A92" s="156" t="e">
        <f>'[7]ADJ SUMMARY'!#REF!</f>
        <v>#REF!</v>
      </c>
      <c r="B92" s="157" t="e">
        <f>'[7]ADJ SUMMARY'!#REF!</f>
        <v>#REF!</v>
      </c>
      <c r="C92" s="158"/>
      <c r="D92" s="158"/>
      <c r="E92" s="165"/>
      <c r="F92" s="188" t="e">
        <f>'[7]ADJ SUMMARY'!#REF!</f>
        <v>#REF!</v>
      </c>
    </row>
    <row r="93" spans="1:6" hidden="1">
      <c r="A93" s="156" t="e">
        <f>'[7]ADJ SUMMARY'!#REF!</f>
        <v>#REF!</v>
      </c>
      <c r="B93" s="157" t="e">
        <f>'[7]ADJ SUMMARY'!#REF!</f>
        <v>#REF!</v>
      </c>
      <c r="C93" s="158"/>
      <c r="D93" s="158"/>
      <c r="E93" s="165"/>
      <c r="F93" s="188" t="e">
        <f>'[7]ADJ SUMMARY'!#REF!</f>
        <v>#REF!</v>
      </c>
    </row>
    <row r="94" spans="1:6" hidden="1">
      <c r="A94" s="156" t="e">
        <f>'[7]ADJ SUMMARY'!#REF!</f>
        <v>#REF!</v>
      </c>
      <c r="B94" s="157" t="e">
        <f>'[7]ADJ SUMMARY'!#REF!</f>
        <v>#REF!</v>
      </c>
      <c r="C94" s="158"/>
      <c r="D94" s="158"/>
      <c r="E94" s="165"/>
      <c r="F94" s="188" t="e">
        <f>'[7]ADJ SUMMARY'!#REF!</f>
        <v>#REF!</v>
      </c>
    </row>
    <row r="95" spans="1:6" hidden="1">
      <c r="A95" s="156" t="e">
        <f>'[7]ADJ SUMMARY'!#REF!</f>
        <v>#REF!</v>
      </c>
      <c r="B95" s="157" t="e">
        <f>'[7]ADJ SUMMARY'!#REF!</f>
        <v>#REF!</v>
      </c>
      <c r="C95" s="158"/>
      <c r="D95" s="158"/>
      <c r="E95" s="165"/>
      <c r="F95" s="188" t="e">
        <f>'[7]ADJ SUMMARY'!#REF!</f>
        <v>#REF!</v>
      </c>
    </row>
    <row r="96" spans="1:6" hidden="1">
      <c r="A96" s="156" t="e">
        <f>'[7]ADJ SUMMARY'!#REF!</f>
        <v>#REF!</v>
      </c>
      <c r="B96" s="157" t="e">
        <f>'[7]ADJ SUMMARY'!#REF!</f>
        <v>#REF!</v>
      </c>
      <c r="C96" s="158"/>
      <c r="D96" s="158"/>
      <c r="E96" s="165"/>
      <c r="F96" s="188" t="e">
        <f>'[7]ADJ SUMMARY'!#REF!</f>
        <v>#REF!</v>
      </c>
    </row>
    <row r="97" spans="1:6" hidden="1">
      <c r="A97" s="156" t="e">
        <f>'[7]ADJ SUMMARY'!#REF!</f>
        <v>#REF!</v>
      </c>
      <c r="B97" s="157" t="e">
        <f>'[7]ADJ SUMMARY'!#REF!</f>
        <v>#REF!</v>
      </c>
      <c r="C97" s="158"/>
      <c r="D97" s="158"/>
      <c r="E97" s="165"/>
      <c r="F97" s="188" t="e">
        <f>'[7]ADJ SUMMARY'!#REF!</f>
        <v>#REF!</v>
      </c>
    </row>
    <row r="98" spans="1:6" hidden="1">
      <c r="A98" s="156" t="e">
        <f>'[7]ADJ SUMMARY'!#REF!</f>
        <v>#REF!</v>
      </c>
      <c r="B98" s="157" t="e">
        <f>'[7]ADJ SUMMARY'!#REF!</f>
        <v>#REF!</v>
      </c>
      <c r="C98" s="158"/>
      <c r="D98" s="158"/>
      <c r="E98" s="165"/>
      <c r="F98" s="188" t="e">
        <f>'[7]ADJ SUMMARY'!#REF!</f>
        <v>#REF!</v>
      </c>
    </row>
    <row r="99" spans="1:6" hidden="1">
      <c r="A99" s="156" t="e">
        <f>'[7]ADJ SUMMARY'!#REF!</f>
        <v>#REF!</v>
      </c>
      <c r="B99" s="157" t="e">
        <f>'[7]ADJ SUMMARY'!#REF!</f>
        <v>#REF!</v>
      </c>
      <c r="C99" s="158"/>
      <c r="D99" s="158"/>
      <c r="E99" s="165"/>
      <c r="F99" s="188" t="e">
        <f>'[7]ADJ SUMMARY'!#REF!</f>
        <v>#REF!</v>
      </c>
    </row>
    <row r="100" spans="1:6" hidden="1">
      <c r="A100" s="156" t="e">
        <f>'[7]ADJ SUMMARY'!#REF!</f>
        <v>#REF!</v>
      </c>
      <c r="B100" s="157" t="e">
        <f>'[7]ADJ SUMMARY'!#REF!</f>
        <v>#REF!</v>
      </c>
      <c r="C100" s="158"/>
      <c r="D100" s="158"/>
      <c r="E100" s="165"/>
      <c r="F100" s="188" t="e">
        <f>'[7]ADJ SUMMARY'!#REF!</f>
        <v>#REF!</v>
      </c>
    </row>
    <row r="101" spans="1:6" hidden="1">
      <c r="A101" s="156" t="e">
        <f>'[7]ADJ SUMMARY'!#REF!</f>
        <v>#REF!</v>
      </c>
      <c r="B101" s="157" t="e">
        <f>'[7]ADJ SUMMARY'!#REF!</f>
        <v>#REF!</v>
      </c>
      <c r="C101" s="158"/>
      <c r="D101" s="158"/>
      <c r="E101" s="165"/>
      <c r="F101" s="188" t="e">
        <f>'[7]ADJ SUMMARY'!#REF!</f>
        <v>#REF!</v>
      </c>
    </row>
    <row r="102" spans="1:6" hidden="1">
      <c r="A102" s="156" t="e">
        <f>'[7]ADJ SUMMARY'!#REF!</f>
        <v>#REF!</v>
      </c>
      <c r="B102" s="157" t="e">
        <f>'[7]ADJ SUMMARY'!#REF!</f>
        <v>#REF!</v>
      </c>
      <c r="C102" s="158"/>
      <c r="D102" s="158"/>
      <c r="E102" s="165"/>
      <c r="F102" s="188" t="e">
        <f>'[7]ADJ SUMMARY'!#REF!</f>
        <v>#REF!</v>
      </c>
    </row>
    <row r="103" spans="1:6" hidden="1">
      <c r="A103" s="156" t="e">
        <f>'[7]ADJ SUMMARY'!#REF!</f>
        <v>#REF!</v>
      </c>
      <c r="B103" s="157" t="e">
        <f>'[7]ADJ SUMMARY'!#REF!</f>
        <v>#REF!</v>
      </c>
      <c r="C103" s="158"/>
      <c r="D103" s="158"/>
      <c r="E103" s="165"/>
      <c r="F103" s="188" t="e">
        <f>'[7]ADJ SUMMARY'!#REF!</f>
        <v>#REF!</v>
      </c>
    </row>
    <row r="104" spans="1:6" ht="5.25" hidden="1" customHeight="1">
      <c r="C104" s="158"/>
      <c r="D104" s="158"/>
      <c r="E104" s="165"/>
      <c r="F104" s="188"/>
    </row>
    <row r="105" spans="1:6" ht="13.5" hidden="1" customHeight="1">
      <c r="A105" s="156" t="e">
        <f>'[7]ADJ SUMMARY'!#REF!</f>
        <v>#REF!</v>
      </c>
      <c r="B105" s="157" t="e">
        <f>'[7]ADJ SUMMARY'!#REF!</f>
        <v>#REF!</v>
      </c>
      <c r="C105" s="158"/>
      <c r="D105" s="158"/>
      <c r="E105" s="165"/>
      <c r="F105" s="188" t="e">
        <f>'[7]ADJ SUMMARY'!#REF!</f>
        <v>#REF!</v>
      </c>
    </row>
    <row r="106" spans="1:6" hidden="1">
      <c r="A106" s="156" t="e">
        <f>'[7]ADJ SUMMARY'!#REF!</f>
        <v>#REF!</v>
      </c>
      <c r="B106" s="157" t="e">
        <f>'[7]ADJ SUMMARY'!#REF!</f>
        <v>#REF!</v>
      </c>
      <c r="C106" s="158"/>
      <c r="D106" s="158"/>
      <c r="E106" s="165"/>
      <c r="F106" s="188" t="e">
        <f>'[7]ADJ SUMMARY'!#REF!</f>
        <v>#REF!</v>
      </c>
    </row>
    <row r="107" spans="1:6" hidden="1">
      <c r="A107" s="156" t="e">
        <f>'[7]ADJ SUMMARY'!#REF!</f>
        <v>#REF!</v>
      </c>
      <c r="B107" s="157" t="e">
        <f>'[7]ADJ SUMMARY'!#REF!</f>
        <v>#REF!</v>
      </c>
      <c r="C107" s="158"/>
      <c r="D107" s="158"/>
      <c r="E107" s="165"/>
      <c r="F107" s="188" t="e">
        <f>'[7]ADJ SUMMARY'!#REF!</f>
        <v>#REF!</v>
      </c>
    </row>
    <row r="108" spans="1:6" hidden="1">
      <c r="A108" s="156" t="e">
        <f>'[7]ADJ SUMMARY'!#REF!</f>
        <v>#REF!</v>
      </c>
      <c r="B108" s="157" t="e">
        <f>'[7]ADJ SUMMARY'!#REF!</f>
        <v>#REF!</v>
      </c>
      <c r="C108" s="158"/>
      <c r="D108" s="158"/>
      <c r="E108" s="165"/>
      <c r="F108" s="188" t="e">
        <f>'[7]ADJ SUMMARY'!#REF!</f>
        <v>#REF!</v>
      </c>
    </row>
    <row r="109" spans="1:6" hidden="1">
      <c r="A109" s="156" t="e">
        <f>'[7]ADJ SUMMARY'!#REF!</f>
        <v>#REF!</v>
      </c>
      <c r="B109" s="157" t="e">
        <f>'[7]ADJ SUMMARY'!#REF!</f>
        <v>#REF!</v>
      </c>
      <c r="C109" s="158"/>
      <c r="D109" s="158"/>
      <c r="E109" s="165"/>
      <c r="F109" s="188" t="e">
        <f>'[7]ADJ SUMMARY'!#REF!</f>
        <v>#REF!</v>
      </c>
    </row>
    <row r="110" spans="1:6" hidden="1">
      <c r="A110" s="156" t="e">
        <f>'[7]ADJ SUMMARY'!#REF!</f>
        <v>#REF!</v>
      </c>
      <c r="B110" s="157" t="e">
        <f>'[7]ADJ SUMMARY'!#REF!</f>
        <v>#REF!</v>
      </c>
      <c r="C110" s="158"/>
      <c r="D110" s="158"/>
      <c r="E110" s="165"/>
      <c r="F110" s="188" t="e">
        <f>'[7]ADJ SUMMARY'!#REF!</f>
        <v>#REF!</v>
      </c>
    </row>
    <row r="111" spans="1:6" hidden="1">
      <c r="A111" s="156" t="e">
        <f>'[7]ADJ SUMMARY'!#REF!</f>
        <v>#REF!</v>
      </c>
      <c r="B111" s="157" t="e">
        <f>'[7]ADJ SUMMARY'!#REF!</f>
        <v>#REF!</v>
      </c>
      <c r="C111" s="158"/>
      <c r="D111" s="158"/>
      <c r="E111" s="165"/>
      <c r="F111" s="188" t="e">
        <f>'[7]ADJ SUMMARY'!#REF!</f>
        <v>#REF!</v>
      </c>
    </row>
    <row r="112" spans="1:6" hidden="1">
      <c r="A112" s="156" t="e">
        <f>'[7]ADJ SUMMARY'!#REF!</f>
        <v>#REF!</v>
      </c>
      <c r="B112" s="157" t="e">
        <f>'[7]ADJ SUMMARY'!#REF!</f>
        <v>#REF!</v>
      </c>
      <c r="C112" s="158"/>
      <c r="D112" s="158"/>
      <c r="E112" s="165"/>
      <c r="F112" s="188" t="e">
        <f>'[7]ADJ SUMMARY'!#REF!</f>
        <v>#REF!</v>
      </c>
    </row>
    <row r="113" spans="1:9" hidden="1">
      <c r="A113" s="156" t="e">
        <f>'[7]ADJ SUMMARY'!#REF!</f>
        <v>#REF!</v>
      </c>
      <c r="B113" s="157" t="e">
        <f>'[7]ADJ SUMMARY'!#REF!</f>
        <v>#REF!</v>
      </c>
      <c r="C113" s="158"/>
      <c r="D113" s="158"/>
      <c r="E113" s="165"/>
      <c r="F113" s="188" t="e">
        <f>'[7]ADJ SUMMARY'!#REF!</f>
        <v>#REF!</v>
      </c>
    </row>
    <row r="114" spans="1:9" hidden="1">
      <c r="A114" s="156" t="e">
        <f>'[7]ADJ SUMMARY'!#REF!</f>
        <v>#REF!</v>
      </c>
      <c r="B114" s="157" t="e">
        <f>'[7]ADJ SUMMARY'!#REF!</f>
        <v>#REF!</v>
      </c>
      <c r="C114" s="158"/>
      <c r="D114" s="158"/>
      <c r="E114" s="165"/>
      <c r="F114" s="188" t="e">
        <f>'[7]ADJ SUMMARY'!#REF!</f>
        <v>#REF!</v>
      </c>
    </row>
    <row r="115" spans="1:9" hidden="1">
      <c r="A115" s="156" t="e">
        <f>'[7]ADJ SUMMARY'!#REF!</f>
        <v>#REF!</v>
      </c>
      <c r="B115" s="157" t="e">
        <f>'[7]ADJ SUMMARY'!#REF!</f>
        <v>#REF!</v>
      </c>
      <c r="C115" s="158"/>
      <c r="D115" s="158"/>
      <c r="E115" s="165"/>
      <c r="F115" s="188" t="e">
        <f>'[7]ADJ SUMMARY'!#REF!</f>
        <v>#REF!</v>
      </c>
    </row>
    <row r="116" spans="1:9" hidden="1">
      <c r="A116" s="156" t="e">
        <f>'[7]ADJ SUMMARY'!#REF!</f>
        <v>#REF!</v>
      </c>
      <c r="B116" s="157" t="e">
        <f>'[7]ADJ SUMMARY'!#REF!</f>
        <v>#REF!</v>
      </c>
      <c r="C116" s="158"/>
      <c r="D116" s="158"/>
      <c r="E116" s="165"/>
      <c r="F116" s="188" t="e">
        <f>'[7]ADJ SUMMARY'!#REF!</f>
        <v>#REF!</v>
      </c>
    </row>
    <row r="117" spans="1:9" hidden="1">
      <c r="A117" s="156" t="e">
        <f>'[7]ADJ SUMMARY'!#REF!</f>
        <v>#REF!</v>
      </c>
      <c r="B117" s="157" t="e">
        <f>'[7]ADJ SUMMARY'!#REF!</f>
        <v>#REF!</v>
      </c>
      <c r="C117" s="158"/>
      <c r="D117" s="158"/>
      <c r="E117" s="165"/>
      <c r="F117" s="188" t="e">
        <f>'[7]ADJ SUMMARY'!#REF!</f>
        <v>#REF!</v>
      </c>
    </row>
    <row r="118" spans="1:9" hidden="1">
      <c r="A118" s="156" t="e">
        <f>'[7]ADJ SUMMARY'!#REF!</f>
        <v>#REF!</v>
      </c>
      <c r="B118" s="157" t="e">
        <f>'[7]ADJ SUMMARY'!#REF!</f>
        <v>#REF!</v>
      </c>
      <c r="C118" s="158"/>
      <c r="D118" s="158"/>
      <c r="E118" s="165"/>
      <c r="F118" s="188" t="e">
        <f>'[7]ADJ SUMMARY'!#REF!</f>
        <v>#REF!</v>
      </c>
    </row>
    <row r="119" spans="1:9" ht="13.5" hidden="1" customHeight="1">
      <c r="A119" s="156" t="e">
        <f>'[7]ADJ SUMMARY'!#REF!</f>
        <v>#REF!</v>
      </c>
      <c r="B119" s="157" t="e">
        <f>'[7]ADJ SUMMARY'!#REF!</f>
        <v>#REF!</v>
      </c>
      <c r="C119" s="158"/>
      <c r="D119" s="158"/>
      <c r="E119" s="165"/>
      <c r="F119" s="188" t="e">
        <f>'[7]ADJ SUMMARY'!#REF!</f>
        <v>#REF!</v>
      </c>
    </row>
    <row r="120" spans="1:9" ht="0.75" hidden="1" customHeight="1">
      <c r="A120" s="156" t="e">
        <f>'[7]ADJ SUMMARY'!#REF!</f>
        <v>#REF!</v>
      </c>
      <c r="B120" s="157" t="e">
        <f>'[7]ADJ SUMMARY'!#REF!</f>
        <v>#REF!</v>
      </c>
      <c r="C120" s="158"/>
      <c r="D120" s="158"/>
      <c r="E120" s="165"/>
      <c r="F120" s="188" t="e">
        <f>'[7]ADJ SUMMARY'!#REF!</f>
        <v>#REF!</v>
      </c>
    </row>
    <row r="121" spans="1:9" ht="13.5" hidden="1" customHeight="1">
      <c r="B121" s="157" t="s">
        <v>197</v>
      </c>
      <c r="C121" s="158"/>
      <c r="D121" s="158"/>
      <c r="E121" s="165"/>
      <c r="F121" s="171" t="e">
        <f>SUM(F83:F120)</f>
        <v>#REF!</v>
      </c>
    </row>
    <row r="122" spans="1:9" hidden="1">
      <c r="C122" s="158"/>
      <c r="D122" s="158"/>
      <c r="E122" s="158"/>
      <c r="F122" s="150"/>
      <c r="G122" s="189"/>
    </row>
    <row r="123" spans="1:9" hidden="1">
      <c r="B123" s="157" t="str">
        <f>B45</f>
        <v>Weighted Average Cost of Debt</v>
      </c>
      <c r="C123" s="190"/>
      <c r="D123" s="190"/>
      <c r="E123" s="191"/>
      <c r="F123" s="192" t="e">
        <f>'[7]RR SUMMARY'!#REF!</f>
        <v>#REF!</v>
      </c>
      <c r="H123" s="193" t="s">
        <v>198</v>
      </c>
      <c r="I123" s="179"/>
    </row>
    <row r="124" spans="1:9" hidden="1">
      <c r="C124" s="158"/>
      <c r="D124" s="158"/>
      <c r="F124" s="150"/>
    </row>
    <row r="125" spans="1:9" hidden="1">
      <c r="B125" s="157" t="s">
        <v>109</v>
      </c>
      <c r="C125" s="158"/>
      <c r="D125" s="158"/>
      <c r="E125" s="165"/>
      <c r="F125" s="165" t="e">
        <f>F121*F123</f>
        <v>#REF!</v>
      </c>
    </row>
    <row r="126" spans="1:9" hidden="1">
      <c r="C126" s="158"/>
      <c r="D126" s="158"/>
      <c r="E126" s="158"/>
      <c r="F126" s="150"/>
    </row>
    <row r="127" spans="1:9" hidden="1">
      <c r="B127" s="157" t="s">
        <v>199</v>
      </c>
      <c r="C127" s="158"/>
      <c r="D127" s="158"/>
      <c r="F127" s="194">
        <v>21469</v>
      </c>
      <c r="H127" s="195" t="s">
        <v>200</v>
      </c>
    </row>
    <row r="128" spans="1:9" hidden="1">
      <c r="C128" s="158"/>
      <c r="D128" s="158"/>
      <c r="E128" s="158"/>
      <c r="F128" s="150"/>
    </row>
    <row r="129" spans="1:7" hidden="1">
      <c r="B129" s="157" t="s">
        <v>110</v>
      </c>
      <c r="C129" s="158"/>
      <c r="D129" s="158"/>
      <c r="E129" s="165"/>
      <c r="F129" s="165" t="e">
        <f>F125-F127</f>
        <v>#REF!</v>
      </c>
    </row>
    <row r="130" spans="1:7" hidden="1">
      <c r="B130" s="157" t="s">
        <v>111</v>
      </c>
      <c r="D130" s="158"/>
      <c r="E130" s="196"/>
      <c r="F130" s="197">
        <v>0.35</v>
      </c>
    </row>
    <row r="131" spans="1:7" hidden="1">
      <c r="D131" s="158"/>
      <c r="E131" s="158"/>
      <c r="F131" s="150"/>
    </row>
    <row r="132" spans="1:7" hidden="1">
      <c r="B132" s="157" t="s">
        <v>112</v>
      </c>
      <c r="D132" s="158"/>
      <c r="E132" s="165"/>
      <c r="F132" s="165" t="e">
        <f>F129*-F130</f>
        <v>#REF!</v>
      </c>
      <c r="G132" s="165"/>
    </row>
    <row r="133" spans="1:7" ht="13.5" hidden="1" thickTop="1">
      <c r="D133" s="158"/>
      <c r="E133" s="165"/>
      <c r="F133" s="198"/>
    </row>
    <row r="134" spans="1:7" hidden="1">
      <c r="A134" s="199"/>
      <c r="F134" s="150"/>
    </row>
    <row r="135" spans="1:7" hidden="1">
      <c r="A135" s="199"/>
      <c r="B135" s="160" t="s">
        <v>180</v>
      </c>
      <c r="F135" s="150"/>
    </row>
    <row r="136" spans="1:7" hidden="1">
      <c r="A136" s="199"/>
      <c r="B136" s="157" t="s">
        <v>181</v>
      </c>
      <c r="C136" s="165">
        <f>C58</f>
        <v>2430</v>
      </c>
      <c r="F136" s="150"/>
    </row>
    <row r="137" spans="1:7" hidden="1">
      <c r="A137" s="199"/>
      <c r="B137" s="157" t="s">
        <v>183</v>
      </c>
      <c r="C137" s="150">
        <f>C59</f>
        <v>2935</v>
      </c>
      <c r="F137" s="150"/>
    </row>
    <row r="138" spans="1:7" hidden="1">
      <c r="A138" s="199"/>
      <c r="B138" s="157" t="s">
        <v>184</v>
      </c>
      <c r="C138" s="171">
        <f>C136+C137</f>
        <v>5365</v>
      </c>
      <c r="F138" s="150"/>
    </row>
    <row r="139" spans="1:7" hidden="1">
      <c r="A139" s="199"/>
      <c r="C139" s="165"/>
      <c r="F139" s="150"/>
    </row>
    <row r="140" spans="1:7" hidden="1">
      <c r="A140" s="199"/>
      <c r="C140" s="172"/>
      <c r="D140" s="155"/>
      <c r="E140" s="155" t="s">
        <v>185</v>
      </c>
      <c r="F140" s="150"/>
    </row>
    <row r="141" spans="1:7" hidden="1">
      <c r="A141" s="199"/>
      <c r="C141" s="162" t="s">
        <v>186</v>
      </c>
      <c r="D141" s="162" t="s">
        <v>187</v>
      </c>
      <c r="E141" s="162" t="s">
        <v>23</v>
      </c>
      <c r="F141" s="150"/>
    </row>
    <row r="142" spans="1:7" hidden="1">
      <c r="A142" s="199"/>
      <c r="B142" s="157" t="s">
        <v>188</v>
      </c>
      <c r="C142" s="165" t="e">
        <f>$C$64</f>
        <v>#REF!</v>
      </c>
      <c r="D142" s="200" t="e">
        <f>C142/C145</f>
        <v>#REF!</v>
      </c>
      <c r="E142" s="165" t="e">
        <f>D142*E145</f>
        <v>#REF!</v>
      </c>
      <c r="F142" s="150"/>
    </row>
    <row r="143" spans="1:7" hidden="1">
      <c r="A143" s="199"/>
      <c r="B143" s="157" t="s">
        <v>189</v>
      </c>
      <c r="C143" s="150" t="e">
        <f>$C$65</f>
        <v>#REF!</v>
      </c>
      <c r="D143" s="201" t="e">
        <f>C143/C145</f>
        <v>#REF!</v>
      </c>
      <c r="E143" s="202" t="e">
        <f>D143*E145</f>
        <v>#REF!</v>
      </c>
      <c r="F143" s="150"/>
    </row>
    <row r="144" spans="1:7" hidden="1">
      <c r="A144" s="199"/>
      <c r="B144" s="157" t="s">
        <v>190</v>
      </c>
      <c r="C144" s="150" t="e">
        <f>$C$66</f>
        <v>#REF!</v>
      </c>
      <c r="D144" s="201" t="e">
        <f>C144/C145</f>
        <v>#REF!</v>
      </c>
      <c r="E144" s="202" t="e">
        <f>E145*D144</f>
        <v>#REF!</v>
      </c>
      <c r="F144" s="150"/>
    </row>
    <row r="145" spans="1:6" hidden="1">
      <c r="A145" s="199"/>
      <c r="B145" s="157" t="s">
        <v>191</v>
      </c>
      <c r="C145" s="171" t="e">
        <f>C142+C143+C144</f>
        <v>#REF!</v>
      </c>
      <c r="D145" s="203" t="e">
        <f>D142+D143+D144</f>
        <v>#REF!</v>
      </c>
      <c r="E145" s="171">
        <f>C138</f>
        <v>5365</v>
      </c>
      <c r="F145" s="150"/>
    </row>
    <row r="146" spans="1:6" hidden="1">
      <c r="A146" s="199"/>
      <c r="F146" s="150"/>
    </row>
    <row r="147" spans="1:6" hidden="1">
      <c r="A147" s="199"/>
      <c r="B147" s="157" t="s">
        <v>192</v>
      </c>
      <c r="C147" s="165" t="e">
        <f>$C$69</f>
        <v>#REF!</v>
      </c>
      <c r="D147" s="200" t="e">
        <f>C147/C149</f>
        <v>#REF!</v>
      </c>
      <c r="E147" s="165" t="e">
        <f>D147*E149</f>
        <v>#REF!</v>
      </c>
      <c r="F147" s="150"/>
    </row>
    <row r="148" spans="1:6" hidden="1">
      <c r="A148" s="199"/>
      <c r="B148" s="157" t="s">
        <v>193</v>
      </c>
      <c r="C148" s="150" t="e">
        <f>$C$70</f>
        <v>#REF!</v>
      </c>
      <c r="D148" s="200" t="e">
        <f>C148/C149</f>
        <v>#REF!</v>
      </c>
      <c r="E148" s="150" t="e">
        <f>D148*E149</f>
        <v>#REF!</v>
      </c>
      <c r="F148" s="150"/>
    </row>
    <row r="149" spans="1:6" hidden="1">
      <c r="A149" s="199"/>
      <c r="B149" s="157" t="s">
        <v>191</v>
      </c>
      <c r="C149" s="171" t="e">
        <f>C147+C148</f>
        <v>#REF!</v>
      </c>
      <c r="D149" s="203" t="e">
        <f>D147+D148</f>
        <v>#REF!</v>
      </c>
      <c r="E149" s="171" t="e">
        <f>E142</f>
        <v>#REF!</v>
      </c>
      <c r="F149" s="150"/>
    </row>
    <row r="150" spans="1:6" hidden="1">
      <c r="A150" s="199"/>
      <c r="F150" s="150"/>
    </row>
    <row r="151" spans="1:6" hidden="1">
      <c r="A151" s="199"/>
      <c r="B151" s="157" t="s">
        <v>194</v>
      </c>
      <c r="C151" s="165" t="e">
        <f>$C$73</f>
        <v>#REF!</v>
      </c>
      <c r="D151" s="204" t="e">
        <f>C151/C153</f>
        <v>#REF!</v>
      </c>
      <c r="E151" s="165" t="e">
        <f>E153*D151</f>
        <v>#REF!</v>
      </c>
      <c r="F151" s="150"/>
    </row>
    <row r="152" spans="1:6" hidden="1">
      <c r="A152" s="199"/>
      <c r="B152" s="157" t="s">
        <v>195</v>
      </c>
      <c r="C152" s="150" t="e">
        <f>C$74</f>
        <v>#REF!</v>
      </c>
      <c r="D152" s="205" t="e">
        <f>C152/C153</f>
        <v>#REF!</v>
      </c>
      <c r="E152" s="150" t="e">
        <f>E153*D152</f>
        <v>#REF!</v>
      </c>
      <c r="F152" s="150"/>
    </row>
    <row r="153" spans="1:6" hidden="1">
      <c r="A153" s="199"/>
      <c r="B153" s="157" t="s">
        <v>191</v>
      </c>
      <c r="C153" s="171" t="e">
        <f>SUM(C151:C152)</f>
        <v>#REF!</v>
      </c>
      <c r="D153" s="206" t="e">
        <f>SUM(D151:D152)</f>
        <v>#REF!</v>
      </c>
      <c r="E153" s="171" t="e">
        <f>E143</f>
        <v>#REF!</v>
      </c>
      <c r="F153" s="150"/>
    </row>
  </sheetData>
  <mergeCells count="6">
    <mergeCell ref="E7:G7"/>
    <mergeCell ref="A1:H1"/>
    <mergeCell ref="A2:H2"/>
    <mergeCell ref="A3:H3"/>
    <mergeCell ref="A4:H4"/>
    <mergeCell ref="A5:H5"/>
  </mergeCells>
  <printOptions horizontalCentered="1"/>
  <pageMargins left="0.75" right="0.75" top="0.5" bottom="0.5" header="0.5" footer="0.25"/>
  <pageSetup scale="90" orientation="portrait" r:id="rId1"/>
  <headerFooter alignWithMargins="0"/>
  <rowBreaks count="1" manualBreakCount="1">
    <brk id="75"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SignificantOrder xmlns="dc463f71-b30c-4ab2-9473-d307f9d35888">false</SignificantOrder>
    <Date1 xmlns="dc463f71-b30c-4ab2-9473-d307f9d35888">2018-02-27T08:00:00+00:00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documentManagement>
</p:properties>
</file>

<file path=customXml/itemProps1.xml><?xml version="1.0" encoding="utf-8"?>
<ds:datastoreItem xmlns:ds="http://schemas.openxmlformats.org/officeDocument/2006/customXml" ds:itemID="{566A6009-18AA-4BD4-80E7-781C088F3EE8}"/>
</file>

<file path=customXml/itemProps2.xml><?xml version="1.0" encoding="utf-8"?>
<ds:datastoreItem xmlns:ds="http://schemas.openxmlformats.org/officeDocument/2006/customXml" ds:itemID="{96947D87-895E-47F9-B8EE-81FF3D0CB893}"/>
</file>

<file path=customXml/itemProps3.xml><?xml version="1.0" encoding="utf-8"?>
<ds:datastoreItem xmlns:ds="http://schemas.openxmlformats.org/officeDocument/2006/customXml" ds:itemID="{D7C91CA1-67F6-4EBE-AEEC-90F90CA1611D}"/>
</file>

<file path=customXml/itemProps4.xml><?xml version="1.0" encoding="utf-8"?>
<ds:datastoreItem xmlns:ds="http://schemas.openxmlformats.org/officeDocument/2006/customXml" ds:itemID="{80DF6436-5501-469E-9EED-6C30EEB3D6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Recal wo Bonus</vt:lpstr>
      <vt:lpstr>Revised Year 2-3 - Table</vt:lpstr>
      <vt:lpstr>ADJ DETAIL INPUT-Restated CB</vt:lpstr>
      <vt:lpstr>Cost Trends</vt:lpstr>
      <vt:lpstr>Riders and Gas Cost Revenue</vt:lpstr>
      <vt:lpstr>Reg Amort and Other RB</vt:lpstr>
      <vt:lpstr>CF</vt:lpstr>
      <vt:lpstr>DEBT CALC</vt:lpstr>
      <vt:lpstr>ROO INPUT</vt:lpstr>
      <vt:lpstr>Coat of Capital</vt:lpstr>
      <vt:lpstr>ADJ SUMMARY</vt:lpstr>
      <vt:lpstr>Table</vt:lpstr>
      <vt:lpstr>'DEBT CALC'!ID_Elec</vt:lpstr>
      <vt:lpstr>'ADJ DETAIL INPUT-Restated CB'!Print_Area</vt:lpstr>
      <vt:lpstr>'ADJ SUMMARY'!Print_Area</vt:lpstr>
      <vt:lpstr>CF!Print_Area</vt:lpstr>
      <vt:lpstr>'Coat of Capital'!Print_Area</vt:lpstr>
      <vt:lpstr>'Cost Trends'!Print_Area</vt:lpstr>
      <vt:lpstr>'DEBT CALC'!Print_Area</vt:lpstr>
      <vt:lpstr>'Recal wo Bonus'!Print_Area</vt:lpstr>
      <vt:lpstr>'Riders and Gas Cost Revenue'!Print_Area</vt:lpstr>
      <vt:lpstr>'ROO INPUT'!Print_Area</vt:lpstr>
      <vt:lpstr>'Cost Trends'!Print_Titles</vt:lpstr>
      <vt:lpstr>'Riders and Gas Cost Revenue'!Print_Titles</vt:lpstr>
      <vt:lpstr>'DEBT CALC'!WA_Elec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2018-02-27T01:59:15Z</cp:lastPrinted>
  <dcterms:created xsi:type="dcterms:W3CDTF">1997-05-15T21:41:44Z</dcterms:created>
  <dcterms:modified xsi:type="dcterms:W3CDTF">2018-02-27T01:59:42Z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