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25" yWindow="90" windowWidth="24810" windowHeight="11025"/>
  </bookViews>
  <sheets>
    <sheet name="Attachment B - Elec" sheetId="1" r:id="rId1"/>
    <sheet name="Attachment B -Gas" sheetId="4" r:id="rId2"/>
    <sheet name="Sheet2" sheetId="2" r:id="rId3"/>
    <sheet name="Sheet3" sheetId="3" r:id="rId4"/>
  </sheets>
  <definedNames>
    <definedName name="_xlnm.Print_Area" localSheetId="0">'Attachment B - Elec'!$A$1:$R$26</definedName>
    <definedName name="_xlnm.Print_Area" localSheetId="1">'Attachment B -Gas'!$A$1:$R$28</definedName>
  </definedNames>
  <calcPr calcId="125725"/>
</workbook>
</file>

<file path=xl/calcChain.xml><?xml version="1.0" encoding="utf-8"?>
<calcChain xmlns="http://schemas.openxmlformats.org/spreadsheetml/2006/main">
  <c r="M19" i="4"/>
  <c r="P12"/>
  <c r="P11" i="1"/>
  <c r="Q11" s="1"/>
  <c r="P13"/>
  <c r="O13"/>
  <c r="N13"/>
  <c r="M13"/>
  <c r="P19" i="4"/>
  <c r="M20"/>
  <c r="P18"/>
  <c r="L19"/>
  <c r="L20"/>
  <c r="J20"/>
  <c r="J19"/>
  <c r="L18"/>
  <c r="F22"/>
  <c r="P18" i="1"/>
  <c r="O19"/>
  <c r="M19"/>
  <c r="M18"/>
  <c r="P17"/>
  <c r="L18"/>
  <c r="K19"/>
  <c r="J18"/>
  <c r="L17"/>
  <c r="D19"/>
  <c r="D18"/>
  <c r="E17"/>
  <c r="P20" l="1"/>
  <c r="K21" i="4"/>
  <c r="K23" s="1"/>
  <c r="K14" s="1"/>
  <c r="L21"/>
  <c r="L23" s="1"/>
  <c r="L14" s="1"/>
  <c r="N13"/>
  <c r="O13"/>
  <c r="P13"/>
  <c r="K13"/>
  <c r="L13"/>
  <c r="L15" s="1"/>
  <c r="K15"/>
  <c r="K16" l="1"/>
  <c r="L16"/>
  <c r="F12"/>
  <c r="F13" s="1"/>
  <c r="D13"/>
  <c r="D15" s="1"/>
  <c r="E13"/>
  <c r="E15" s="1"/>
  <c r="D21"/>
  <c r="D23" s="1"/>
  <c r="D14" s="1"/>
  <c r="F20"/>
  <c r="F21" s="1"/>
  <c r="F19"/>
  <c r="F18"/>
  <c r="N21"/>
  <c r="N23" s="1"/>
  <c r="N14" s="1"/>
  <c r="O21"/>
  <c r="O23" s="1"/>
  <c r="O14" s="1"/>
  <c r="P21"/>
  <c r="P23" s="1"/>
  <c r="P14" s="1"/>
  <c r="N15"/>
  <c r="O15"/>
  <c r="P15"/>
  <c r="E21"/>
  <c r="E23" s="1"/>
  <c r="E14" s="1"/>
  <c r="N16" l="1"/>
  <c r="P16"/>
  <c r="O16"/>
  <c r="E16"/>
  <c r="D16"/>
  <c r="L20" i="1" l="1"/>
  <c r="E20" l="1"/>
  <c r="E22" l="1"/>
  <c r="D12" l="1"/>
  <c r="E12"/>
  <c r="M12"/>
  <c r="M15" s="1"/>
  <c r="N12"/>
  <c r="N15" s="1"/>
  <c r="O12"/>
  <c r="O15" s="1"/>
  <c r="M20"/>
  <c r="M22" s="1"/>
  <c r="N20"/>
  <c r="N22" s="1"/>
  <c r="O20"/>
  <c r="O22" s="1"/>
  <c r="J20"/>
  <c r="J22" s="1"/>
  <c r="J13" s="1"/>
  <c r="K20"/>
  <c r="K22" s="1"/>
  <c r="K13" s="1"/>
  <c r="J12"/>
  <c r="J14" s="1"/>
  <c r="K12"/>
  <c r="K14" s="1"/>
  <c r="J15" l="1"/>
  <c r="K15"/>
  <c r="D14"/>
  <c r="D20" l="1"/>
  <c r="D22" s="1"/>
  <c r="D13" s="1"/>
  <c r="D15" s="1"/>
  <c r="C21" i="4"/>
  <c r="C23" s="1"/>
  <c r="J21"/>
  <c r="J23" s="1"/>
  <c r="M21"/>
  <c r="M23" s="1"/>
  <c r="L22" i="1" l="1"/>
  <c r="P22"/>
  <c r="C20"/>
  <c r="C22" s="1"/>
  <c r="F21" l="1"/>
  <c r="F11" l="1"/>
  <c r="I11" l="1"/>
  <c r="F12"/>
  <c r="I12" i="4"/>
  <c r="Q12" s="1"/>
  <c r="I22" l="1"/>
  <c r="Q22" s="1"/>
  <c r="I21" i="1" l="1"/>
  <c r="Q21" s="1"/>
  <c r="J13" i="4" l="1"/>
  <c r="M13"/>
  <c r="M15" s="1"/>
  <c r="Q13"/>
  <c r="Q15" s="1"/>
  <c r="J14"/>
  <c r="M14"/>
  <c r="I13"/>
  <c r="I15" s="1"/>
  <c r="F15"/>
  <c r="C13"/>
  <c r="C15" s="1"/>
  <c r="E13" i="1"/>
  <c r="C13"/>
  <c r="M16" i="4" l="1"/>
  <c r="J15"/>
  <c r="J16" s="1"/>
  <c r="L12" i="1"/>
  <c r="L14" s="1"/>
  <c r="P12"/>
  <c r="P14" s="1"/>
  <c r="P15" s="1"/>
  <c r="Q12"/>
  <c r="Q14" s="1"/>
  <c r="I12"/>
  <c r="I14" s="1"/>
  <c r="F14"/>
  <c r="E14"/>
  <c r="E15" s="1"/>
  <c r="C12"/>
  <c r="C14" s="1"/>
  <c r="I10" i="4" l="1"/>
  <c r="F23" l="1"/>
  <c r="L13" i="1" l="1"/>
  <c r="L15" s="1"/>
  <c r="F19"/>
  <c r="F18"/>
  <c r="I18" s="1"/>
  <c r="Q18" s="1"/>
  <c r="F17"/>
  <c r="I9"/>
  <c r="F20" l="1"/>
  <c r="F22" s="1"/>
  <c r="F13" s="1"/>
  <c r="C15"/>
  <c r="I19"/>
  <c r="Q19" s="1"/>
  <c r="F15" l="1"/>
  <c r="I17"/>
  <c r="I20" l="1"/>
  <c r="I22" s="1"/>
  <c r="I13" s="1"/>
  <c r="I15" s="1"/>
  <c r="Q17"/>
  <c r="Q20" s="1"/>
  <c r="Q22" l="1"/>
  <c r="Q13" s="1"/>
  <c r="Q15" s="1"/>
  <c r="I20" i="4"/>
  <c r="Q20" s="1"/>
  <c r="C14"/>
  <c r="C16" s="1"/>
  <c r="I19"/>
  <c r="Q19" s="1"/>
  <c r="F14" l="1"/>
  <c r="F16" s="1"/>
  <c r="I18"/>
  <c r="Q18" s="1"/>
  <c r="I21" l="1"/>
  <c r="I23" s="1"/>
  <c r="I14" s="1"/>
  <c r="I16" s="1"/>
  <c r="Q21"/>
  <c r="Q23" s="1"/>
  <c r="Q14" l="1"/>
  <c r="Q16" s="1"/>
</calcChain>
</file>

<file path=xl/sharedStrings.xml><?xml version="1.0" encoding="utf-8"?>
<sst xmlns="http://schemas.openxmlformats.org/spreadsheetml/2006/main" count="100" uniqueCount="42">
  <si>
    <t>Plant</t>
  </si>
  <si>
    <t>DFIT</t>
  </si>
  <si>
    <t>Rate Base</t>
  </si>
  <si>
    <t>A/D</t>
  </si>
  <si>
    <t>Rate Base 9.30.2014 AMA</t>
  </si>
  <si>
    <t>Rate Base 2016 AMA</t>
  </si>
  <si>
    <t>Restating Natural Gas Adjustment (000's)</t>
  </si>
  <si>
    <t>Restating Electric Adjustment (000's)</t>
  </si>
  <si>
    <t>TABLE NO. 12</t>
  </si>
  <si>
    <t>TABLE NO. 9</t>
  </si>
  <si>
    <t>TABLE NO. 10</t>
  </si>
  <si>
    <t>TABLE NO. 11</t>
  </si>
  <si>
    <t>2015/2016 Planned Electric Investment in (000's)</t>
  </si>
  <si>
    <t>2015/2016 Planned Natural Gas Investment in (000's)</t>
  </si>
  <si>
    <t xml:space="preserve">Depreciation </t>
  </si>
  <si>
    <t xml:space="preserve">Debt Interest </t>
  </si>
  <si>
    <t xml:space="preserve">Taxes </t>
  </si>
  <si>
    <t>NOI</t>
  </si>
  <si>
    <t>Income before FIT</t>
  </si>
  <si>
    <t>Adjust ADFIT</t>
  </si>
  <si>
    <t>Rate Base After DFIT Adj.</t>
  </si>
  <si>
    <t xml:space="preserve">Avista Corp </t>
  </si>
  <si>
    <t xml:space="preserve">Electric Updated Schuh Tables </t>
  </si>
  <si>
    <t xml:space="preserve">Natural Gas Updated Schuh Tables </t>
  </si>
  <si>
    <t>(1)</t>
  </si>
  <si>
    <t>(2)</t>
  </si>
  <si>
    <t>(1) Sum of (1) = ($66,130).  See also Bench Request No. 12 Attachment A.</t>
  </si>
  <si>
    <t>(1) Sum of (1) = ($318,759).  See also Bench Request No. 12 Attachment A.</t>
  </si>
  <si>
    <t>Adjust 9.30.14 Vintage to 2016 AMA</t>
  </si>
  <si>
    <t xml:space="preserve">Oct-Dec 2014 Capital Additions to 2016 AMA </t>
  </si>
  <si>
    <t>2015 Capital Additions to 2016 AMA</t>
  </si>
  <si>
    <t>2016 Capital Additions to 2016 AMA</t>
  </si>
  <si>
    <t>Rate Base 12.31.14 AMA</t>
  </si>
  <si>
    <t>Oct-Dec 2014 Capital Additions to 12.31.14 AMA</t>
  </si>
  <si>
    <t>Adjust 9.30.14 Vintage to 12.31.14 AMA</t>
  </si>
  <si>
    <t>2015 Capital Additions to 2015 AMA</t>
  </si>
  <si>
    <t>Oct-Dec 2014 Capital Additions to 12.31.15 AMA</t>
  </si>
  <si>
    <t>Adjust 9.30.14 Vintage to 12.31.15 AMA</t>
  </si>
  <si>
    <t>(See Note on Bench_DR_15 Attachment A page 1)</t>
  </si>
  <si>
    <t>(2) Agrees to Bench_DR_15 Attachment C, page 3.  See Bench_DR_15 Attachment C for supporting workpapers.</t>
  </si>
  <si>
    <t xml:space="preserve">Note: The Company did not prepare a reconciliation of the above table adjustments to JSS-5, as the tables above are bsed on AMA results versus EOP balances as shown in JSS-5.  However, the ending balances as of AMA 2016 represented in the tables above will agree to the total 2016 AMA balances shown on JSS-5. 
</t>
  </si>
  <si>
    <t xml:space="preserve">Note: The Company did not prepare a reconciliation of the above table adjustments to JSS-6, as the tables above are bsed on AMA results versus EOP balances as shown in JSS-6.  However, the ending balances as of AMA 2016 represented in the tables above will agree to the total 2016 AMA balances shown on JSS-6. 
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</si>
</sst>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8"/>
      <color theme="1"/>
      <name val="Times New Roman"/>
      <family val="1"/>
    </font>
    <font>
      <b/>
      <sz val="11"/>
      <color indexed="8"/>
      <name val="Calibri"/>
      <family val="2"/>
      <scheme val="minor"/>
    </font>
    <font>
      <sz val="12"/>
      <color theme="1"/>
      <name val="Times New Roman"/>
      <family val="1"/>
    </font>
    <font>
      <sz val="11"/>
      <color indexed="8"/>
      <name val="Calibri"/>
      <family val="2"/>
      <scheme val="minor"/>
    </font>
    <font>
      <sz val="11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7">
    <xf numFmtId="0" fontId="0" fillId="0" borderId="0" xfId="0"/>
    <xf numFmtId="0" fontId="0" fillId="0" borderId="0" xfId="0" applyBorder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Alignment="1">
      <alignment horizontal="center"/>
    </xf>
    <xf numFmtId="0" fontId="0" fillId="0" borderId="0" xfId="0" applyFill="1"/>
    <xf numFmtId="0" fontId="2" fillId="0" borderId="0" xfId="0" applyFont="1" applyFill="1"/>
    <xf numFmtId="0" fontId="0" fillId="0" borderId="0" xfId="0" applyFill="1" applyAlignment="1">
      <alignment horizontal="center" wrapText="1"/>
    </xf>
    <xf numFmtId="0" fontId="3" fillId="0" borderId="0" xfId="0" applyFont="1" applyFill="1" applyBorder="1"/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 applyBorder="1"/>
    <xf numFmtId="0" fontId="4" fillId="2" borderId="0" xfId="0" applyFont="1" applyFill="1" applyBorder="1"/>
    <xf numFmtId="0" fontId="6" fillId="2" borderId="0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3" fillId="2" borderId="3" xfId="0" applyFont="1" applyFill="1" applyBorder="1"/>
    <xf numFmtId="164" fontId="4" fillId="2" borderId="0" xfId="1" applyNumberFormat="1" applyFont="1" applyFill="1" applyBorder="1"/>
    <xf numFmtId="165" fontId="5" fillId="2" borderId="2" xfId="2" applyNumberFormat="1" applyFont="1" applyFill="1" applyBorder="1"/>
    <xf numFmtId="0" fontId="3" fillId="2" borderId="5" xfId="0" applyFont="1" applyFill="1" applyBorder="1"/>
    <xf numFmtId="0" fontId="3" fillId="2" borderId="1" xfId="0" applyFont="1" applyFill="1" applyBorder="1"/>
    <xf numFmtId="0" fontId="3" fillId="2" borderId="6" xfId="0" applyFont="1" applyFill="1" applyBorder="1"/>
    <xf numFmtId="0" fontId="6" fillId="0" borderId="9" xfId="0" applyFont="1" applyFill="1" applyBorder="1"/>
    <xf numFmtId="0" fontId="6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wrapText="1"/>
    </xf>
    <xf numFmtId="165" fontId="6" fillId="2" borderId="2" xfId="2" applyNumberFormat="1" applyFont="1" applyFill="1" applyBorder="1"/>
    <xf numFmtId="0" fontId="4" fillId="2" borderId="7" xfId="0" applyFont="1" applyFill="1" applyBorder="1" applyAlignment="1">
      <alignment horizontal="center" wrapText="1"/>
    </xf>
    <xf numFmtId="0" fontId="6" fillId="2" borderId="3" xfId="0" applyFont="1" applyFill="1" applyBorder="1"/>
    <xf numFmtId="0" fontId="3" fillId="2" borderId="4" xfId="0" applyFont="1" applyFill="1" applyBorder="1"/>
    <xf numFmtId="0" fontId="6" fillId="2" borderId="3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165" fontId="5" fillId="2" borderId="12" xfId="2" applyNumberFormat="1" applyFont="1" applyFill="1" applyBorder="1"/>
    <xf numFmtId="165" fontId="6" fillId="2" borderId="12" xfId="2" applyNumberFormat="1" applyFont="1" applyFill="1" applyBorder="1"/>
    <xf numFmtId="0" fontId="6" fillId="2" borderId="3" xfId="0" applyFont="1" applyFill="1" applyBorder="1" applyAlignment="1">
      <alignment horizontal="center"/>
    </xf>
    <xf numFmtId="0" fontId="0" fillId="0" borderId="4" xfId="0" applyBorder="1"/>
    <xf numFmtId="165" fontId="6" fillId="2" borderId="1" xfId="2" applyNumberFormat="1" applyFont="1" applyFill="1" applyBorder="1"/>
    <xf numFmtId="165" fontId="6" fillId="2" borderId="6" xfId="2" applyNumberFormat="1" applyFont="1" applyFill="1" applyBorder="1"/>
    <xf numFmtId="0" fontId="7" fillId="2" borderId="5" xfId="0" applyFont="1" applyFill="1" applyBorder="1"/>
    <xf numFmtId="0" fontId="7" fillId="2" borderId="1" xfId="0" applyFont="1" applyFill="1" applyBorder="1"/>
    <xf numFmtId="0" fontId="3" fillId="2" borderId="0" xfId="0" applyFont="1" applyFill="1" applyBorder="1" applyAlignment="1">
      <alignment horizontal="center"/>
    </xf>
    <xf numFmtId="165" fontId="5" fillId="2" borderId="0" xfId="2" applyNumberFormat="1" applyFont="1" applyFill="1" applyBorder="1"/>
    <xf numFmtId="165" fontId="6" fillId="2" borderId="0" xfId="2" applyNumberFormat="1" applyFont="1" applyFill="1" applyBorder="1"/>
    <xf numFmtId="0" fontId="4" fillId="2" borderId="0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164" fontId="4" fillId="2" borderId="8" xfId="1" applyNumberFormat="1" applyFont="1" applyFill="1" applyBorder="1"/>
    <xf numFmtId="0" fontId="3" fillId="2" borderId="4" xfId="0" applyFont="1" applyFill="1" applyBorder="1" applyAlignment="1">
      <alignment horizontal="center" wrapText="1"/>
    </xf>
    <xf numFmtId="164" fontId="4" fillId="2" borderId="17" xfId="1" applyNumberFormat="1" applyFont="1" applyFill="1" applyBorder="1"/>
    <xf numFmtId="164" fontId="4" fillId="2" borderId="4" xfId="1" applyNumberFormat="1" applyFont="1" applyFill="1" applyBorder="1"/>
    <xf numFmtId="164" fontId="4" fillId="0" borderId="0" xfId="1" applyNumberFormat="1" applyFont="1" applyFill="1" applyBorder="1"/>
    <xf numFmtId="164" fontId="3" fillId="0" borderId="0" xfId="1" applyNumberFormat="1" applyFont="1" applyFill="1" applyBorder="1"/>
    <xf numFmtId="165" fontId="4" fillId="0" borderId="4" xfId="2" applyNumberFormat="1" applyFont="1" applyFill="1" applyBorder="1"/>
    <xf numFmtId="165" fontId="3" fillId="0" borderId="0" xfId="2" applyNumberFormat="1" applyFont="1" applyFill="1" applyBorder="1"/>
    <xf numFmtId="165" fontId="3" fillId="0" borderId="4" xfId="2" applyNumberFormat="1" applyFont="1" applyFill="1" applyBorder="1"/>
    <xf numFmtId="164" fontId="3" fillId="0" borderId="4" xfId="1" applyNumberFormat="1" applyFont="1" applyFill="1" applyBorder="1"/>
    <xf numFmtId="165" fontId="4" fillId="0" borderId="0" xfId="2" applyNumberFormat="1" applyFont="1" applyFill="1" applyBorder="1"/>
    <xf numFmtId="164" fontId="0" fillId="0" borderId="0" xfId="1" applyNumberFormat="1" applyFont="1" applyFill="1"/>
    <xf numFmtId="164" fontId="4" fillId="0" borderId="8" xfId="1" applyNumberFormat="1" applyFont="1" applyFill="1" applyBorder="1"/>
    <xf numFmtId="165" fontId="5" fillId="0" borderId="2" xfId="2" applyNumberFormat="1" applyFont="1" applyFill="1" applyBorder="1"/>
    <xf numFmtId="0" fontId="4" fillId="0" borderId="0" xfId="0" applyFont="1" applyFill="1" applyBorder="1" applyAlignment="1">
      <alignment horizontal="center" wrapText="1"/>
    </xf>
    <xf numFmtId="164" fontId="4" fillId="0" borderId="17" xfId="1" applyNumberFormat="1" applyFont="1" applyFill="1" applyBorder="1"/>
    <xf numFmtId="164" fontId="4" fillId="0" borderId="4" xfId="1" applyNumberFormat="1" applyFont="1" applyFill="1" applyBorder="1"/>
    <xf numFmtId="165" fontId="5" fillId="0" borderId="12" xfId="2" applyNumberFormat="1" applyFont="1" applyFill="1" applyBorder="1"/>
    <xf numFmtId="0" fontId="3" fillId="0" borderId="4" xfId="0" applyFont="1" applyFill="1" applyBorder="1" applyAlignment="1">
      <alignment horizontal="center" wrapText="1"/>
    </xf>
    <xf numFmtId="165" fontId="6" fillId="0" borderId="12" xfId="2" applyNumberFormat="1" applyFont="1" applyFill="1" applyBorder="1"/>
    <xf numFmtId="0" fontId="2" fillId="0" borderId="0" xfId="0" applyFont="1" applyFill="1" applyBorder="1" applyAlignment="1">
      <alignment horizontal="left"/>
    </xf>
    <xf numFmtId="0" fontId="6" fillId="2" borderId="0" xfId="0" applyFont="1" applyFill="1" applyBorder="1"/>
    <xf numFmtId="164" fontId="6" fillId="0" borderId="8" xfId="1" applyNumberFormat="1" applyFont="1" applyFill="1" applyBorder="1"/>
    <xf numFmtId="164" fontId="6" fillId="0" borderId="17" xfId="1" applyNumberFormat="1" applyFont="1" applyFill="1" applyBorder="1"/>
    <xf numFmtId="0" fontId="2" fillId="0" borderId="0" xfId="0" applyFont="1"/>
    <xf numFmtId="165" fontId="6" fillId="0" borderId="8" xfId="2" applyNumberFormat="1" applyFont="1" applyFill="1" applyBorder="1"/>
    <xf numFmtId="165" fontId="6" fillId="0" borderId="17" xfId="2" applyNumberFormat="1" applyFont="1" applyFill="1" applyBorder="1"/>
    <xf numFmtId="164" fontId="5" fillId="0" borderId="8" xfId="1" applyNumberFormat="1" applyFont="1" applyFill="1" applyBorder="1"/>
    <xf numFmtId="165" fontId="5" fillId="0" borderId="17" xfId="2" applyNumberFormat="1" applyFont="1" applyFill="1" applyBorder="1"/>
    <xf numFmtId="164" fontId="2" fillId="0" borderId="0" xfId="1" applyNumberFormat="1" applyFont="1" applyFill="1"/>
    <xf numFmtId="0" fontId="6" fillId="2" borderId="5" xfId="0" applyFont="1" applyFill="1" applyBorder="1"/>
    <xf numFmtId="165" fontId="5" fillId="2" borderId="1" xfId="2" applyNumberFormat="1" applyFont="1" applyFill="1" applyBorder="1"/>
    <xf numFmtId="165" fontId="5" fillId="2" borderId="6" xfId="2" applyNumberFormat="1" applyFont="1" applyFill="1" applyBorder="1"/>
    <xf numFmtId="0" fontId="2" fillId="0" borderId="0" xfId="0" quotePrefix="1" applyFont="1" applyFill="1"/>
    <xf numFmtId="0" fontId="8" fillId="0" borderId="0" xfId="0" quotePrefix="1" applyFont="1"/>
    <xf numFmtId="164" fontId="0" fillId="0" borderId="0" xfId="0" applyNumberFormat="1" applyFill="1"/>
    <xf numFmtId="0" fontId="6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 wrapText="1"/>
    </xf>
    <xf numFmtId="0" fontId="3" fillId="2" borderId="19" xfId="0" applyFont="1" applyFill="1" applyBorder="1" applyAlignment="1">
      <alignment horizontal="center" wrapText="1"/>
    </xf>
    <xf numFmtId="165" fontId="4" fillId="0" borderId="20" xfId="2" applyNumberFormat="1" applyFont="1" applyFill="1" applyBorder="1"/>
    <xf numFmtId="164" fontId="4" fillId="2" borderId="19" xfId="1" applyNumberFormat="1" applyFont="1" applyFill="1" applyBorder="1"/>
    <xf numFmtId="164" fontId="4" fillId="2" borderId="20" xfId="1" applyNumberFormat="1" applyFont="1" applyFill="1" applyBorder="1"/>
    <xf numFmtId="165" fontId="5" fillId="2" borderId="21" xfId="2" applyNumberFormat="1" applyFont="1" applyFill="1" applyBorder="1"/>
    <xf numFmtId="0" fontId="3" fillId="2" borderId="8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165" fontId="3" fillId="0" borderId="9" xfId="2" applyNumberFormat="1" applyFont="1" applyFill="1" applyBorder="1"/>
    <xf numFmtId="164" fontId="4" fillId="2" borderId="18" xfId="1" applyNumberFormat="1" applyFont="1" applyFill="1" applyBorder="1"/>
    <xf numFmtId="164" fontId="4" fillId="2" borderId="9" xfId="1" applyNumberFormat="1" applyFont="1" applyFill="1" applyBorder="1"/>
    <xf numFmtId="165" fontId="5" fillId="2" borderId="24" xfId="2" applyNumberFormat="1" applyFont="1" applyFill="1" applyBorder="1"/>
    <xf numFmtId="165" fontId="6" fillId="0" borderId="18" xfId="2" applyNumberFormat="1" applyFont="1" applyFill="1" applyBorder="1"/>
    <xf numFmtId="165" fontId="3" fillId="0" borderId="23" xfId="2" applyNumberFormat="1" applyFont="1" applyFill="1" applyBorder="1"/>
    <xf numFmtId="165" fontId="3" fillId="0" borderId="7" xfId="2" applyNumberFormat="1" applyFont="1" applyFill="1" applyBorder="1"/>
    <xf numFmtId="0" fontId="3" fillId="2" borderId="20" xfId="0" applyFont="1" applyFill="1" applyBorder="1" applyAlignment="1">
      <alignment horizontal="center" wrapText="1"/>
    </xf>
    <xf numFmtId="165" fontId="3" fillId="0" borderId="20" xfId="2" applyNumberFormat="1" applyFont="1" applyFill="1" applyBorder="1"/>
    <xf numFmtId="164" fontId="3" fillId="0" borderId="20" xfId="1" applyNumberFormat="1" applyFont="1" applyFill="1" applyBorder="1"/>
    <xf numFmtId="164" fontId="3" fillId="0" borderId="22" xfId="1" applyNumberFormat="1" applyFont="1" applyFill="1" applyBorder="1"/>
    <xf numFmtId="0" fontId="3" fillId="2" borderId="10" xfId="0" applyFont="1" applyFill="1" applyBorder="1" applyAlignment="1">
      <alignment horizontal="center" wrapText="1"/>
    </xf>
    <xf numFmtId="165" fontId="6" fillId="0" borderId="7" xfId="2" applyNumberFormat="1" applyFont="1" applyFill="1" applyBorder="1"/>
    <xf numFmtId="164" fontId="3" fillId="0" borderId="7" xfId="1" applyNumberFormat="1" applyFont="1" applyFill="1" applyBorder="1"/>
    <xf numFmtId="164" fontId="3" fillId="0" borderId="9" xfId="1" applyNumberFormat="1" applyFont="1" applyFill="1" applyBorder="1"/>
    <xf numFmtId="165" fontId="6" fillId="0" borderId="22" xfId="2" applyNumberFormat="1" applyFont="1" applyFill="1" applyBorder="1"/>
    <xf numFmtId="165" fontId="3" fillId="0" borderId="22" xfId="2" applyNumberFormat="1" applyFont="1" applyFill="1" applyBorder="1"/>
    <xf numFmtId="0" fontId="3" fillId="0" borderId="0" xfId="0" applyFont="1" applyFill="1" applyBorder="1" applyAlignment="1">
      <alignment horizontal="center" wrapText="1"/>
    </xf>
    <xf numFmtId="165" fontId="4" fillId="0" borderId="9" xfId="2" applyNumberFormat="1" applyFont="1" applyFill="1" applyBorder="1"/>
    <xf numFmtId="164" fontId="5" fillId="0" borderId="18" xfId="1" applyNumberFormat="1" applyFont="1" applyFill="1" applyBorder="1"/>
    <xf numFmtId="164" fontId="4" fillId="0" borderId="23" xfId="1" applyNumberFormat="1" applyFont="1" applyFill="1" applyBorder="1"/>
    <xf numFmtId="164" fontId="6" fillId="0" borderId="19" xfId="1" applyNumberFormat="1" applyFont="1" applyFill="1" applyBorder="1"/>
    <xf numFmtId="0" fontId="4" fillId="2" borderId="25" xfId="0" applyFont="1" applyFill="1" applyBorder="1" applyAlignment="1">
      <alignment horizontal="center" wrapText="1"/>
    </xf>
    <xf numFmtId="164" fontId="4" fillId="0" borderId="18" xfId="1" applyNumberFormat="1" applyFont="1" applyFill="1" applyBorder="1"/>
    <xf numFmtId="164" fontId="4" fillId="0" borderId="9" xfId="1" applyNumberFormat="1" applyFont="1" applyFill="1" applyBorder="1"/>
    <xf numFmtId="165" fontId="5" fillId="0" borderId="24" xfId="2" applyNumberFormat="1" applyFont="1" applyFill="1" applyBorder="1"/>
    <xf numFmtId="0" fontId="4" fillId="0" borderId="9" xfId="0" applyFont="1" applyFill="1" applyBorder="1" applyAlignment="1">
      <alignment horizontal="center" wrapText="1"/>
    </xf>
    <xf numFmtId="165" fontId="6" fillId="0" borderId="2" xfId="2" applyNumberFormat="1" applyFont="1" applyFill="1" applyBorder="1"/>
    <xf numFmtId="164" fontId="4" fillId="0" borderId="19" xfId="1" applyNumberFormat="1" applyFont="1" applyFill="1" applyBorder="1"/>
    <xf numFmtId="164" fontId="4" fillId="0" borderId="20" xfId="1" applyNumberFormat="1" applyFont="1" applyFill="1" applyBorder="1"/>
    <xf numFmtId="165" fontId="5" fillId="0" borderId="21" xfId="2" applyNumberFormat="1" applyFont="1" applyFill="1" applyBorder="1"/>
    <xf numFmtId="0" fontId="3" fillId="0" borderId="20" xfId="0" applyFont="1" applyFill="1" applyBorder="1" applyAlignment="1">
      <alignment horizontal="center" wrapText="1"/>
    </xf>
    <xf numFmtId="165" fontId="6" fillId="0" borderId="21" xfId="2" applyNumberFormat="1" applyFont="1" applyFill="1" applyBorder="1"/>
    <xf numFmtId="165" fontId="6" fillId="0" borderId="19" xfId="2" applyNumberFormat="1" applyFont="1" applyFill="1" applyBorder="1"/>
    <xf numFmtId="165" fontId="6" fillId="2" borderId="24" xfId="2" applyNumberFormat="1" applyFont="1" applyFill="1" applyBorder="1"/>
    <xf numFmtId="165" fontId="6" fillId="2" borderId="21" xfId="2" applyNumberFormat="1" applyFont="1" applyFill="1" applyBorder="1"/>
    <xf numFmtId="164" fontId="3" fillId="0" borderId="23" xfId="1" applyNumberFormat="1" applyFont="1" applyFill="1" applyBorder="1"/>
    <xf numFmtId="0" fontId="3" fillId="0" borderId="9" xfId="0" applyFont="1" applyFill="1" applyBorder="1" applyAlignment="1">
      <alignment horizontal="center" wrapText="1"/>
    </xf>
    <xf numFmtId="164" fontId="6" fillId="0" borderId="18" xfId="1" applyNumberFormat="1" applyFont="1" applyFill="1" applyBorder="1"/>
    <xf numFmtId="0" fontId="0" fillId="0" borderId="0" xfId="0" applyFont="1" applyFill="1"/>
    <xf numFmtId="0" fontId="10" fillId="0" borderId="0" xfId="0" applyFont="1"/>
    <xf numFmtId="0" fontId="11" fillId="2" borderId="0" xfId="0" applyFont="1" applyFill="1" applyBorder="1"/>
    <xf numFmtId="0" fontId="10" fillId="0" borderId="0" xfId="0" applyFont="1" applyFill="1"/>
    <xf numFmtId="0" fontId="9" fillId="0" borderId="0" xfId="0" applyFont="1" applyFill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6" fillId="2" borderId="13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0" fillId="0" borderId="0" xfId="0"/>
    <xf numFmtId="0" fontId="9" fillId="0" borderId="0" xfId="0" applyFont="1" applyAlignment="1">
      <alignment horizontal="left" vertical="top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6"/>
  <sheetViews>
    <sheetView tabSelected="1" view="pageBreakPreview" zoomScale="85" zoomScaleNormal="100" zoomScaleSheetLayoutView="85" workbookViewId="0">
      <selection activeCell="O23" sqref="O23"/>
    </sheetView>
  </sheetViews>
  <sheetFormatPr defaultColWidth="9.140625" defaultRowHeight="15"/>
  <cols>
    <col min="1" max="1" width="3.85546875" style="5" customWidth="1"/>
    <col min="2" max="2" width="24.85546875" style="5" bestFit="1" customWidth="1"/>
    <col min="3" max="3" width="16.28515625" style="5" bestFit="1" customWidth="1"/>
    <col min="4" max="4" width="13.28515625" style="5" customWidth="1"/>
    <col min="5" max="5" width="12" style="5" customWidth="1"/>
    <col min="6" max="6" width="16.7109375" style="5" bestFit="1" customWidth="1"/>
    <col min="7" max="7" width="9.42578125" style="5" customWidth="1"/>
    <col min="8" max="8" width="20.42578125" style="5" customWidth="1"/>
    <col min="9" max="9" width="16.5703125" style="5" bestFit="1" customWidth="1"/>
    <col min="10" max="10" width="16.140625" style="5" customWidth="1"/>
    <col min="11" max="11" width="13.28515625" style="5" customWidth="1"/>
    <col min="12" max="13" width="16" style="5" customWidth="1"/>
    <col min="14" max="14" width="12.5703125" style="5" bestFit="1" customWidth="1"/>
    <col min="15" max="15" width="14.5703125" style="5" customWidth="1"/>
    <col min="16" max="16" width="15" style="5" customWidth="1"/>
    <col min="17" max="17" width="16.5703125" style="5" bestFit="1" customWidth="1"/>
    <col min="18" max="18" width="3.42578125" style="5" bestFit="1" customWidth="1"/>
    <col min="19" max="16384" width="9.140625" style="5"/>
  </cols>
  <sheetData>
    <row r="1" spans="1:17" s="4" customFormat="1">
      <c r="A1" s="6" t="s">
        <v>21</v>
      </c>
      <c r="F1" s="5"/>
      <c r="G1" s="5"/>
      <c r="H1" s="6" t="s">
        <v>21</v>
      </c>
    </row>
    <row r="2" spans="1:17" s="4" customFormat="1">
      <c r="A2" s="65" t="s">
        <v>22</v>
      </c>
      <c r="F2" s="5"/>
      <c r="G2" s="5"/>
      <c r="H2" s="65" t="s">
        <v>22</v>
      </c>
    </row>
    <row r="3" spans="1:17" s="7" customFormat="1">
      <c r="F3" s="5"/>
      <c r="G3" s="5"/>
      <c r="H3" s="5"/>
    </row>
    <row r="4" spans="1:17" ht="15.75" thickBot="1"/>
    <row r="5" spans="1:17" ht="15.75" thickBot="1">
      <c r="A5" s="23"/>
      <c r="B5" s="8"/>
      <c r="C5" s="8"/>
      <c r="D5" s="8"/>
      <c r="E5" s="8"/>
      <c r="F5" s="8"/>
      <c r="H5" s="136" t="s">
        <v>11</v>
      </c>
      <c r="I5" s="137"/>
      <c r="J5" s="137"/>
      <c r="K5" s="137"/>
      <c r="L5" s="137"/>
      <c r="M5" s="137"/>
      <c r="N5" s="137"/>
      <c r="O5" s="137"/>
      <c r="P5" s="137"/>
      <c r="Q5" s="138"/>
    </row>
    <row r="6" spans="1:17">
      <c r="A6" s="136" t="s">
        <v>9</v>
      </c>
      <c r="B6" s="137"/>
      <c r="C6" s="137"/>
      <c r="D6" s="137"/>
      <c r="E6" s="137"/>
      <c r="F6" s="138"/>
      <c r="H6" s="139" t="s">
        <v>12</v>
      </c>
      <c r="I6" s="140"/>
      <c r="J6" s="140"/>
      <c r="K6" s="140"/>
      <c r="L6" s="140"/>
      <c r="M6" s="140"/>
      <c r="N6" s="140"/>
      <c r="O6" s="140"/>
      <c r="P6" s="140"/>
      <c r="Q6" s="141"/>
    </row>
    <row r="7" spans="1:17">
      <c r="A7" s="139" t="s">
        <v>7</v>
      </c>
      <c r="B7" s="140"/>
      <c r="C7" s="140"/>
      <c r="D7" s="140"/>
      <c r="E7" s="140"/>
      <c r="F7" s="141"/>
      <c r="H7" s="9"/>
      <c r="I7" s="40"/>
      <c r="J7" s="40"/>
      <c r="K7" s="40"/>
      <c r="L7" s="40"/>
      <c r="M7" s="40"/>
      <c r="N7" s="40"/>
      <c r="O7" s="40"/>
      <c r="P7" s="40"/>
      <c r="Q7" s="10"/>
    </row>
    <row r="8" spans="1:17" ht="14.25" customHeight="1">
      <c r="A8" s="28"/>
      <c r="B8" s="11"/>
      <c r="C8" s="12"/>
      <c r="D8" s="12"/>
      <c r="E8" s="12"/>
      <c r="F8" s="29"/>
      <c r="H8" s="9"/>
      <c r="I8" s="3"/>
      <c r="J8" s="142">
        <v>2015</v>
      </c>
      <c r="K8" s="143"/>
      <c r="L8" s="144"/>
      <c r="M8" s="142">
        <v>2016</v>
      </c>
      <c r="N8" s="143"/>
      <c r="O8" s="143"/>
      <c r="P8" s="144"/>
      <c r="Q8" s="10"/>
    </row>
    <row r="9" spans="1:17" ht="75">
      <c r="A9" s="30"/>
      <c r="B9" s="13"/>
      <c r="C9" s="27" t="s">
        <v>4</v>
      </c>
      <c r="D9" s="83" t="s">
        <v>34</v>
      </c>
      <c r="E9" s="84" t="s">
        <v>33</v>
      </c>
      <c r="F9" s="31" t="s">
        <v>32</v>
      </c>
      <c r="H9" s="14"/>
      <c r="I9" s="15" t="str">
        <f>F9</f>
        <v>Rate Base 12.31.14 AMA</v>
      </c>
      <c r="J9" s="83" t="s">
        <v>37</v>
      </c>
      <c r="K9" s="89" t="s">
        <v>36</v>
      </c>
      <c r="L9" s="84" t="s">
        <v>35</v>
      </c>
      <c r="M9" s="83" t="s">
        <v>28</v>
      </c>
      <c r="N9" s="89" t="s">
        <v>29</v>
      </c>
      <c r="O9" s="89" t="s">
        <v>30</v>
      </c>
      <c r="P9" s="84" t="s">
        <v>31</v>
      </c>
      <c r="Q9" s="16" t="s">
        <v>5</v>
      </c>
    </row>
    <row r="10" spans="1:17">
      <c r="A10" s="30"/>
      <c r="B10" s="13"/>
      <c r="C10" s="43"/>
      <c r="D10" s="113"/>
      <c r="E10" s="102"/>
      <c r="F10" s="44"/>
      <c r="H10" s="14"/>
      <c r="I10" s="25"/>
      <c r="J10" s="90"/>
      <c r="K10" s="25"/>
      <c r="L10" s="98"/>
      <c r="M10" s="90"/>
      <c r="N10" s="25"/>
      <c r="O10" s="25"/>
      <c r="P10" s="98"/>
      <c r="Q10" s="46"/>
    </row>
    <row r="11" spans="1:17">
      <c r="A11" s="30"/>
      <c r="B11" s="11" t="s">
        <v>14</v>
      </c>
      <c r="C11" s="55">
        <v>64837</v>
      </c>
      <c r="D11" s="109">
        <v>0</v>
      </c>
      <c r="E11" s="85">
        <v>1125</v>
      </c>
      <c r="F11" s="51">
        <f>SUM(C11:E11)</f>
        <v>65962</v>
      </c>
      <c r="H11" s="17" t="s">
        <v>14</v>
      </c>
      <c r="I11" s="52">
        <f>F11</f>
        <v>65962</v>
      </c>
      <c r="J11" s="91"/>
      <c r="K11" s="52"/>
      <c r="L11" s="85">
        <v>6342</v>
      </c>
      <c r="M11" s="109"/>
      <c r="N11" s="55"/>
      <c r="O11" s="55"/>
      <c r="P11" s="85">
        <f>5779+1485</f>
        <v>7264</v>
      </c>
      <c r="Q11" s="53">
        <f>SUM(I11:P11)</f>
        <v>79568</v>
      </c>
    </row>
    <row r="12" spans="1:17">
      <c r="A12" s="30"/>
      <c r="B12" s="11" t="s">
        <v>18</v>
      </c>
      <c r="C12" s="45">
        <f>-C11</f>
        <v>-64837</v>
      </c>
      <c r="D12" s="114">
        <f t="shared" ref="D12:E12" si="0">-D11</f>
        <v>0</v>
      </c>
      <c r="E12" s="119">
        <f t="shared" si="0"/>
        <v>-1125</v>
      </c>
      <c r="F12" s="47">
        <f>-F11</f>
        <v>-65962</v>
      </c>
      <c r="H12" s="17" t="s">
        <v>18</v>
      </c>
      <c r="I12" s="45">
        <f>-I11</f>
        <v>-65962</v>
      </c>
      <c r="J12" s="92">
        <f t="shared" ref="J12:K12" si="1">-J11</f>
        <v>0</v>
      </c>
      <c r="K12" s="57">
        <f t="shared" si="1"/>
        <v>0</v>
      </c>
      <c r="L12" s="86">
        <f t="shared" ref="L12:Q12" si="2">-L11</f>
        <v>-6342</v>
      </c>
      <c r="M12" s="92">
        <f t="shared" si="2"/>
        <v>0</v>
      </c>
      <c r="N12" s="57">
        <f t="shared" si="2"/>
        <v>0</v>
      </c>
      <c r="O12" s="57">
        <f t="shared" si="2"/>
        <v>0</v>
      </c>
      <c r="P12" s="119">
        <f t="shared" si="2"/>
        <v>-7264</v>
      </c>
      <c r="Q12" s="60">
        <f t="shared" si="2"/>
        <v>-79568</v>
      </c>
    </row>
    <row r="13" spans="1:17">
      <c r="A13" s="30"/>
      <c r="B13" s="11" t="s">
        <v>15</v>
      </c>
      <c r="C13" s="18">
        <f>(C22*0.0268)*-0.35</f>
        <v>-11421.11614</v>
      </c>
      <c r="D13" s="115">
        <f t="shared" ref="D13" si="3">(D22*0.0268)*-0.35</f>
        <v>275.27485999999999</v>
      </c>
      <c r="E13" s="120">
        <f>(E22*0.0268)*-0.35</f>
        <v>-169.00883999999999</v>
      </c>
      <c r="F13" s="48">
        <f>(F22*0.0268)*-0.35</f>
        <v>-11314.850120000001</v>
      </c>
      <c r="H13" s="17" t="s">
        <v>15</v>
      </c>
      <c r="I13" s="18">
        <f>(I22*0.0268)*-0.35</f>
        <v>-11314.850120000001</v>
      </c>
      <c r="J13" s="93">
        <f t="shared" ref="J13:P13" si="4">(J22*0.0268)*-0.35</f>
        <v>831.34939999999995</v>
      </c>
      <c r="K13" s="49">
        <f t="shared" si="4"/>
        <v>51.683799999999998</v>
      </c>
      <c r="L13" s="87">
        <f t="shared" ref="L13:Q13" si="5">(L22*0.0268)*-0.35</f>
        <v>-1452.89634</v>
      </c>
      <c r="M13" s="49">
        <f t="shared" si="4"/>
        <v>592.79723999999999</v>
      </c>
      <c r="N13" s="49">
        <f t="shared" si="4"/>
        <v>-3.03912</v>
      </c>
      <c r="O13" s="49">
        <f t="shared" si="4"/>
        <v>99.859479999999991</v>
      </c>
      <c r="P13" s="49">
        <f t="shared" si="4"/>
        <v>-1464.8652199999999</v>
      </c>
      <c r="Q13" s="61">
        <f t="shared" si="5"/>
        <v>-12659.960879999999</v>
      </c>
    </row>
    <row r="14" spans="1:17">
      <c r="A14" s="30"/>
      <c r="B14" s="11" t="s">
        <v>16</v>
      </c>
      <c r="C14" s="18">
        <f>C12*0.35</f>
        <v>-22692.949999999997</v>
      </c>
      <c r="D14" s="115">
        <f t="shared" ref="D14" si="6">D12*0.35</f>
        <v>0</v>
      </c>
      <c r="E14" s="120">
        <f t="shared" ref="E14:F14" si="7">E12*0.35</f>
        <v>-393.75</v>
      </c>
      <c r="F14" s="48">
        <f t="shared" si="7"/>
        <v>-23086.699999999997</v>
      </c>
      <c r="H14" s="17" t="s">
        <v>16</v>
      </c>
      <c r="I14" s="18">
        <f>I12*0.35</f>
        <v>-23086.699999999997</v>
      </c>
      <c r="J14" s="93">
        <f t="shared" ref="J14:K14" si="8">J12*0.35</f>
        <v>0</v>
      </c>
      <c r="K14" s="49">
        <f t="shared" si="8"/>
        <v>0</v>
      </c>
      <c r="L14" s="87">
        <f t="shared" ref="L14:Q14" si="9">L12*0.35</f>
        <v>-2219.6999999999998</v>
      </c>
      <c r="M14" s="93"/>
      <c r="N14" s="49"/>
      <c r="O14" s="49"/>
      <c r="P14" s="120">
        <f t="shared" si="9"/>
        <v>-2542.3999999999996</v>
      </c>
      <c r="Q14" s="61">
        <f t="shared" si="9"/>
        <v>-27848.799999999999</v>
      </c>
    </row>
    <row r="15" spans="1:17" ht="15.75" thickBot="1">
      <c r="A15" s="30"/>
      <c r="B15" s="11" t="s">
        <v>17</v>
      </c>
      <c r="C15" s="19">
        <f>C12-C13-C14</f>
        <v>-30722.933860000005</v>
      </c>
      <c r="D15" s="116">
        <f t="shared" ref="D15" si="10">D12-D13-D14</f>
        <v>-275.27485999999999</v>
      </c>
      <c r="E15" s="121">
        <f t="shared" ref="E15" si="11">E12-E13-E14</f>
        <v>-562.24116000000004</v>
      </c>
      <c r="F15" s="32">
        <f t="shared" ref="F15" si="12">F12-F13-F14</f>
        <v>-31560.44988</v>
      </c>
      <c r="H15" s="17" t="s">
        <v>17</v>
      </c>
      <c r="I15" s="19">
        <f>I12-I13-I14</f>
        <v>-31560.44988</v>
      </c>
      <c r="J15" s="94">
        <f t="shared" ref="J15:K15" si="13">J12-J13-J14</f>
        <v>-831.34939999999995</v>
      </c>
      <c r="K15" s="58">
        <f t="shared" si="13"/>
        <v>-51.683799999999998</v>
      </c>
      <c r="L15" s="88">
        <f>L12-L13-L14</f>
        <v>-2669.4036599999999</v>
      </c>
      <c r="M15" s="94">
        <f t="shared" ref="M15:Q15" si="14">M12-M13-M14</f>
        <v>-592.79723999999999</v>
      </c>
      <c r="N15" s="58">
        <f t="shared" si="14"/>
        <v>3.03912</v>
      </c>
      <c r="O15" s="58">
        <f t="shared" si="14"/>
        <v>-99.859479999999991</v>
      </c>
      <c r="P15" s="121">
        <f t="shared" si="14"/>
        <v>-3256.7347800000007</v>
      </c>
      <c r="Q15" s="62">
        <f t="shared" si="14"/>
        <v>-39059.239119999998</v>
      </c>
    </row>
    <row r="16" spans="1:17">
      <c r="A16" s="30"/>
      <c r="B16" s="13"/>
      <c r="C16" s="43"/>
      <c r="D16" s="117"/>
      <c r="E16" s="122"/>
      <c r="F16" s="44"/>
      <c r="H16" s="14"/>
      <c r="I16" s="25"/>
      <c r="J16" s="90"/>
      <c r="K16" s="108"/>
      <c r="L16" s="99"/>
      <c r="M16" s="91"/>
      <c r="N16" s="52"/>
      <c r="O16" s="52"/>
      <c r="P16" s="122"/>
      <c r="Q16" s="63"/>
    </row>
    <row r="17" spans="1:18">
      <c r="A17" s="17"/>
      <c r="B17" s="11" t="s">
        <v>0</v>
      </c>
      <c r="C17" s="55">
        <v>2242311</v>
      </c>
      <c r="D17" s="109"/>
      <c r="E17" s="99">
        <f>18043-6524</f>
        <v>11519</v>
      </c>
      <c r="F17" s="51">
        <f>SUM(C17:E17)</f>
        <v>2253830</v>
      </c>
      <c r="G17" s="56"/>
      <c r="H17" s="17" t="s">
        <v>0</v>
      </c>
      <c r="I17" s="52">
        <f>F17</f>
        <v>2253830</v>
      </c>
      <c r="J17" s="91"/>
      <c r="K17" s="52"/>
      <c r="L17" s="100">
        <f>98858-10947-369+60887+1</f>
        <v>148430</v>
      </c>
      <c r="M17" s="105"/>
      <c r="N17" s="50"/>
      <c r="O17" s="50"/>
      <c r="P17" s="99">
        <f>101454-738-9523+58010</f>
        <v>149203</v>
      </c>
      <c r="Q17" s="53">
        <f>SUM(I17:P17)</f>
        <v>2551463</v>
      </c>
    </row>
    <row r="18" spans="1:18">
      <c r="A18" s="17"/>
      <c r="B18" s="11" t="s">
        <v>3</v>
      </c>
      <c r="C18" s="49">
        <v>-780322</v>
      </c>
      <c r="D18" s="105">
        <f>-16209+186</f>
        <v>-16023</v>
      </c>
      <c r="E18" s="100">
        <v>8447</v>
      </c>
      <c r="F18" s="51">
        <f t="shared" ref="F18:F21" si="15">SUM(C18:E18)</f>
        <v>-787898</v>
      </c>
      <c r="G18" s="56"/>
      <c r="H18" s="17" t="s">
        <v>3</v>
      </c>
      <c r="I18" s="52">
        <f>F18</f>
        <v>-787898</v>
      </c>
      <c r="J18" s="91">
        <f>-32991+236-16121</f>
        <v>-48876</v>
      </c>
      <c r="K18" s="52">
        <v>-2198</v>
      </c>
      <c r="L18" s="100">
        <f>-2838+10947+2198-1</f>
        <v>10306</v>
      </c>
      <c r="M18" s="105">
        <f>-32991-24648</f>
        <v>-57639</v>
      </c>
      <c r="N18" s="50">
        <v>211</v>
      </c>
      <c r="O18" s="50">
        <v>-5237</v>
      </c>
      <c r="P18" s="100">
        <f>-1220+9523-1</f>
        <v>8302</v>
      </c>
      <c r="Q18" s="53">
        <f>SUM(I18:P18)</f>
        <v>-883029</v>
      </c>
    </row>
    <row r="19" spans="1:18">
      <c r="A19" s="17"/>
      <c r="B19" s="11" t="s">
        <v>1</v>
      </c>
      <c r="C19" s="49">
        <v>-244386</v>
      </c>
      <c r="D19" s="105">
        <f>-13380+56</f>
        <v>-13324</v>
      </c>
      <c r="E19" s="100">
        <v>0</v>
      </c>
      <c r="F19" s="51">
        <f t="shared" si="15"/>
        <v>-257710</v>
      </c>
      <c r="G19" s="56"/>
      <c r="H19" s="17" t="s">
        <v>1</v>
      </c>
      <c r="I19" s="52">
        <f>F19</f>
        <v>-257710</v>
      </c>
      <c r="J19" s="105">
        <v>-39754</v>
      </c>
      <c r="K19" s="104">
        <f>-1505+141</f>
        <v>-1364</v>
      </c>
      <c r="L19" s="101">
        <v>-3843</v>
      </c>
      <c r="M19" s="105">
        <f>-352-5207</f>
        <v>-5559</v>
      </c>
      <c r="N19" s="50">
        <v>113</v>
      </c>
      <c r="O19" s="50">
        <f>-5411+2</f>
        <v>-5409</v>
      </c>
      <c r="P19" s="100">
        <v>-1336</v>
      </c>
      <c r="Q19" s="53">
        <f>SUM(I19:P19)</f>
        <v>-314862</v>
      </c>
      <c r="R19" s="78" t="s">
        <v>24</v>
      </c>
    </row>
    <row r="20" spans="1:18" s="6" customFormat="1">
      <c r="A20" s="28"/>
      <c r="B20" s="66" t="s">
        <v>2</v>
      </c>
      <c r="C20" s="72">
        <f>SUM(C17:C19)</f>
        <v>1217603</v>
      </c>
      <c r="D20" s="110">
        <f>SUM(D17:D19)</f>
        <v>-29347</v>
      </c>
      <c r="E20" s="112">
        <f>SUM(E17:E19)</f>
        <v>19966</v>
      </c>
      <c r="F20" s="73">
        <f>SUM(F17:F19)</f>
        <v>1208222</v>
      </c>
      <c r="G20" s="74"/>
      <c r="H20" s="28" t="s">
        <v>2</v>
      </c>
      <c r="I20" s="70">
        <f>SUM(I17:I19)</f>
        <v>1208222</v>
      </c>
      <c r="J20" s="95">
        <f t="shared" ref="J20:K20" si="16">SUM(J17:J19)</f>
        <v>-88630</v>
      </c>
      <c r="K20" s="103">
        <f t="shared" si="16"/>
        <v>-3562</v>
      </c>
      <c r="L20" s="106">
        <f>SUM(L17:L19)</f>
        <v>154893</v>
      </c>
      <c r="M20" s="95">
        <f t="shared" ref="M20:O20" si="17">SUM(M17:M19)</f>
        <v>-63198</v>
      </c>
      <c r="N20" s="70">
        <f t="shared" si="17"/>
        <v>324</v>
      </c>
      <c r="O20" s="70">
        <f t="shared" si="17"/>
        <v>-10646</v>
      </c>
      <c r="P20" s="124">
        <f>SUM(P17:P19)</f>
        <v>156169</v>
      </c>
      <c r="Q20" s="71">
        <f>SUM(Q17:Q19)</f>
        <v>1353572</v>
      </c>
      <c r="R20" s="78" t="s">
        <v>25</v>
      </c>
    </row>
    <row r="21" spans="1:18">
      <c r="A21" s="17"/>
      <c r="B21" s="11" t="s">
        <v>19</v>
      </c>
      <c r="C21" s="49"/>
      <c r="D21" s="111"/>
      <c r="E21" s="101">
        <v>-1948</v>
      </c>
      <c r="F21" s="51">
        <f t="shared" si="15"/>
        <v>-1948</v>
      </c>
      <c r="G21" s="56"/>
      <c r="H21" s="17" t="s">
        <v>19</v>
      </c>
      <c r="I21" s="52">
        <f>F21</f>
        <v>-1948</v>
      </c>
      <c r="J21" s="96"/>
      <c r="K21" s="97">
        <v>-1948</v>
      </c>
      <c r="L21" s="107"/>
      <c r="M21" s="91"/>
      <c r="N21" s="52"/>
      <c r="O21" s="52"/>
      <c r="P21" s="100"/>
      <c r="Q21" s="53">
        <f>SUM(I21:P21)</f>
        <v>-3896</v>
      </c>
      <c r="R21" s="78" t="s">
        <v>24</v>
      </c>
    </row>
    <row r="22" spans="1:18" ht="15.75" thickBot="1">
      <c r="A22" s="28"/>
      <c r="B22" s="11" t="s">
        <v>20</v>
      </c>
      <c r="C22" s="26">
        <f>C20+C21</f>
        <v>1217603</v>
      </c>
      <c r="D22" s="118">
        <f>D20+D21</f>
        <v>-29347</v>
      </c>
      <c r="E22" s="123">
        <f>E20+E21</f>
        <v>18018</v>
      </c>
      <c r="F22" s="33">
        <f>F20+F21</f>
        <v>1206274</v>
      </c>
      <c r="G22" s="42"/>
      <c r="H22" s="20" t="s">
        <v>20</v>
      </c>
      <c r="I22" s="26">
        <f>I20+I21</f>
        <v>1206274</v>
      </c>
      <c r="J22" s="125">
        <f t="shared" ref="J22:K22" si="18">J20+J21</f>
        <v>-88630</v>
      </c>
      <c r="K22" s="118">
        <f t="shared" si="18"/>
        <v>-5510</v>
      </c>
      <c r="L22" s="126">
        <f>L20+L21</f>
        <v>154893</v>
      </c>
      <c r="M22" s="125">
        <f t="shared" ref="M22:O22" si="19">M20+M21</f>
        <v>-63198</v>
      </c>
      <c r="N22" s="118">
        <f t="shared" si="19"/>
        <v>324</v>
      </c>
      <c r="O22" s="118">
        <f t="shared" si="19"/>
        <v>-10646</v>
      </c>
      <c r="P22" s="123">
        <f t="shared" ref="P22:Q22" si="20">P20+P21</f>
        <v>156169</v>
      </c>
      <c r="Q22" s="64">
        <f t="shared" si="20"/>
        <v>1349676</v>
      </c>
    </row>
    <row r="23" spans="1:18" ht="21.75" customHeight="1" thickBot="1">
      <c r="A23" s="75"/>
      <c r="B23" s="21"/>
      <c r="C23" s="76"/>
      <c r="D23" s="76"/>
      <c r="E23" s="36"/>
      <c r="F23" s="77"/>
      <c r="H23" s="11" t="s">
        <v>27</v>
      </c>
      <c r="I23" s="11"/>
      <c r="J23" s="11"/>
      <c r="K23" s="11"/>
      <c r="L23" s="11"/>
      <c r="M23" s="11"/>
      <c r="N23" s="11"/>
      <c r="O23" s="11"/>
      <c r="P23" s="11"/>
      <c r="Q23" s="11"/>
    </row>
    <row r="24" spans="1:18" ht="14.25" customHeight="1">
      <c r="A24" s="66"/>
      <c r="B24" s="11"/>
      <c r="C24" s="41"/>
      <c r="D24" s="41"/>
      <c r="E24" s="42"/>
      <c r="F24" s="41"/>
      <c r="H24" s="135" t="s">
        <v>39</v>
      </c>
      <c r="I24" s="135"/>
      <c r="J24" s="135"/>
      <c r="K24" s="135"/>
      <c r="L24" s="135"/>
      <c r="M24" s="135"/>
      <c r="N24" s="135"/>
      <c r="O24" s="135"/>
      <c r="P24" s="135"/>
      <c r="Q24" s="135"/>
    </row>
    <row r="25" spans="1:18" s="130" customFormat="1" ht="15.75">
      <c r="A25" s="134" t="s">
        <v>38</v>
      </c>
      <c r="B25" s="134"/>
      <c r="C25" s="134"/>
      <c r="D25" s="134"/>
      <c r="E25" s="134"/>
      <c r="F25" s="134"/>
      <c r="G25" s="134"/>
    </row>
    <row r="26" spans="1:18" ht="69.75" customHeight="1">
      <c r="A26" s="134" t="s">
        <v>40</v>
      </c>
      <c r="B26" s="134"/>
      <c r="C26" s="134"/>
      <c r="D26" s="134"/>
      <c r="E26" s="134"/>
      <c r="F26" s="134"/>
      <c r="G26" s="134"/>
      <c r="H26" s="134" t="s">
        <v>40</v>
      </c>
      <c r="I26" s="134"/>
      <c r="J26" s="134"/>
      <c r="K26" s="134"/>
      <c r="L26" s="134"/>
      <c r="M26" s="134"/>
      <c r="N26" s="134"/>
      <c r="O26" s="134"/>
      <c r="P26" s="134"/>
      <c r="Q26" s="134"/>
    </row>
  </sheetData>
  <mergeCells count="10">
    <mergeCell ref="A26:G26"/>
    <mergeCell ref="A25:G25"/>
    <mergeCell ref="H26:Q26"/>
    <mergeCell ref="H24:Q24"/>
    <mergeCell ref="H5:Q5"/>
    <mergeCell ref="H6:Q6"/>
    <mergeCell ref="A6:F6"/>
    <mergeCell ref="A7:F7"/>
    <mergeCell ref="J8:L8"/>
    <mergeCell ref="M8:P8"/>
  </mergeCells>
  <pageMargins left="0.7" right="0.7" top="0.75" bottom="0.75" header="0.3" footer="0.3"/>
  <pageSetup scale="75" fitToWidth="2" orientation="landscape" r:id="rId1"/>
  <headerFooter scaleWithDoc="0">
    <oddFooter>&amp;LBench_DR_15 Attachment B&amp;CAMA&amp;RPage &amp;P of &amp;N</oddFooter>
  </headerFooter>
  <colBreaks count="1" manualBreakCount="1">
    <brk id="7" max="2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W47"/>
  <sheetViews>
    <sheetView tabSelected="1" view="pageBreakPreview" zoomScale="85" zoomScaleNormal="100" zoomScaleSheetLayoutView="85" workbookViewId="0">
      <selection activeCell="O23" sqref="O23"/>
    </sheetView>
  </sheetViews>
  <sheetFormatPr defaultRowHeight="15"/>
  <cols>
    <col min="1" max="1" width="1.7109375" customWidth="1"/>
    <col min="2" max="2" width="24.85546875" bestFit="1" customWidth="1"/>
    <col min="3" max="3" width="14" bestFit="1" customWidth="1"/>
    <col min="4" max="4" width="12.5703125" bestFit="1" customWidth="1"/>
    <col min="5" max="5" width="12" bestFit="1" customWidth="1"/>
    <col min="6" max="6" width="11.5703125" customWidth="1"/>
    <col min="7" max="7" width="10.7109375" customWidth="1"/>
    <col min="8" max="8" width="26.140625" customWidth="1"/>
    <col min="9" max="9" width="12.85546875" customWidth="1"/>
    <col min="10" max="10" width="16.42578125" customWidth="1"/>
    <col min="11" max="11" width="10.42578125" customWidth="1"/>
    <col min="12" max="12" width="15.140625" customWidth="1"/>
    <col min="13" max="13" width="13.5703125" customWidth="1"/>
    <col min="14" max="14" width="13.42578125" customWidth="1"/>
    <col min="15" max="15" width="14.28515625" customWidth="1"/>
    <col min="16" max="16" width="10.85546875" customWidth="1"/>
    <col min="17" max="17" width="14.85546875" bestFit="1" customWidth="1"/>
    <col min="18" max="18" width="3.5703125" bestFit="1" customWidth="1"/>
    <col min="19" max="19" width="5.42578125" customWidth="1"/>
  </cols>
  <sheetData>
    <row r="1" spans="1:17">
      <c r="A1" s="6" t="s">
        <v>21</v>
      </c>
      <c r="H1" s="6" t="s">
        <v>21</v>
      </c>
    </row>
    <row r="2" spans="1:17">
      <c r="A2" s="65" t="s">
        <v>23</v>
      </c>
      <c r="H2" s="65" t="s">
        <v>23</v>
      </c>
    </row>
    <row r="5" spans="1:17" ht="15.75" thickBot="1">
      <c r="A5" s="2"/>
      <c r="B5" s="2"/>
      <c r="C5" s="2"/>
    </row>
    <row r="6" spans="1:17" ht="15.75" thickBot="1">
      <c r="A6" s="2"/>
      <c r="B6" s="2"/>
      <c r="C6" s="2"/>
      <c r="H6" s="136" t="s">
        <v>8</v>
      </c>
      <c r="I6" s="137"/>
      <c r="J6" s="137"/>
      <c r="K6" s="137"/>
      <c r="L6" s="137"/>
      <c r="M6" s="137"/>
      <c r="N6" s="137"/>
      <c r="O6" s="137"/>
      <c r="P6" s="137"/>
      <c r="Q6" s="138"/>
    </row>
    <row r="7" spans="1:17">
      <c r="A7" s="136" t="s">
        <v>10</v>
      </c>
      <c r="B7" s="137"/>
      <c r="C7" s="137"/>
      <c r="D7" s="137"/>
      <c r="E7" s="137"/>
      <c r="F7" s="138"/>
      <c r="H7" s="139" t="s">
        <v>13</v>
      </c>
      <c r="I7" s="140"/>
      <c r="J7" s="140"/>
      <c r="K7" s="140"/>
      <c r="L7" s="140"/>
      <c r="M7" s="140"/>
      <c r="N7" s="140"/>
      <c r="O7" s="140"/>
      <c r="P7" s="140"/>
      <c r="Q7" s="141"/>
    </row>
    <row r="8" spans="1:17">
      <c r="A8" s="139" t="s">
        <v>6</v>
      </c>
      <c r="B8" s="140"/>
      <c r="C8" s="140"/>
      <c r="D8" s="140"/>
      <c r="E8" s="140"/>
      <c r="F8" s="141"/>
      <c r="H8" s="9"/>
      <c r="I8" s="40"/>
      <c r="J8" s="40"/>
      <c r="K8" s="40"/>
      <c r="L8" s="40"/>
      <c r="M8" s="40"/>
      <c r="N8" s="40"/>
      <c r="O8" s="40"/>
      <c r="P8" s="40"/>
      <c r="Q8" s="10"/>
    </row>
    <row r="9" spans="1:17">
      <c r="A9" s="34"/>
      <c r="B9" s="24"/>
      <c r="C9" s="24"/>
      <c r="D9" s="40"/>
      <c r="E9" s="40"/>
      <c r="F9" s="35"/>
      <c r="H9" s="9"/>
      <c r="I9" s="40"/>
      <c r="J9" s="142">
        <v>2015</v>
      </c>
      <c r="K9" s="143"/>
      <c r="L9" s="144"/>
      <c r="M9" s="142">
        <v>2016</v>
      </c>
      <c r="N9" s="143"/>
      <c r="O9" s="143"/>
      <c r="P9" s="144"/>
      <c r="Q9" s="10"/>
    </row>
    <row r="10" spans="1:17" ht="90">
      <c r="A10" s="14"/>
      <c r="B10" s="25"/>
      <c r="C10" s="27" t="s">
        <v>4</v>
      </c>
      <c r="D10" s="83" t="s">
        <v>34</v>
      </c>
      <c r="E10" s="84" t="s">
        <v>33</v>
      </c>
      <c r="F10" s="31" t="s">
        <v>32</v>
      </c>
      <c r="H10" s="14"/>
      <c r="I10" s="15" t="str">
        <f>F10</f>
        <v>Rate Base 12.31.14 AMA</v>
      </c>
      <c r="J10" s="83" t="s">
        <v>37</v>
      </c>
      <c r="K10" s="89" t="s">
        <v>36</v>
      </c>
      <c r="L10" s="84" t="s">
        <v>35</v>
      </c>
      <c r="M10" s="83" t="s">
        <v>28</v>
      </c>
      <c r="N10" s="89" t="s">
        <v>29</v>
      </c>
      <c r="O10" s="89" t="s">
        <v>30</v>
      </c>
      <c r="P10" s="84" t="s">
        <v>31</v>
      </c>
      <c r="Q10" s="16" t="s">
        <v>5</v>
      </c>
    </row>
    <row r="11" spans="1:17">
      <c r="A11" s="14"/>
      <c r="B11" s="25"/>
      <c r="C11" s="43"/>
      <c r="D11" s="90"/>
      <c r="E11" s="98"/>
      <c r="F11" s="44"/>
      <c r="H11" s="14"/>
      <c r="I11" s="25"/>
      <c r="J11" s="90"/>
      <c r="K11" s="25"/>
      <c r="L11" s="98"/>
      <c r="M11" s="90"/>
      <c r="N11" s="25"/>
      <c r="O11" s="25"/>
      <c r="P11" s="98"/>
      <c r="Q11" s="46"/>
    </row>
    <row r="12" spans="1:17">
      <c r="A12" s="14"/>
      <c r="B12" s="11" t="s">
        <v>14</v>
      </c>
      <c r="C12" s="55">
        <v>13638</v>
      </c>
      <c r="D12" s="109"/>
      <c r="E12" s="85">
        <v>219</v>
      </c>
      <c r="F12" s="53">
        <f>SUM(C12:E12)</f>
        <v>13857</v>
      </c>
      <c r="H12" s="17" t="s">
        <v>14</v>
      </c>
      <c r="I12" s="52">
        <f>F12</f>
        <v>13857</v>
      </c>
      <c r="J12" s="109">
        <v>0</v>
      </c>
      <c r="K12" s="55"/>
      <c r="L12" s="85">
        <v>1403</v>
      </c>
      <c r="M12" s="109">
        <v>0</v>
      </c>
      <c r="N12" s="55"/>
      <c r="O12" s="55"/>
      <c r="P12" s="85">
        <f>1463-6</f>
        <v>1457</v>
      </c>
      <c r="Q12" s="53">
        <f>SUM(I12:P12)</f>
        <v>16717</v>
      </c>
    </row>
    <row r="13" spans="1:17">
      <c r="A13" s="14"/>
      <c r="B13" s="11" t="s">
        <v>18</v>
      </c>
      <c r="C13" s="57">
        <f>-C12</f>
        <v>-13638</v>
      </c>
      <c r="D13" s="114">
        <f t="shared" ref="D13:E13" si="0">-D12</f>
        <v>0</v>
      </c>
      <c r="E13" s="119">
        <f t="shared" si="0"/>
        <v>-219</v>
      </c>
      <c r="F13" s="60">
        <f>-F12</f>
        <v>-13857</v>
      </c>
      <c r="H13" s="17" t="s">
        <v>18</v>
      </c>
      <c r="I13" s="45">
        <f>-I12</f>
        <v>-13857</v>
      </c>
      <c r="J13" s="92">
        <f>-J12</f>
        <v>0</v>
      </c>
      <c r="K13" s="45">
        <f t="shared" ref="K13:L13" si="1">-K12</f>
        <v>0</v>
      </c>
      <c r="L13" s="86">
        <f t="shared" si="1"/>
        <v>-1403</v>
      </c>
      <c r="M13" s="92">
        <f>-M12</f>
        <v>0</v>
      </c>
      <c r="N13" s="45">
        <f t="shared" ref="N13:P13" si="2">-N12</f>
        <v>0</v>
      </c>
      <c r="O13" s="45">
        <f t="shared" si="2"/>
        <v>0</v>
      </c>
      <c r="P13" s="86">
        <f t="shared" si="2"/>
        <v>-1457</v>
      </c>
      <c r="Q13" s="47">
        <f>-Q12</f>
        <v>-16717</v>
      </c>
    </row>
    <row r="14" spans="1:17">
      <c r="A14" s="14"/>
      <c r="B14" s="11" t="s">
        <v>15</v>
      </c>
      <c r="C14" s="49">
        <f>(C23*0.0268)*-0.35</f>
        <v>-2045.5059799999999</v>
      </c>
      <c r="D14" s="115">
        <f t="shared" ref="D14:E14" si="3">(D23*0.0268)*-0.35</f>
        <v>18.26286</v>
      </c>
      <c r="E14" s="120">
        <f t="shared" si="3"/>
        <v>-71.597539999999995</v>
      </c>
      <c r="F14" s="48">
        <f>(F23*0.0268)*-0.35</f>
        <v>-2098.8406599999998</v>
      </c>
      <c r="H14" s="17" t="s">
        <v>15</v>
      </c>
      <c r="I14" s="18">
        <f>(I23*0.0268)*-0.35</f>
        <v>-2098.8406599999998</v>
      </c>
      <c r="J14" s="93">
        <f>(J23*0.0268)*-0.35</f>
        <v>192.60891999999998</v>
      </c>
      <c r="K14" s="18">
        <f t="shared" ref="K14:L14" si="4">(K23*0.0268)*-0.35</f>
        <v>-17.88766</v>
      </c>
      <c r="L14" s="87">
        <f t="shared" si="4"/>
        <v>-308.61138</v>
      </c>
      <c r="M14" s="93">
        <f>(M23*0.0268)*-0.35</f>
        <v>120.73935999999999</v>
      </c>
      <c r="N14" s="18">
        <f t="shared" ref="N14:P14" si="5">(N23*0.0268)*-0.35</f>
        <v>-1.6321199999999998</v>
      </c>
      <c r="O14" s="18">
        <f t="shared" si="5"/>
        <v>25.2791</v>
      </c>
      <c r="P14" s="87">
        <f t="shared" si="5"/>
        <v>-281.22177999999997</v>
      </c>
      <c r="Q14" s="48">
        <f>(Q23*0.0268)*-0.35</f>
        <v>-2369.5662199999997</v>
      </c>
    </row>
    <row r="15" spans="1:17">
      <c r="A15" s="14"/>
      <c r="B15" s="11" t="s">
        <v>16</v>
      </c>
      <c r="C15" s="49">
        <f>C13*0.35</f>
        <v>-4773.2999999999993</v>
      </c>
      <c r="D15" s="115">
        <f t="shared" ref="D15:E15" si="6">D13*0.35</f>
        <v>0</v>
      </c>
      <c r="E15" s="120">
        <f t="shared" si="6"/>
        <v>-76.649999999999991</v>
      </c>
      <c r="F15" s="48">
        <f t="shared" ref="F15" si="7">F13*0.35</f>
        <v>-4849.95</v>
      </c>
      <c r="H15" s="17" t="s">
        <v>16</v>
      </c>
      <c r="I15" s="18">
        <f>I13*0.35</f>
        <v>-4849.95</v>
      </c>
      <c r="J15" s="93">
        <f>J13*0.35</f>
        <v>0</v>
      </c>
      <c r="K15" s="18">
        <f t="shared" ref="K15:L15" si="8">K13*0.35</f>
        <v>0</v>
      </c>
      <c r="L15" s="87">
        <f t="shared" si="8"/>
        <v>-491.04999999999995</v>
      </c>
      <c r="M15" s="93">
        <f>M13*0.35</f>
        <v>0</v>
      </c>
      <c r="N15" s="18">
        <f t="shared" ref="N15:P15" si="9">N13*0.35</f>
        <v>0</v>
      </c>
      <c r="O15" s="18">
        <f t="shared" si="9"/>
        <v>0</v>
      </c>
      <c r="P15" s="87">
        <f t="shared" si="9"/>
        <v>-509.95</v>
      </c>
      <c r="Q15" s="48">
        <f>Q13*0.35</f>
        <v>-5850.95</v>
      </c>
    </row>
    <row r="16" spans="1:17" ht="15.75" thickBot="1">
      <c r="A16" s="14"/>
      <c r="B16" s="11" t="s">
        <v>17</v>
      </c>
      <c r="C16" s="58">
        <f>C13-C14-C15</f>
        <v>-6819.1940200000008</v>
      </c>
      <c r="D16" s="116">
        <f t="shared" ref="D16:F16" si="10">D13-D14-D15</f>
        <v>-18.26286</v>
      </c>
      <c r="E16" s="121">
        <f t="shared" si="10"/>
        <v>-70.752460000000028</v>
      </c>
      <c r="F16" s="32">
        <f t="shared" si="10"/>
        <v>-6908.2093400000003</v>
      </c>
      <c r="H16" s="17" t="s">
        <v>17</v>
      </c>
      <c r="I16" s="19">
        <f>I13-I14-I15</f>
        <v>-6908.2093400000003</v>
      </c>
      <c r="J16" s="94">
        <f>J13-J14-J15</f>
        <v>-192.60891999999998</v>
      </c>
      <c r="K16" s="19">
        <f t="shared" ref="K16:L16" si="11">K13-K14-K15</f>
        <v>17.88766</v>
      </c>
      <c r="L16" s="88">
        <f t="shared" si="11"/>
        <v>-603.33861999999999</v>
      </c>
      <c r="M16" s="94">
        <f>M13-M14-M15</f>
        <v>-120.73935999999999</v>
      </c>
      <c r="N16" s="19">
        <f t="shared" ref="N16:P16" si="12">N13-N14-N15</f>
        <v>1.6321199999999998</v>
      </c>
      <c r="O16" s="19">
        <f t="shared" si="12"/>
        <v>-25.2791</v>
      </c>
      <c r="P16" s="88">
        <f t="shared" si="12"/>
        <v>-665.8282200000001</v>
      </c>
      <c r="Q16" s="32">
        <f>Q13-Q14-Q15</f>
        <v>-8496.4837799999987</v>
      </c>
    </row>
    <row r="17" spans="1:23">
      <c r="A17" s="14"/>
      <c r="B17" s="25"/>
      <c r="C17" s="59"/>
      <c r="D17" s="128"/>
      <c r="E17" s="122"/>
      <c r="F17" s="44"/>
      <c r="H17" s="14"/>
      <c r="I17" s="25"/>
      <c r="J17" s="90"/>
      <c r="K17" s="25"/>
      <c r="L17" s="98"/>
      <c r="M17" s="90"/>
      <c r="N17" s="25"/>
      <c r="O17" s="25"/>
      <c r="P17" s="98"/>
      <c r="Q17" s="46"/>
    </row>
    <row r="18" spans="1:23">
      <c r="A18" s="17"/>
      <c r="B18" s="11" t="s">
        <v>0</v>
      </c>
      <c r="C18" s="52">
        <v>416051</v>
      </c>
      <c r="D18" s="91"/>
      <c r="E18" s="99">
        <v>2219</v>
      </c>
      <c r="F18" s="53">
        <f>SUM(C18:E18)</f>
        <v>418270</v>
      </c>
      <c r="H18" s="17" t="s">
        <v>0</v>
      </c>
      <c r="I18" s="52">
        <f>F18</f>
        <v>418270</v>
      </c>
      <c r="J18" s="91">
        <v>0</v>
      </c>
      <c r="K18" s="52"/>
      <c r="L18" s="99">
        <f>21837-2826+12761</f>
        <v>31772</v>
      </c>
      <c r="M18" s="91">
        <v>0</v>
      </c>
      <c r="N18" s="52"/>
      <c r="O18" s="52"/>
      <c r="P18" s="99">
        <f>18844+11670-2465</f>
        <v>28049</v>
      </c>
      <c r="Q18" s="53">
        <f>SUM(I18:P18)</f>
        <v>478091</v>
      </c>
    </row>
    <row r="19" spans="1:23">
      <c r="A19" s="17"/>
      <c r="B19" s="11" t="s">
        <v>3</v>
      </c>
      <c r="C19" s="50">
        <v>-139625</v>
      </c>
      <c r="D19" s="105">
        <v>-3410</v>
      </c>
      <c r="E19" s="100">
        <v>1391</v>
      </c>
      <c r="F19" s="54">
        <f>SUM(C19:E19)</f>
        <v>-141644</v>
      </c>
      <c r="H19" s="17" t="s">
        <v>3</v>
      </c>
      <c r="I19" s="52">
        <f>F19</f>
        <v>-141644</v>
      </c>
      <c r="J19" s="105">
        <f>-2996-6933</f>
        <v>-9929</v>
      </c>
      <c r="K19" s="50">
        <v>80</v>
      </c>
      <c r="L19" s="100">
        <f>2826-740-1</f>
        <v>2085</v>
      </c>
      <c r="M19" s="105">
        <f>-4212-6933+278</f>
        <v>-10867</v>
      </c>
      <c r="N19" s="50">
        <v>80</v>
      </c>
      <c r="O19" s="50">
        <v>-1315</v>
      </c>
      <c r="P19" s="100">
        <f>2465-298+1</f>
        <v>2168</v>
      </c>
      <c r="Q19" s="53">
        <f t="shared" ref="Q19:Q20" si="13">SUM(I19:P19)</f>
        <v>-159342</v>
      </c>
    </row>
    <row r="20" spans="1:23">
      <c r="A20" s="17"/>
      <c r="B20" s="11" t="s">
        <v>1</v>
      </c>
      <c r="C20" s="50">
        <v>-58355</v>
      </c>
      <c r="D20" s="105">
        <v>1463</v>
      </c>
      <c r="E20" s="100">
        <v>2273</v>
      </c>
      <c r="F20" s="54">
        <f>SUM(C20:E20)</f>
        <v>-54619</v>
      </c>
      <c r="H20" s="17" t="s">
        <v>1</v>
      </c>
      <c r="I20" s="52">
        <f>F20</f>
        <v>-54619</v>
      </c>
      <c r="J20" s="105">
        <f>-10314-291</f>
        <v>-10605</v>
      </c>
      <c r="K20" s="50">
        <v>77</v>
      </c>
      <c r="L20" s="100">
        <f>-955-1</f>
        <v>-956</v>
      </c>
      <c r="M20" s="105">
        <f>-1752-253</f>
        <v>-2005</v>
      </c>
      <c r="N20" s="50">
        <v>94</v>
      </c>
      <c r="O20" s="50">
        <v>-1380</v>
      </c>
      <c r="P20" s="100">
        <v>-236</v>
      </c>
      <c r="Q20" s="53">
        <f t="shared" si="13"/>
        <v>-69630</v>
      </c>
      <c r="R20" s="79" t="s">
        <v>24</v>
      </c>
    </row>
    <row r="21" spans="1:23" s="69" customFormat="1">
      <c r="A21" s="28"/>
      <c r="B21" s="66" t="s">
        <v>2</v>
      </c>
      <c r="C21" s="67">
        <f>SUM(C18:C20)</f>
        <v>218071</v>
      </c>
      <c r="D21" s="129">
        <f t="shared" ref="D21:E21" si="14">SUM(D18:D20)</f>
        <v>-1947</v>
      </c>
      <c r="E21" s="112">
        <f t="shared" si="14"/>
        <v>5883</v>
      </c>
      <c r="F21" s="68">
        <f>SUM(F18:F20)</f>
        <v>222007</v>
      </c>
      <c r="H21" s="28" t="s">
        <v>2</v>
      </c>
      <c r="I21" s="70">
        <f>SUM(I18:I20)</f>
        <v>222007</v>
      </c>
      <c r="J21" s="95">
        <f>SUM(J18:J20)</f>
        <v>-20534</v>
      </c>
      <c r="K21" s="70">
        <f t="shared" ref="K21:L21" si="15">SUM(K18:K20)</f>
        <v>157</v>
      </c>
      <c r="L21" s="124">
        <f t="shared" si="15"/>
        <v>32901</v>
      </c>
      <c r="M21" s="95">
        <f>SUM(M18:M20)</f>
        <v>-12872</v>
      </c>
      <c r="N21" s="70">
        <f t="shared" ref="N21:P21" si="16">SUM(N18:N20)</f>
        <v>174</v>
      </c>
      <c r="O21" s="70">
        <f t="shared" si="16"/>
        <v>-2695</v>
      </c>
      <c r="P21" s="124">
        <f t="shared" si="16"/>
        <v>29981</v>
      </c>
      <c r="Q21" s="71">
        <f>SUM(Q18:Q20)+1</f>
        <v>249120</v>
      </c>
      <c r="R21" s="79" t="s">
        <v>25</v>
      </c>
    </row>
    <row r="22" spans="1:23">
      <c r="A22" s="17"/>
      <c r="B22" s="11" t="s">
        <v>19</v>
      </c>
      <c r="C22" s="50">
        <v>0</v>
      </c>
      <c r="D22" s="105"/>
      <c r="E22" s="100">
        <v>1750</v>
      </c>
      <c r="F22" s="54">
        <f>SUM(C22:E22)</f>
        <v>1750</v>
      </c>
      <c r="H22" s="17" t="s">
        <v>19</v>
      </c>
      <c r="I22" s="52">
        <f>F22</f>
        <v>1750</v>
      </c>
      <c r="J22" s="127"/>
      <c r="K22" s="50">
        <v>1750</v>
      </c>
      <c r="L22" s="101"/>
      <c r="M22" s="105"/>
      <c r="N22" s="50"/>
      <c r="O22" s="50"/>
      <c r="P22" s="100"/>
      <c r="Q22" s="53">
        <f>SUM(I22:M22)</f>
        <v>3500</v>
      </c>
      <c r="R22" s="79" t="s">
        <v>24</v>
      </c>
    </row>
    <row r="23" spans="1:23" ht="15.75" thickBot="1">
      <c r="A23" s="17"/>
      <c r="B23" s="11" t="s">
        <v>20</v>
      </c>
      <c r="C23" s="26">
        <f>C21+C22</f>
        <v>218071</v>
      </c>
      <c r="D23" s="125">
        <f t="shared" ref="D23:E23" si="17">D21+D22</f>
        <v>-1947</v>
      </c>
      <c r="E23" s="126">
        <f t="shared" si="17"/>
        <v>7633</v>
      </c>
      <c r="F23" s="33">
        <f>F21+F22</f>
        <v>223757</v>
      </c>
      <c r="H23" s="17" t="s">
        <v>20</v>
      </c>
      <c r="I23" s="26">
        <f>I21+I22</f>
        <v>223757</v>
      </c>
      <c r="J23" s="125">
        <f>J21+J22</f>
        <v>-20534</v>
      </c>
      <c r="K23" s="26">
        <f t="shared" ref="K23:L23" si="18">K21+K22</f>
        <v>1907</v>
      </c>
      <c r="L23" s="126">
        <f t="shared" si="18"/>
        <v>32901</v>
      </c>
      <c r="M23" s="125">
        <f>M21+M22</f>
        <v>-12872</v>
      </c>
      <c r="N23" s="26">
        <f t="shared" ref="N23:P23" si="19">N21+N22</f>
        <v>174</v>
      </c>
      <c r="O23" s="26">
        <f t="shared" si="19"/>
        <v>-2695</v>
      </c>
      <c r="P23" s="126">
        <f t="shared" si="19"/>
        <v>29981</v>
      </c>
      <c r="Q23" s="33">
        <f>Q21+Q22-1</f>
        <v>252619</v>
      </c>
    </row>
    <row r="24" spans="1:23" ht="14.25" customHeight="1" thickBot="1">
      <c r="A24" s="38"/>
      <c r="B24" s="39"/>
      <c r="C24" s="36"/>
      <c r="D24" s="36"/>
      <c r="E24" s="36"/>
      <c r="F24" s="37"/>
      <c r="H24" s="20"/>
      <c r="I24" s="21"/>
      <c r="J24" s="21"/>
      <c r="K24" s="21"/>
      <c r="L24" s="21"/>
      <c r="M24" s="21"/>
      <c r="N24" s="21"/>
      <c r="O24" s="21"/>
      <c r="P24" s="21"/>
      <c r="Q24" s="22"/>
      <c r="R24" s="5"/>
      <c r="S24" s="5"/>
      <c r="T24" s="5"/>
      <c r="U24" s="5"/>
      <c r="V24" s="5"/>
      <c r="W24" s="5"/>
    </row>
    <row r="25" spans="1:23" s="131" customFormat="1" ht="14.25" customHeight="1">
      <c r="A25" s="146"/>
      <c r="B25" s="146"/>
      <c r="C25" s="146"/>
      <c r="D25" s="146"/>
      <c r="E25" s="146"/>
      <c r="F25" s="146"/>
      <c r="G25" s="146"/>
      <c r="H25" s="132" t="s">
        <v>26</v>
      </c>
      <c r="I25" s="132"/>
      <c r="J25" s="132"/>
      <c r="K25" s="132"/>
      <c r="L25" s="132"/>
      <c r="M25" s="132"/>
      <c r="N25" s="132"/>
      <c r="O25" s="132"/>
      <c r="P25" s="132"/>
      <c r="Q25" s="132"/>
      <c r="R25" s="133"/>
      <c r="S25" s="133"/>
      <c r="T25" s="133"/>
      <c r="U25" s="133"/>
      <c r="V25" s="133"/>
      <c r="W25" s="133"/>
    </row>
    <row r="26" spans="1:23" ht="15.75">
      <c r="A26" s="146"/>
      <c r="B26" s="146"/>
      <c r="C26" s="146"/>
      <c r="D26" s="146"/>
      <c r="E26" s="146"/>
      <c r="F26" s="146"/>
      <c r="G26" s="146"/>
      <c r="H26" s="135" t="s">
        <v>39</v>
      </c>
      <c r="I26" s="145"/>
      <c r="J26" s="145"/>
      <c r="K26" s="145"/>
      <c r="L26" s="145"/>
      <c r="M26" s="145"/>
      <c r="N26" s="145"/>
      <c r="O26" s="145"/>
      <c r="P26" s="145"/>
      <c r="Q26" s="145"/>
      <c r="R26" s="5"/>
      <c r="S26" s="5"/>
      <c r="T26" s="5"/>
      <c r="U26" s="5"/>
      <c r="V26" s="5"/>
      <c r="W26" s="5"/>
    </row>
    <row r="27" spans="1:23" ht="15.75">
      <c r="A27" s="134" t="s">
        <v>38</v>
      </c>
      <c r="B27" s="134"/>
      <c r="C27" s="134"/>
      <c r="D27" s="134"/>
      <c r="E27" s="134"/>
      <c r="F27" s="134"/>
      <c r="G27" s="134"/>
      <c r="H27" s="8"/>
      <c r="I27" s="8"/>
      <c r="J27" s="8"/>
      <c r="K27" s="8"/>
      <c r="L27" s="8"/>
      <c r="M27" s="8"/>
      <c r="N27" s="8"/>
      <c r="O27" s="8"/>
      <c r="P27" s="8"/>
      <c r="Q27" s="8"/>
      <c r="R27" s="5"/>
      <c r="S27" s="5"/>
      <c r="T27" s="5"/>
      <c r="U27" s="5"/>
      <c r="V27" s="5"/>
      <c r="W27" s="5"/>
    </row>
    <row r="28" spans="1:23" s="5" customFormat="1" ht="69.75" customHeight="1">
      <c r="A28" s="134" t="s">
        <v>41</v>
      </c>
      <c r="B28" s="134"/>
      <c r="C28" s="134"/>
      <c r="D28" s="134"/>
      <c r="E28" s="134"/>
      <c r="F28" s="134"/>
      <c r="G28" s="134"/>
      <c r="H28" s="134" t="s">
        <v>41</v>
      </c>
      <c r="I28" s="134"/>
      <c r="J28" s="134"/>
      <c r="K28" s="134"/>
      <c r="L28" s="134"/>
      <c r="M28" s="134"/>
      <c r="N28" s="134"/>
      <c r="O28" s="134"/>
      <c r="P28" s="134"/>
      <c r="Q28" s="134"/>
    </row>
    <row r="29" spans="1:23">
      <c r="A29" s="5"/>
      <c r="B29" s="5"/>
      <c r="C29" s="5"/>
      <c r="D29" s="5"/>
      <c r="E29" s="5"/>
      <c r="F29" s="80"/>
      <c r="G29" s="3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3">
      <c r="A30" s="5"/>
      <c r="B30" s="5"/>
      <c r="C30" s="5"/>
      <c r="D30" s="5"/>
      <c r="E30" s="5"/>
      <c r="F30" s="5"/>
      <c r="G30" s="81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</row>
    <row r="31" spans="1:23">
      <c r="A31" s="5"/>
      <c r="B31" s="5"/>
      <c r="C31" s="5"/>
      <c r="D31" s="5"/>
      <c r="E31" s="5"/>
      <c r="F31" s="5"/>
      <c r="G31" s="81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</row>
    <row r="32" spans="1:23">
      <c r="A32" s="5"/>
      <c r="B32" s="5"/>
      <c r="C32" s="5"/>
      <c r="D32" s="5"/>
      <c r="E32" s="5"/>
      <c r="F32" s="5"/>
      <c r="G32" s="82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</row>
    <row r="33" spans="1:21">
      <c r="A33" s="5"/>
      <c r="B33" s="5"/>
      <c r="C33" s="5"/>
      <c r="D33" s="5"/>
      <c r="E33" s="5"/>
      <c r="F33" s="5"/>
      <c r="G33" s="3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</row>
    <row r="34" spans="1:21">
      <c r="A34" s="5"/>
      <c r="B34" s="5"/>
      <c r="C34" s="5"/>
      <c r="D34" s="5"/>
      <c r="E34" s="5"/>
      <c r="F34" s="5"/>
      <c r="G34" s="3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</row>
    <row r="35" spans="1:21">
      <c r="A35" s="5"/>
      <c r="B35" s="5"/>
      <c r="C35" s="5"/>
      <c r="D35" s="5"/>
      <c r="E35" s="5"/>
      <c r="F35" s="5"/>
      <c r="G35" s="3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</row>
    <row r="36" spans="1:21">
      <c r="A36" s="5"/>
      <c r="B36" s="5"/>
      <c r="C36" s="5"/>
      <c r="D36" s="5"/>
      <c r="E36" s="5"/>
      <c r="F36" s="5"/>
      <c r="G36" s="3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</row>
    <row r="37" spans="1:21">
      <c r="G37" s="1"/>
    </row>
    <row r="38" spans="1:21">
      <c r="G38" s="1"/>
    </row>
    <row r="39" spans="1:21">
      <c r="G39" s="1"/>
    </row>
    <row r="40" spans="1:21">
      <c r="G40" s="1"/>
    </row>
    <row r="41" spans="1:21">
      <c r="G41" s="1"/>
    </row>
    <row r="42" spans="1:21">
      <c r="G42" s="1"/>
    </row>
    <row r="43" spans="1:21">
      <c r="G43" s="1"/>
    </row>
    <row r="44" spans="1:21">
      <c r="G44" s="1"/>
    </row>
    <row r="45" spans="1:21">
      <c r="G45" s="1"/>
    </row>
    <row r="46" spans="1:21">
      <c r="G46" s="1"/>
    </row>
    <row r="47" spans="1:21">
      <c r="G47" s="11"/>
    </row>
  </sheetData>
  <mergeCells count="12">
    <mergeCell ref="A28:G28"/>
    <mergeCell ref="H28:Q28"/>
    <mergeCell ref="A27:G27"/>
    <mergeCell ref="H6:Q6"/>
    <mergeCell ref="H7:Q7"/>
    <mergeCell ref="A7:F7"/>
    <mergeCell ref="A8:F8"/>
    <mergeCell ref="H26:Q26"/>
    <mergeCell ref="J9:L9"/>
    <mergeCell ref="M9:P9"/>
    <mergeCell ref="A26:G26"/>
    <mergeCell ref="A25:G25"/>
  </mergeCells>
  <pageMargins left="0.7" right="0.7" top="0.75" bottom="0.75" header="0.3" footer="0.3"/>
  <pageSetup scale="77" fitToWidth="2" orientation="landscape" r:id="rId1"/>
  <headerFooter scaleWithDoc="0">
    <oddFooter>&amp;LBench_DR_15 Attachment B&amp;CAMA&amp;R&amp;P of &amp;N</oddFooter>
  </headerFooter>
  <colBreaks count="1" manualBreakCount="1">
    <brk id="7" max="27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43" sqref="B43"/>
    </sheetView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7FA5D4F63E4AB4AAE35AF92A0E8AE17" ma:contentTypeVersion="119" ma:contentTypeDescription="" ma:contentTypeScope="" ma:versionID="a36623e24926dd0089eeb1dc00071bb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2015-02-09T08:00:00+00:00</OpenedDate>
    <Date1 xmlns="dc463f71-b30c-4ab2-9473-d307f9d35888">2015-10-26T07:00:00+00:00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150204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50F6B768-8D1E-4131-85AC-D5B99D637283}"/>
</file>

<file path=customXml/itemProps2.xml><?xml version="1.0" encoding="utf-8"?>
<ds:datastoreItem xmlns:ds="http://schemas.openxmlformats.org/officeDocument/2006/customXml" ds:itemID="{92D08B08-6DB0-4FAD-A488-7BD076CDC058}"/>
</file>

<file path=customXml/itemProps3.xml><?xml version="1.0" encoding="utf-8"?>
<ds:datastoreItem xmlns:ds="http://schemas.openxmlformats.org/officeDocument/2006/customXml" ds:itemID="{69038946-8698-4707-90B9-15EC510255C0}"/>
</file>

<file path=customXml/itemProps4.xml><?xml version="1.0" encoding="utf-8"?>
<ds:datastoreItem xmlns:ds="http://schemas.openxmlformats.org/officeDocument/2006/customXml" ds:itemID="{A8E41B21-5BD4-4174-86DD-AF9CED2C61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Attachment B - Elec</vt:lpstr>
      <vt:lpstr>Attachment B -Gas</vt:lpstr>
      <vt:lpstr>Sheet2</vt:lpstr>
      <vt:lpstr>Sheet3</vt:lpstr>
      <vt:lpstr>'Attachment B - Elec'!Print_Area</vt:lpstr>
      <vt:lpstr>'Attachment B -Gas'!Print_Area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</dc:creator>
  <cp:lastModifiedBy>Liz Andrews</cp:lastModifiedBy>
  <cp:lastPrinted>2015-10-26T21:14:14Z</cp:lastPrinted>
  <dcterms:created xsi:type="dcterms:W3CDTF">2010-03-18T19:22:34Z</dcterms:created>
  <dcterms:modified xsi:type="dcterms:W3CDTF">2015-10-26T21:20:22Z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0x0101006E56B4D1795A2E4DB2F0B01679ED314A0097FA5D4F63E4AB4AAE35AF92A0E8AE17</vt:lpwstr>
  </property>
  <property fmtid="{D5CDD505-2E9C-101B-9397-08002B2CF9AE}" pid="3" name="_docset_NoMedatataSyncRequired">
    <vt:lpwstr>False</vt:lpwstr>
  </property>
</Properties>
</file>