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Capital Markets\Regulatory\GRC's\2019\2019 GRC\Treasurer Testimony\Perkins update 6.13.19\"/>
    </mc:Choice>
  </mc:AlternateContent>
  <bookViews>
    <workbookView xWindow="795" yWindow="2715" windowWidth="16335" windowHeight="8535" tabRatio="883"/>
  </bookViews>
  <sheets>
    <sheet name="Pg 1 Summary" sheetId="83" r:id="rId1"/>
    <sheet name="Pg 2 CapStructure" sheetId="1" r:id="rId2"/>
    <sheet name="Pg 3 STD Cost Rate" sheetId="2" r:id="rId3"/>
    <sheet name="Pg 4 STD OS &amp; Comm Fees" sheetId="21" r:id="rId4"/>
    <sheet name="Pg 5 STD Amort" sheetId="71" r:id="rId5"/>
    <sheet name="Pg 6 LTD Cost " sheetId="7" r:id="rId6"/>
    <sheet name="Pg 7 Reacquired Debt" sheetId="29" r:id="rId7"/>
  </sheets>
  <definedNames>
    <definedName name="_xlnm.Print_Area" localSheetId="0">'Pg 1 Summary'!$A$1:$F$33</definedName>
    <definedName name="_xlnm.Print_Area" localSheetId="1">'Pg 2 CapStructure'!$A$1:$Q$44</definedName>
    <definedName name="_xlnm.Print_Area" localSheetId="3">'Pg 4 STD OS &amp; Comm Fees'!$A$1:$K$36</definedName>
    <definedName name="_xlnm.Print_Area" localSheetId="4">'Pg 5 STD Amort'!$A$1:$I$35</definedName>
    <definedName name="_xlnm.Print_Area" localSheetId="5">'Pg 6 LTD Cost '!$A$1:$Y$37</definedName>
    <definedName name="_xlnm.Print_Area" localSheetId="6">'Pg 7 Reacquired Debt'!$A$1:$J$40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0" i="7" l="1"/>
  <c r="H30" i="7" s="1"/>
  <c r="A3" i="29" l="1"/>
  <c r="A3" i="7"/>
  <c r="A3" i="71"/>
  <c r="A3" i="21"/>
  <c r="A4" i="2"/>
  <c r="J31" i="21"/>
  <c r="O42" i="1" l="1"/>
  <c r="O41" i="1"/>
  <c r="O40" i="1" l="1"/>
  <c r="G29" i="71" l="1"/>
  <c r="C15" i="71"/>
  <c r="C13" i="71"/>
  <c r="N41" i="1" l="1"/>
  <c r="N40" i="1"/>
  <c r="N42" i="1"/>
  <c r="M41" i="1"/>
  <c r="M40" i="1"/>
  <c r="M42" i="1"/>
  <c r="L42" i="1"/>
  <c r="K42" i="1"/>
  <c r="J42" i="1"/>
  <c r="I42" i="1"/>
  <c r="H42" i="1"/>
  <c r="G42" i="1"/>
  <c r="E42" i="1"/>
  <c r="L41" i="1"/>
  <c r="K41" i="1"/>
  <c r="G41" i="1"/>
  <c r="L40" i="1"/>
  <c r="K40" i="1"/>
  <c r="J40" i="1"/>
  <c r="I40" i="1"/>
  <c r="H40" i="1"/>
  <c r="G40" i="1"/>
  <c r="F40" i="1"/>
  <c r="E40" i="1"/>
  <c r="D40" i="1"/>
  <c r="C40" i="1"/>
  <c r="K12" i="1"/>
  <c r="J12" i="1"/>
  <c r="I12" i="1"/>
  <c r="H12" i="1"/>
  <c r="G12" i="1"/>
  <c r="F12" i="1"/>
  <c r="E12" i="1"/>
  <c r="D12" i="1"/>
  <c r="C12" i="1"/>
  <c r="E26" i="21"/>
  <c r="G26" i="21"/>
  <c r="H26" i="21" s="1"/>
  <c r="A27" i="21"/>
  <c r="A28" i="21" s="1"/>
  <c r="A29" i="21" s="1"/>
  <c r="A30" i="21" s="1"/>
  <c r="A31" i="21" s="1"/>
  <c r="A32" i="21" s="1"/>
  <c r="A33" i="21" s="1"/>
  <c r="A34" i="21" s="1"/>
  <c r="A35" i="21" s="1"/>
  <c r="A36" i="21" s="1"/>
  <c r="E13" i="21"/>
  <c r="A14" i="21"/>
  <c r="A15" i="21" s="1"/>
  <c r="A16" i="21" s="1"/>
  <c r="J26" i="21" l="1"/>
  <c r="F13" i="21" s="1"/>
  <c r="I23" i="7" l="1"/>
  <c r="H25" i="7" l="1"/>
  <c r="X25" i="7" s="1"/>
  <c r="F25" i="7"/>
  <c r="C27" i="71"/>
  <c r="D27" i="71"/>
  <c r="E27" i="71"/>
  <c r="F27" i="71"/>
  <c r="G27" i="71"/>
  <c r="H27" i="71"/>
  <c r="I25" i="7" l="1"/>
  <c r="V28" i="7" l="1"/>
  <c r="U28" i="7"/>
  <c r="T28" i="7"/>
  <c r="Q7" i="1" l="1"/>
  <c r="Q40" i="1" l="1"/>
  <c r="Q34" i="1"/>
  <c r="G27" i="21"/>
  <c r="Q36" i="1" l="1"/>
  <c r="Q41" i="1"/>
  <c r="Q14" i="1"/>
  <c r="M38" i="1"/>
  <c r="H23" i="7" l="1"/>
  <c r="X23" i="7" s="1"/>
  <c r="M43" i="1"/>
  <c r="N43" i="1"/>
  <c r="O43" i="1"/>
  <c r="N38" i="1"/>
  <c r="O38" i="1"/>
  <c r="O16" i="1"/>
  <c r="N16" i="1"/>
  <c r="M16" i="1"/>
  <c r="M10" i="1"/>
  <c r="N10" i="1"/>
  <c r="O10" i="1"/>
  <c r="Q9" i="1"/>
  <c r="Q8" i="1"/>
  <c r="E16" i="2"/>
  <c r="D16" i="2" s="1"/>
  <c r="C16" i="2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E15" i="21"/>
  <c r="E14" i="21"/>
  <c r="E27" i="21"/>
  <c r="H27" i="21"/>
  <c r="E12" i="21"/>
  <c r="E11" i="21"/>
  <c r="I24" i="29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7" i="7"/>
  <c r="T6" i="7"/>
  <c r="U6" i="7"/>
  <c r="V6" i="7"/>
  <c r="H31" i="71"/>
  <c r="G31" i="71"/>
  <c r="F31" i="71"/>
  <c r="D31" i="71"/>
  <c r="E31" i="71"/>
  <c r="C16" i="1"/>
  <c r="D16" i="1"/>
  <c r="E16" i="1"/>
  <c r="F16" i="1"/>
  <c r="H16" i="1"/>
  <c r="I16" i="1"/>
  <c r="J16" i="1"/>
  <c r="L43" i="1"/>
  <c r="K43" i="1"/>
  <c r="J43" i="1"/>
  <c r="L16" i="1"/>
  <c r="K16" i="1"/>
  <c r="Q42" i="1"/>
  <c r="I43" i="1"/>
  <c r="H43" i="1"/>
  <c r="G43" i="1"/>
  <c r="F43" i="1"/>
  <c r="G16" i="1"/>
  <c r="E43" i="1"/>
  <c r="A9" i="83"/>
  <c r="A10" i="83" s="1"/>
  <c r="A11" i="83" s="1"/>
  <c r="A12" i="83" s="1"/>
  <c r="A13" i="83" s="1"/>
  <c r="A14" i="83" s="1"/>
  <c r="A15" i="83" s="1"/>
  <c r="A16" i="83" s="1"/>
  <c r="A17" i="83" s="1"/>
  <c r="S6" i="7"/>
  <c r="R6" i="7"/>
  <c r="Q6" i="7"/>
  <c r="P6" i="7"/>
  <c r="O6" i="7"/>
  <c r="N6" i="7"/>
  <c r="M6" i="7"/>
  <c r="L6" i="7"/>
  <c r="K6" i="7"/>
  <c r="J6" i="7"/>
  <c r="K38" i="1"/>
  <c r="J38" i="1"/>
  <c r="I38" i="1"/>
  <c r="I44" i="1" s="1"/>
  <c r="I20" i="1" s="1"/>
  <c r="H38" i="1"/>
  <c r="G38" i="1"/>
  <c r="F38" i="1"/>
  <c r="E38" i="1"/>
  <c r="D38" i="1"/>
  <c r="C38" i="1"/>
  <c r="K10" i="1"/>
  <c r="J10" i="1"/>
  <c r="I10" i="1"/>
  <c r="H10" i="1"/>
  <c r="G10" i="1"/>
  <c r="F10" i="1"/>
  <c r="E10" i="1"/>
  <c r="D10" i="1"/>
  <c r="C10" i="1"/>
  <c r="J32" i="21"/>
  <c r="H24" i="7"/>
  <c r="L38" i="1"/>
  <c r="L10" i="1"/>
  <c r="A27" i="71"/>
  <c r="A28" i="71" s="1"/>
  <c r="A29" i="71" s="1"/>
  <c r="A30" i="71" s="1"/>
  <c r="A31" i="71" s="1"/>
  <c r="A32" i="71" s="1"/>
  <c r="A33" i="71" s="1"/>
  <c r="A34" i="71" s="1"/>
  <c r="A35" i="71" s="1"/>
  <c r="E15" i="2"/>
  <c r="D15" i="2" s="1"/>
  <c r="A21" i="21"/>
  <c r="A22" i="21" s="1"/>
  <c r="A23" i="21" s="1"/>
  <c r="A24" i="21" s="1"/>
  <c r="A25" i="21" s="1"/>
  <c r="H13" i="7"/>
  <c r="X13" i="7" s="1"/>
  <c r="H12" i="7"/>
  <c r="D21" i="29"/>
  <c r="C15" i="2"/>
  <c r="C13" i="2"/>
  <c r="E13" i="2"/>
  <c r="H22" i="7"/>
  <c r="X22" i="7" s="1"/>
  <c r="H21" i="7"/>
  <c r="X21" i="7" s="1"/>
  <c r="H20" i="7"/>
  <c r="X20" i="7" s="1"/>
  <c r="I25" i="29"/>
  <c r="I31" i="29" s="1"/>
  <c r="I27" i="7" s="1"/>
  <c r="X27" i="7" s="1"/>
  <c r="H19" i="7"/>
  <c r="X19" i="7" s="1"/>
  <c r="H18" i="7"/>
  <c r="H7" i="7"/>
  <c r="H8" i="7"/>
  <c r="H9" i="7"/>
  <c r="X9" i="7" s="1"/>
  <c r="H10" i="7"/>
  <c r="X10" i="7" s="1"/>
  <c r="H11" i="7"/>
  <c r="I11" i="7" s="1"/>
  <c r="H14" i="7"/>
  <c r="I14" i="7" s="1"/>
  <c r="H15" i="7"/>
  <c r="I15" i="7" s="1"/>
  <c r="H16" i="7"/>
  <c r="I16" i="7" s="1"/>
  <c r="H17" i="7"/>
  <c r="D20" i="29"/>
  <c r="D19" i="29"/>
  <c r="D18" i="29"/>
  <c r="H13" i="29"/>
  <c r="H12" i="29"/>
  <c r="S28" i="7"/>
  <c r="X29" i="7"/>
  <c r="A6" i="21"/>
  <c r="A7" i="21" s="1"/>
  <c r="A8" i="21" s="1"/>
  <c r="A9" i="21" s="1"/>
  <c r="A10" i="21" s="1"/>
  <c r="A11" i="21" s="1"/>
  <c r="A12" i="21" s="1"/>
  <c r="A9" i="71"/>
  <c r="A10" i="71" s="1"/>
  <c r="A11" i="71" s="1"/>
  <c r="A12" i="71" s="1"/>
  <c r="A13" i="71" s="1"/>
  <c r="A14" i="71" s="1"/>
  <c r="A15" i="71" s="1"/>
  <c r="A16" i="71" s="1"/>
  <c r="A17" i="71" s="1"/>
  <c r="A18" i="71" s="1"/>
  <c r="A19" i="71" s="1"/>
  <c r="A20" i="71" s="1"/>
  <c r="A21" i="71" s="1"/>
  <c r="A22" i="71" s="1"/>
  <c r="A23" i="71" s="1"/>
  <c r="A24" i="71" s="1"/>
  <c r="A6" i="1"/>
  <c r="A7" i="1" s="1"/>
  <c r="A8" i="1" s="1"/>
  <c r="A9" i="1" s="1"/>
  <c r="A10" i="1" s="1"/>
  <c r="A12" i="1" s="1"/>
  <c r="A14" i="1" s="1"/>
  <c r="A16" i="1" s="1"/>
  <c r="A18" i="1" s="1"/>
  <c r="A20" i="1" s="1"/>
  <c r="A22" i="1" s="1"/>
  <c r="A24" i="1" s="1"/>
  <c r="A25" i="1" s="1"/>
  <c r="A26" i="1" s="1"/>
  <c r="A27" i="1" s="1"/>
  <c r="A28" i="1" s="1"/>
  <c r="A30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6" i="29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9" i="2"/>
  <c r="A10" i="2" s="1"/>
  <c r="A11" i="2" s="1"/>
  <c r="A12" i="2" s="1"/>
  <c r="A13" i="2" s="1"/>
  <c r="A14" i="2" s="1"/>
  <c r="Q28" i="7"/>
  <c r="R28" i="7"/>
  <c r="P28" i="7"/>
  <c r="O28" i="7"/>
  <c r="N28" i="7"/>
  <c r="M28" i="7"/>
  <c r="L28" i="7"/>
  <c r="K28" i="7"/>
  <c r="J28" i="7"/>
  <c r="M43" i="7"/>
  <c r="N43" i="7"/>
  <c r="O43" i="7"/>
  <c r="P43" i="7"/>
  <c r="Q43" i="7"/>
  <c r="R43" i="7"/>
  <c r="S43" i="7"/>
  <c r="J43" i="7"/>
  <c r="K43" i="7"/>
  <c r="L43" i="7"/>
  <c r="D13" i="29"/>
  <c r="D12" i="29"/>
  <c r="E14" i="2"/>
  <c r="D14" i="2" s="1"/>
  <c r="D16" i="21"/>
  <c r="C16" i="21"/>
  <c r="E16" i="21" s="1"/>
  <c r="C14" i="2"/>
  <c r="X24" i="7"/>
  <c r="D43" i="1"/>
  <c r="J44" i="1" l="1"/>
  <c r="J20" i="1" s="1"/>
  <c r="I18" i="7"/>
  <c r="F44" i="1"/>
  <c r="E17" i="2"/>
  <c r="G44" i="1"/>
  <c r="I17" i="7"/>
  <c r="D13" i="2"/>
  <c r="C17" i="2"/>
  <c r="F32" i="7" s="1"/>
  <c r="H44" i="1"/>
  <c r="H20" i="1" s="1"/>
  <c r="H22" i="1" s="1"/>
  <c r="H27" i="1" s="1"/>
  <c r="K44" i="1"/>
  <c r="K20" i="1" s="1"/>
  <c r="K22" i="1" s="1"/>
  <c r="K28" i="1" s="1"/>
  <c r="I19" i="7"/>
  <c r="I24" i="7"/>
  <c r="I20" i="7"/>
  <c r="X15" i="7"/>
  <c r="I10" i="7"/>
  <c r="I8" i="7"/>
  <c r="I12" i="7"/>
  <c r="I7" i="7"/>
  <c r="F28" i="7"/>
  <c r="F30" i="7" s="1"/>
  <c r="J27" i="21"/>
  <c r="F14" i="21" s="1"/>
  <c r="E44" i="1"/>
  <c r="E20" i="1" s="1"/>
  <c r="E22" i="1" s="1"/>
  <c r="X17" i="7"/>
  <c r="X18" i="7"/>
  <c r="I13" i="7"/>
  <c r="I22" i="7"/>
  <c r="I21" i="7"/>
  <c r="X8" i="7"/>
  <c r="O44" i="1"/>
  <c r="O20" i="1" s="1"/>
  <c r="O22" i="1" s="1"/>
  <c r="O28" i="1" s="1"/>
  <c r="L44" i="1"/>
  <c r="L20" i="1" s="1"/>
  <c r="L22" i="1" s="1"/>
  <c r="L28" i="1" s="1"/>
  <c r="N44" i="1"/>
  <c r="N20" i="1" s="1"/>
  <c r="N22" i="1" s="1"/>
  <c r="N25" i="1" s="1"/>
  <c r="J22" i="1"/>
  <c r="J27" i="1" s="1"/>
  <c r="D44" i="1"/>
  <c r="D20" i="1" s="1"/>
  <c r="D22" i="1" s="1"/>
  <c r="D25" i="1" s="1"/>
  <c r="I22" i="1"/>
  <c r="I28" i="1" s="1"/>
  <c r="I27" i="71"/>
  <c r="C31" i="71"/>
  <c r="I9" i="7"/>
  <c r="X14" i="7"/>
  <c r="X7" i="7"/>
  <c r="X11" i="7"/>
  <c r="X12" i="7"/>
  <c r="X16" i="7"/>
  <c r="F20" i="1"/>
  <c r="Q10" i="1"/>
  <c r="Q38" i="1"/>
  <c r="G20" i="1"/>
  <c r="C43" i="1"/>
  <c r="C44" i="1" s="1"/>
  <c r="Q12" i="1"/>
  <c r="Q16" i="1" s="1"/>
  <c r="M44" i="1"/>
  <c r="X26" i="7" l="1"/>
  <c r="E21" i="2"/>
  <c r="C23" i="2"/>
  <c r="F17" i="2" s="1"/>
  <c r="J28" i="21"/>
  <c r="Q43" i="1"/>
  <c r="E16" i="83"/>
  <c r="F34" i="7"/>
  <c r="K24" i="1"/>
  <c r="H28" i="1"/>
  <c r="K25" i="1"/>
  <c r="K27" i="1"/>
  <c r="H24" i="1"/>
  <c r="X28" i="7"/>
  <c r="H25" i="1"/>
  <c r="J25" i="1"/>
  <c r="I28" i="7"/>
  <c r="H28" i="7" s="1"/>
  <c r="J24" i="1"/>
  <c r="J28" i="1"/>
  <c r="D27" i="1"/>
  <c r="D24" i="1"/>
  <c r="D26" i="1" s="1"/>
  <c r="D28" i="1"/>
  <c r="C14" i="83"/>
  <c r="F22" i="1"/>
  <c r="F28" i="1" s="1"/>
  <c r="E24" i="1"/>
  <c r="E27" i="1"/>
  <c r="E25" i="1"/>
  <c r="G22" i="1"/>
  <c r="G28" i="1" s="1"/>
  <c r="I24" i="1"/>
  <c r="I25" i="1"/>
  <c r="I27" i="1"/>
  <c r="O27" i="1"/>
  <c r="L25" i="1"/>
  <c r="L27" i="1"/>
  <c r="I32" i="7"/>
  <c r="D17" i="2"/>
  <c r="C16" i="83"/>
  <c r="L24" i="1"/>
  <c r="Q44" i="1"/>
  <c r="C20" i="1"/>
  <c r="E28" i="1"/>
  <c r="M20" i="1"/>
  <c r="O24" i="1"/>
  <c r="O25" i="1"/>
  <c r="N27" i="1"/>
  <c r="N28" i="1"/>
  <c r="N24" i="1"/>
  <c r="N26" i="1" s="1"/>
  <c r="F21" i="2" l="1"/>
  <c r="K26" i="1"/>
  <c r="K30" i="1" s="1"/>
  <c r="Y28" i="7"/>
  <c r="H26" i="1"/>
  <c r="H30" i="1" s="1"/>
  <c r="J26" i="1"/>
  <c r="J30" i="1" s="1"/>
  <c r="E26" i="1"/>
  <c r="E30" i="1" s="1"/>
  <c r="C26" i="83"/>
  <c r="D30" i="1"/>
  <c r="I26" i="1"/>
  <c r="I30" i="1" s="1"/>
  <c r="F27" i="1"/>
  <c r="F24" i="1"/>
  <c r="F25" i="1"/>
  <c r="G24" i="1"/>
  <c r="G27" i="1"/>
  <c r="G25" i="1"/>
  <c r="L26" i="1"/>
  <c r="L30" i="1" s="1"/>
  <c r="C22" i="1"/>
  <c r="C28" i="1" s="1"/>
  <c r="H32" i="7"/>
  <c r="E14" i="83" s="1"/>
  <c r="I34" i="7"/>
  <c r="H34" i="7" s="1"/>
  <c r="E18" i="83" s="1"/>
  <c r="Q20" i="1"/>
  <c r="M22" i="1"/>
  <c r="O26" i="1"/>
  <c r="O30" i="1" s="1"/>
  <c r="N30" i="1"/>
  <c r="C25" i="1" l="1"/>
  <c r="C27" i="1"/>
  <c r="C24" i="1"/>
  <c r="F26" i="1"/>
  <c r="F30" i="1" s="1"/>
  <c r="G26" i="1"/>
  <c r="G30" i="1" s="1"/>
  <c r="Q22" i="1"/>
  <c r="C28" i="83"/>
  <c r="C30" i="83" s="1"/>
  <c r="D14" i="83" s="1"/>
  <c r="F14" i="83" s="1"/>
  <c r="M28" i="1"/>
  <c r="M27" i="1"/>
  <c r="M24" i="1"/>
  <c r="M25" i="1"/>
  <c r="C26" i="1" l="1"/>
  <c r="C30" i="1" s="1"/>
  <c r="M26" i="1"/>
  <c r="M30" i="1" s="1"/>
  <c r="Q24" i="1"/>
  <c r="Q25" i="1"/>
  <c r="Q27" i="1"/>
  <c r="Q28" i="1"/>
  <c r="D28" i="83"/>
  <c r="F28" i="83" s="1"/>
  <c r="D18" i="83"/>
  <c r="D26" i="83" s="1"/>
  <c r="F18" i="21"/>
  <c r="D16" i="83"/>
  <c r="F16" i="83" s="1"/>
  <c r="I33" i="71"/>
  <c r="I35" i="71" s="1"/>
  <c r="I33" i="29"/>
  <c r="I35" i="29" s="1"/>
  <c r="F24" i="83" s="1"/>
  <c r="F18" i="83" l="1"/>
  <c r="F22" i="83"/>
  <c r="Q26" i="1"/>
  <c r="Q30" i="1" s="1"/>
  <c r="D30" i="83"/>
  <c r="F15" i="21" l="1"/>
  <c r="F16" i="21" s="1"/>
  <c r="F20" i="21" s="1"/>
  <c r="F20" i="83" l="1"/>
  <c r="F26" i="83" s="1"/>
  <c r="E19" i="2"/>
  <c r="E26" i="83" l="1"/>
  <c r="F30" i="83"/>
  <c r="E23" i="2"/>
  <c r="F19" i="2"/>
  <c r="F23" i="2" l="1"/>
</calcChain>
</file>

<file path=xl/sharedStrings.xml><?xml version="1.0" encoding="utf-8"?>
<sst xmlns="http://schemas.openxmlformats.org/spreadsheetml/2006/main" count="332" uniqueCount="200">
  <si>
    <t>($ thousands)</t>
  </si>
  <si>
    <t xml:space="preserve"> </t>
  </si>
  <si>
    <t xml:space="preserve">   HEDC</t>
  </si>
  <si>
    <t>(A)</t>
  </si>
  <si>
    <t>Utility Capital Structure</t>
  </si>
  <si>
    <t>Weighted</t>
  </si>
  <si>
    <t>Cost of</t>
  </si>
  <si>
    <t>Description</t>
  </si>
  <si>
    <t>Ratio</t>
  </si>
  <si>
    <t>Cost</t>
  </si>
  <si>
    <t>Capital</t>
  </si>
  <si>
    <t>Short Term Debt</t>
  </si>
  <si>
    <t>Long Term Debt</t>
  </si>
  <si>
    <t>Common Stock</t>
  </si>
  <si>
    <t>Total</t>
  </si>
  <si>
    <t>Issue</t>
  </si>
  <si>
    <t>Annual</t>
  </si>
  <si>
    <t>Rate</t>
  </si>
  <si>
    <t>Charge</t>
  </si>
  <si>
    <t>MTN-A</t>
  </si>
  <si>
    <t>MTN-B</t>
  </si>
  <si>
    <t>MTN-C</t>
  </si>
  <si>
    <t>PCB</t>
  </si>
  <si>
    <t>Schedule of Annual Charges on Reacquired Debt</t>
  </si>
  <si>
    <t>(B)</t>
  </si>
  <si>
    <t xml:space="preserve">Total Amortization on Reacquired Debt </t>
  </si>
  <si>
    <t>8.40% Capital Trust II</t>
  </si>
  <si>
    <t>Short-term debt</t>
  </si>
  <si>
    <t>Long-term debt</t>
  </si>
  <si>
    <t>Subsidiary R.E.</t>
  </si>
  <si>
    <t xml:space="preserve">   Puget Western</t>
  </si>
  <si>
    <t xml:space="preserve">       Total Subsidiary R.E.</t>
  </si>
  <si>
    <t>Utility Capital Structure Calculation</t>
  </si>
  <si>
    <t>Commercial Paper</t>
  </si>
  <si>
    <t>Cost of Short-Term Debt</t>
  </si>
  <si>
    <t>Interest</t>
  </si>
  <si>
    <t>Total Short-Term Debt/Cost</t>
  </si>
  <si>
    <t>PCB Series 1991A</t>
  </si>
  <si>
    <t>PCB Series 1991B</t>
  </si>
  <si>
    <t>PCB Series 1992</t>
  </si>
  <si>
    <t>PCB Series 1993</t>
  </si>
  <si>
    <t>WNG 8.4%</t>
  </si>
  <si>
    <t>WNG 8.39%</t>
  </si>
  <si>
    <t>PUGET SOUND ENERGY</t>
  </si>
  <si>
    <t>SHORT TERM DEBT RATE</t>
  </si>
  <si>
    <t>Beginning Date</t>
  </si>
  <si>
    <t>Ending Date</t>
  </si>
  <si>
    <t>Wtd. Avg.</t>
  </si>
  <si>
    <t>Days</t>
  </si>
  <si>
    <t>(C)</t>
  </si>
  <si>
    <t>Weighted Amt</t>
  </si>
  <si>
    <t>Commitment Fees</t>
  </si>
  <si>
    <t>12 Month Short Term Debt Issue Costs Amortization</t>
  </si>
  <si>
    <t>SAP  #</t>
  </si>
  <si>
    <t>Issue Date</t>
  </si>
  <si>
    <t>Cost of Capital and Rate of Return</t>
  </si>
  <si>
    <t>Average of Month-End Balances</t>
  </si>
  <si>
    <t>Fee %</t>
  </si>
  <si>
    <t>Fee $</t>
  </si>
  <si>
    <t>Beginning Balance</t>
  </si>
  <si>
    <t>Ending Balance</t>
  </si>
  <si>
    <t>(D)</t>
  </si>
  <si>
    <t>(E)</t>
  </si>
  <si>
    <t>(F)</t>
  </si>
  <si>
    <t>(G)</t>
  </si>
  <si>
    <t>(H)</t>
  </si>
  <si>
    <t>(I)</t>
  </si>
  <si>
    <t>Maturity Date</t>
  </si>
  <si>
    <t>(J)</t>
  </si>
  <si>
    <t>(K)</t>
  </si>
  <si>
    <t>(L)</t>
  </si>
  <si>
    <t>(M)</t>
  </si>
  <si>
    <t>(N)</t>
  </si>
  <si>
    <t>(O)</t>
  </si>
  <si>
    <t>(ii)</t>
  </si>
  <si>
    <t>Outstanding (i)</t>
  </si>
  <si>
    <t>Amount (i)</t>
  </si>
  <si>
    <t>Annual Charge</t>
  </si>
  <si>
    <t>Consol. Common Equity</t>
  </si>
  <si>
    <t>Total Preferred</t>
  </si>
  <si>
    <t>Commitment fees are calculated for actual days elapsed on the basis of a 360 day year.</t>
  </si>
  <si>
    <t>Net Proceeds (i)</t>
  </si>
  <si>
    <t>Total Capital</t>
  </si>
  <si>
    <t>Cost Rate (ii)</t>
  </si>
  <si>
    <t>SN</t>
  </si>
  <si>
    <t>Bank Facility Fees</t>
  </si>
  <si>
    <t>(iii)</t>
  </si>
  <si>
    <t>Rate (365)</t>
  </si>
  <si>
    <t>Interest Rate</t>
  </si>
  <si>
    <t>$200mm VRN</t>
  </si>
  <si>
    <t>30 Yr 5.483%</t>
  </si>
  <si>
    <t>Regulated Common Equity</t>
  </si>
  <si>
    <t>Mat. Date</t>
  </si>
  <si>
    <t>AMORTIZATION OF  SHORT TERM DEBT ISSUE COSTS</t>
  </si>
  <si>
    <t>Commitment Fee Calculation</t>
  </si>
  <si>
    <t>Maturity</t>
  </si>
  <si>
    <t>Date</t>
  </si>
  <si>
    <t xml:space="preserve">      Total Debt</t>
  </si>
  <si>
    <t>Preferred</t>
  </si>
  <si>
    <t>Common</t>
  </si>
  <si>
    <t xml:space="preserve">     Total</t>
  </si>
  <si>
    <t>Avg of  Mo-end Balances</t>
  </si>
  <si>
    <t>Period</t>
  </si>
  <si>
    <t>Demand Promissory Note</t>
  </si>
  <si>
    <t>Annual Charge from Reacquired Debt Schedule</t>
  </si>
  <si>
    <t>W. Avg. Amt O/S</t>
  </si>
  <si>
    <t>OCI - Derivatives</t>
  </si>
  <si>
    <t xml:space="preserve">OCI - Other </t>
  </si>
  <si>
    <t>Total OCI Adj</t>
  </si>
  <si>
    <t>Weighted Avg. Outstandings and Rates and Total Commitment Fees</t>
  </si>
  <si>
    <t>Jr. Subordinated Notes</t>
  </si>
  <si>
    <t>8.231% Capital Trust I (Tender)</t>
  </si>
  <si>
    <t>8.231% Capital Trust I (Call)</t>
  </si>
  <si>
    <t>WNG 8.25%</t>
  </si>
  <si>
    <t>JrSubN</t>
  </si>
  <si>
    <t>Type</t>
  </si>
  <si>
    <t>Long-term Bonds</t>
  </si>
  <si>
    <t>TOTAL LONG TERM DEBT</t>
  </si>
  <si>
    <t>Bank Facility Commitment Fees</t>
  </si>
  <si>
    <t>Commitment</t>
  </si>
  <si>
    <t>Letters of Credit (LC) Fees</t>
  </si>
  <si>
    <t>JrSubN 6.974%</t>
  </si>
  <si>
    <t>20 Yr 6.740%</t>
  </si>
  <si>
    <t>30 Yr 7.350%</t>
  </si>
  <si>
    <t>2003 PCB's</t>
  </si>
  <si>
    <t>30 Yr 6.724%</t>
  </si>
  <si>
    <t>9.14% PP</t>
  </si>
  <si>
    <t>9.625% PP</t>
  </si>
  <si>
    <t>(i) Applicable monthly amortization during the 12 month reporting period;</t>
  </si>
  <si>
    <t>Amortization (i)</t>
  </si>
  <si>
    <t>Redemption</t>
  </si>
  <si>
    <t>Refinance</t>
  </si>
  <si>
    <t>for Amort.</t>
  </si>
  <si>
    <t>WNG 7.19%</t>
  </si>
  <si>
    <t>SAP #</t>
  </si>
  <si>
    <t>Outstandings</t>
  </si>
  <si>
    <t>Fees</t>
  </si>
  <si>
    <t>(Drawn)</t>
  </si>
  <si>
    <t>Utilized</t>
  </si>
  <si>
    <t>Unutilized</t>
  </si>
  <si>
    <t>Interest Charges &amp; Avg Borrowing Rate</t>
  </si>
  <si>
    <t>Bank Credit Facilities</t>
  </si>
  <si>
    <t>Letters of Credit</t>
  </si>
  <si>
    <t>W. Avg Amount</t>
  </si>
  <si>
    <t>Goldendale; Klickitat PUD Transmission</t>
  </si>
  <si>
    <t>Total Fees</t>
  </si>
  <si>
    <t>Totals</t>
  </si>
  <si>
    <t>Costs transferred in</t>
  </si>
  <si>
    <t>Costs transferred out</t>
  </si>
  <si>
    <t>$400 million</t>
  </si>
  <si>
    <t>Working Cap Fac</t>
  </si>
  <si>
    <t>TOTAL</t>
  </si>
  <si>
    <t>AMORTIZATION</t>
  </si>
  <si>
    <t>Other Comprehensive Income Adjustments (OCI) and Derivative Accounting</t>
  </si>
  <si>
    <t>Derivative Impacts through Income</t>
  </si>
  <si>
    <t>Intercompany Loan with PE</t>
  </si>
  <si>
    <t>Facility</t>
  </si>
  <si>
    <t>Wells Fargo (not within facility)</t>
  </si>
  <si>
    <t>FERC end of Period Cost</t>
  </si>
  <si>
    <t>Wgt Cost Rate</t>
  </si>
  <si>
    <t>$25M 9.57% Gas FMB's</t>
  </si>
  <si>
    <t>40 Yr 4.70%</t>
  </si>
  <si>
    <t>$650mm Liquidity  Facility</t>
  </si>
  <si>
    <t xml:space="preserve">Wgtd Avg </t>
  </si>
  <si>
    <t>$650 million</t>
  </si>
  <si>
    <t>Liquidity Fac</t>
  </si>
  <si>
    <t>PCB Series 2003</t>
  </si>
  <si>
    <t>2013 PCB's</t>
  </si>
  <si>
    <t>Capex Fac</t>
  </si>
  <si>
    <t>18101083/18900403</t>
  </si>
  <si>
    <t>Liquidity Refinance</t>
  </si>
  <si>
    <t>SN 5.197%</t>
  </si>
  <si>
    <t>SN 6.75%</t>
  </si>
  <si>
    <t>30 Yr 4.30%</t>
  </si>
  <si>
    <t>Short Term Debt Cost of Interest</t>
  </si>
  <si>
    <t>Blended Cost of Interest (ST&amp;LT Debt)</t>
  </si>
  <si>
    <t>Blended Cost of Interest (Short Term &amp; Long Term)</t>
  </si>
  <si>
    <t>Amortization of Short-Term Debt Issue Cost</t>
  </si>
  <si>
    <t>Amortization of Reacquired Debt</t>
  </si>
  <si>
    <t>Total Debt</t>
  </si>
  <si>
    <t>Total Capitalization</t>
  </si>
  <si>
    <t>Weighted Cost of Short Term Debt Issuance Cost Amortization</t>
  </si>
  <si>
    <t>Weighted Cost of Short Term Debt Commitment Fees</t>
  </si>
  <si>
    <t>Weighted Cost of Reaquired Debt</t>
  </si>
  <si>
    <t>TOTAL LONG TERM DEBT without Reaquired Debt Amort</t>
  </si>
  <si>
    <t>$800 million</t>
  </si>
  <si>
    <t>$800mm Liquidity  Facility</t>
  </si>
  <si>
    <t>December 31, 2017 Through December 31, 2018</t>
  </si>
  <si>
    <t>As of: 12/31/17</t>
  </si>
  <si>
    <t>Total Amortization for 12 months ended 12/31/18</t>
  </si>
  <si>
    <t>For The 12 Months Ending December 31, 2018</t>
  </si>
  <si>
    <r>
      <t>(i)</t>
    </r>
    <r>
      <rPr>
        <sz val="9"/>
        <rFont val="Times New Roman"/>
        <family val="1"/>
      </rPr>
      <t xml:space="preserve"> - Average of Month-End Balances</t>
    </r>
  </si>
  <si>
    <r>
      <t xml:space="preserve">(i) </t>
    </r>
    <r>
      <rPr>
        <sz val="9"/>
        <rFont val="Times New Roman"/>
        <family val="1"/>
      </rPr>
      <t xml:space="preserve"> Weighted Average </t>
    </r>
    <r>
      <rPr>
        <u/>
        <sz val="9"/>
        <rFont val="Times New Roman"/>
        <family val="1"/>
      </rPr>
      <t>Daily</t>
    </r>
    <r>
      <rPr>
        <sz val="9"/>
        <rFont val="Times New Roman"/>
        <family val="1"/>
      </rPr>
      <t xml:space="preserve"> Balance Outstanding for 12 Months Ended</t>
    </r>
  </si>
  <si>
    <r>
      <t xml:space="preserve">(ii) </t>
    </r>
    <r>
      <rPr>
        <sz val="9"/>
        <rFont val="Times New Roman"/>
        <family val="1"/>
      </rPr>
      <t xml:space="preserve"> See Pg 4 STD OS &amp; Comm Fees </t>
    </r>
    <r>
      <rPr>
        <sz val="8"/>
        <rFont val="Times New Roman"/>
        <family val="1"/>
      </rPr>
      <t>(includes any LC Fees)</t>
    </r>
  </si>
  <si>
    <r>
      <t xml:space="preserve">(iii) </t>
    </r>
    <r>
      <rPr>
        <sz val="9"/>
        <rFont val="Times New Roman"/>
        <family val="1"/>
      </rPr>
      <t xml:space="preserve"> See Pg 5 STD Amort</t>
    </r>
  </si>
  <si>
    <t>Puget Sound Energy</t>
  </si>
  <si>
    <r>
      <t>(i)</t>
    </r>
    <r>
      <rPr>
        <sz val="8"/>
        <rFont val="Times New Roman"/>
        <family val="1"/>
      </rPr>
      <t xml:space="preserve"> Net proceeds are the net proceeds per $100 face amount and are the proceeds less underwriter's fees and issuance expenses.</t>
    </r>
  </si>
  <si>
    <r>
      <t>(ii)</t>
    </r>
    <r>
      <rPr>
        <sz val="8"/>
        <rFont val="Times New Roman"/>
        <family val="1"/>
      </rPr>
      <t xml:space="preserve"> Yield to Maturity based on Net Proceeds</t>
    </r>
  </si>
  <si>
    <t>Cost of Long Term Debt ($ in 000's)</t>
  </si>
  <si>
    <r>
      <t xml:space="preserve">  </t>
    </r>
    <r>
      <rPr>
        <sz val="9"/>
        <rFont val="Times New Roman"/>
        <family val="1"/>
      </rPr>
      <t xml:space="preserve">  Amortization is over life of replacement issue or remaining life of called bond if no replacement issue.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</si>
</sst>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#,;\(&quot;$&quot;#,###,\)"/>
    <numFmt numFmtId="165" formatCode="0.0%"/>
    <numFmt numFmtId="166" formatCode="mmmm\ d\,\ yyyy"/>
    <numFmt numFmtId="167" formatCode="0.0000%"/>
    <numFmt numFmtId="168" formatCode="0.000%"/>
    <numFmt numFmtId="169" formatCode="&quot;$&quot;#,##0"/>
    <numFmt numFmtId="170" formatCode="_(* #,##0_);_(* \(#,##0\);_(* &quot;-&quot;??_);_(@_)"/>
    <numFmt numFmtId="171" formatCode="#,##0.0000_);\(#,##0.0000\)"/>
    <numFmt numFmtId="172" formatCode="&quot; As of &quot;mmmm\ d\,\ yyyy"/>
    <numFmt numFmtId="173" formatCode="mmmm\-yy"/>
    <numFmt numFmtId="174" formatCode="0_);[Red]\(0\)"/>
    <numFmt numFmtId="175" formatCode="#,###,;\(#,###,\)"/>
    <numFmt numFmtId="176" formatCode="#,###,;\(&quot;$&quot;#,###,\)"/>
    <numFmt numFmtId="177" formatCode="0.00_);\(0.00\)"/>
    <numFmt numFmtId="178" formatCode="0.00000%"/>
    <numFmt numFmtId="179" formatCode="#,###.000,;\(#,###.000,\)"/>
    <numFmt numFmtId="180" formatCode="mm/dd/yy;@"/>
    <numFmt numFmtId="181" formatCode="&quot; For The 12 Months Ending &quot;mmmm\ d\,\ yyyy"/>
    <numFmt numFmtId="182" formatCode="m/d/yy;@"/>
    <numFmt numFmtId="183" formatCode="#,##0.000_);\(#,##0.000\)"/>
    <numFmt numFmtId="184" formatCode="&quot;$&quot;#,###.000,;\(&quot;$&quot;#,###.000,\)"/>
    <numFmt numFmtId="185" formatCode="&quot;$&quot;#,##0\ ;\(&quot;$&quot;#,##0\)"/>
    <numFmt numFmtId="186" formatCode="#,###.00,;\(#,###.00,\)"/>
    <numFmt numFmtId="187" formatCode="0.000000%"/>
    <numFmt numFmtId="188" formatCode="0.0_);[Red]\(0.0\)"/>
    <numFmt numFmtId="189" formatCode="_(* #,##0.000_);_(* \(#,##0.000\);_(* &quot;-&quot;??_);_(@_)"/>
  </numFmts>
  <fonts count="60">
    <font>
      <sz val="8"/>
      <name val="Arial"/>
      <family val="2"/>
    </font>
    <font>
      <sz val="10"/>
      <name val="Arial"/>
      <family val="2"/>
    </font>
    <font>
      <sz val="10"/>
      <name val="Geneva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0"/>
      <color indexed="10"/>
      <name val="Times New Roman"/>
      <family val="1"/>
    </font>
    <font>
      <sz val="10"/>
      <name val="Arial"/>
      <family val="2"/>
    </font>
    <font>
      <sz val="10"/>
      <color indexed="24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i/>
      <sz val="12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Times New Roman"/>
      <family val="1"/>
    </font>
    <font>
      <b/>
      <sz val="12"/>
      <name val="Times New Roman"/>
      <family val="1"/>
    </font>
    <font>
      <b/>
      <sz val="10"/>
      <color indexed="12"/>
      <name val="Times New Roman"/>
      <family val="1"/>
    </font>
    <font>
      <b/>
      <sz val="8"/>
      <name val="Times New Roman"/>
      <family val="1"/>
    </font>
    <font>
      <b/>
      <u/>
      <sz val="10"/>
      <name val="Times New Roman"/>
      <family val="1"/>
    </font>
    <font>
      <sz val="10"/>
      <color theme="1"/>
      <name val="Times New Roman"/>
      <family val="1"/>
    </font>
    <font>
      <i/>
      <sz val="10"/>
      <color indexed="12"/>
      <name val="Times New Roman"/>
      <family val="1"/>
    </font>
    <font>
      <u/>
      <sz val="10"/>
      <name val="Times New Roman"/>
      <family val="1"/>
    </font>
    <font>
      <sz val="10"/>
      <color indexed="12"/>
      <name val="Times New Roman"/>
      <family val="1"/>
    </font>
    <font>
      <b/>
      <u val="double"/>
      <sz val="10"/>
      <name val="Times New Roman"/>
      <family val="1"/>
    </font>
    <font>
      <b/>
      <sz val="8"/>
      <color indexed="12"/>
      <name val="Times New Roman"/>
      <family val="1"/>
    </font>
    <font>
      <b/>
      <sz val="9"/>
      <color indexed="12"/>
      <name val="Times New Roman"/>
      <family val="1"/>
    </font>
    <font>
      <b/>
      <sz val="8"/>
      <color indexed="8"/>
      <name val="Times New Roman"/>
      <family val="1"/>
    </font>
    <font>
      <b/>
      <sz val="9"/>
      <color indexed="8"/>
      <name val="Times New Roman"/>
      <family val="1"/>
    </font>
    <font>
      <sz val="8"/>
      <color indexed="12"/>
      <name val="Times New Roman"/>
      <family val="1"/>
    </font>
    <font>
      <u/>
      <sz val="10"/>
      <color indexed="8"/>
      <name val="Times New Roman"/>
      <family val="1"/>
    </font>
    <font>
      <u/>
      <sz val="9"/>
      <name val="Times New Roman"/>
      <family val="1"/>
    </font>
    <font>
      <b/>
      <u/>
      <sz val="9"/>
      <name val="Times New Roman"/>
      <family val="1"/>
    </font>
    <font>
      <sz val="9"/>
      <color indexed="12"/>
      <name val="Times New Roman"/>
      <family val="1"/>
    </font>
    <font>
      <i/>
      <sz val="8"/>
      <color indexed="12"/>
      <name val="Times New Roman"/>
      <family val="1"/>
    </font>
    <font>
      <sz val="9"/>
      <color indexed="8"/>
      <name val="Times New Roman"/>
      <family val="1"/>
    </font>
    <font>
      <sz val="9"/>
      <color theme="1"/>
      <name val="Times New Roman"/>
      <family val="1"/>
    </font>
    <font>
      <sz val="8"/>
      <color indexed="10"/>
      <name val="Times New Roman"/>
      <family val="1"/>
    </font>
    <font>
      <b/>
      <sz val="7"/>
      <name val="Times New Roman"/>
      <family val="1"/>
    </font>
    <font>
      <b/>
      <i/>
      <sz val="9"/>
      <name val="Times New Roman"/>
      <family val="1"/>
    </font>
    <font>
      <b/>
      <u/>
      <sz val="8"/>
      <name val="Times New Roman"/>
      <family val="1"/>
    </font>
    <font>
      <b/>
      <sz val="11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07">
    <xf numFmtId="37" fontId="0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1" fillId="17" borderId="2" applyNumberFormat="0" applyAlignment="0" applyProtection="0"/>
    <xf numFmtId="0" fontId="21" fillId="17" borderId="2" applyNumberFormat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177" fontId="13" fillId="0" borderId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1" fillId="0" borderId="0"/>
    <xf numFmtId="0" fontId="9" fillId="0" borderId="0"/>
    <xf numFmtId="0" fontId="9" fillId="0" borderId="0"/>
    <xf numFmtId="37" fontId="13" fillId="0" borderId="0"/>
    <xf numFmtId="37" fontId="11" fillId="0" borderId="0"/>
    <xf numFmtId="0" fontId="2" fillId="0" borderId="0"/>
    <xf numFmtId="37" fontId="2" fillId="0" borderId="0"/>
    <xf numFmtId="37" fontId="2" fillId="0" borderId="0"/>
    <xf numFmtId="37" fontId="2" fillId="0" borderId="0"/>
    <xf numFmtId="10" fontId="2" fillId="0" borderId="0"/>
    <xf numFmtId="0" fontId="2" fillId="0" borderId="0"/>
    <xf numFmtId="0" fontId="11" fillId="4" borderId="7" applyNumberFormat="0" applyFont="0" applyAlignment="0" applyProtection="0"/>
    <xf numFmtId="0" fontId="11" fillId="4" borderId="7" applyNumberFormat="0" applyFont="0" applyAlignment="0" applyProtection="0"/>
    <xf numFmtId="0" fontId="30" fillId="16" borderId="8" applyNumberFormat="0" applyAlignment="0" applyProtection="0"/>
    <xf numFmtId="0" fontId="30" fillId="16" borderId="8" applyNumberFormat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424">
    <xf numFmtId="37" fontId="0" fillId="0" borderId="0" xfId="0"/>
    <xf numFmtId="0" fontId="3" fillId="0" borderId="0" xfId="88" applyFont="1"/>
    <xf numFmtId="0" fontId="3" fillId="0" borderId="0" xfId="88" applyFont="1" applyFill="1"/>
    <xf numFmtId="37" fontId="3" fillId="0" borderId="0" xfId="89" applyFont="1" applyAlignment="1" applyProtection="1">
      <alignment horizontal="center"/>
    </xf>
    <xf numFmtId="37" fontId="3" fillId="0" borderId="0" xfId="89" applyFont="1" applyProtection="1"/>
    <xf numFmtId="37" fontId="3" fillId="0" borderId="0" xfId="89" applyFont="1"/>
    <xf numFmtId="37" fontId="4" fillId="0" borderId="0" xfId="0" applyFont="1" applyAlignment="1">
      <alignment horizontal="centerContinuous"/>
    </xf>
    <xf numFmtId="37" fontId="3" fillId="0" borderId="0" xfId="89" applyFont="1" applyAlignment="1">
      <alignment horizontal="centerContinuous"/>
    </xf>
    <xf numFmtId="37" fontId="3" fillId="0" borderId="0" xfId="89" applyFont="1" applyAlignment="1" applyProtection="1">
      <alignment horizontal="left"/>
    </xf>
    <xf numFmtId="10" fontId="3" fillId="0" borderId="0" xfId="89" applyNumberFormat="1" applyFont="1" applyProtection="1"/>
    <xf numFmtId="37" fontId="3" fillId="0" borderId="0" xfId="89" applyNumberFormat="1" applyFont="1" applyProtection="1"/>
    <xf numFmtId="37" fontId="3" fillId="0" borderId="0" xfId="89" applyFont="1" applyAlignment="1">
      <alignment horizontal="center"/>
    </xf>
    <xf numFmtId="15" fontId="3" fillId="0" borderId="0" xfId="89" applyNumberFormat="1" applyFont="1" applyProtection="1"/>
    <xf numFmtId="7" fontId="3" fillId="0" borderId="0" xfId="89" applyNumberFormat="1" applyFont="1" applyProtection="1"/>
    <xf numFmtId="168" fontId="3" fillId="0" borderId="0" xfId="89" applyNumberFormat="1" applyFont="1" applyProtection="1"/>
    <xf numFmtId="1" fontId="3" fillId="0" borderId="0" xfId="92" applyNumberFormat="1" applyFont="1" applyProtection="1"/>
    <xf numFmtId="10" fontId="3" fillId="0" borderId="0" xfId="92" applyFont="1"/>
    <xf numFmtId="10" fontId="3" fillId="0" borderId="0" xfId="92" applyFont="1" applyAlignment="1">
      <alignment horizontal="centerContinuous"/>
    </xf>
    <xf numFmtId="1" fontId="3" fillId="0" borderId="0" xfId="92" applyNumberFormat="1" applyFont="1" applyAlignment="1" applyProtection="1">
      <alignment horizontal="center"/>
    </xf>
    <xf numFmtId="37" fontId="3" fillId="0" borderId="0" xfId="0" applyFont="1"/>
    <xf numFmtId="5" fontId="3" fillId="0" borderId="0" xfId="92" applyNumberFormat="1" applyFont="1" applyProtection="1"/>
    <xf numFmtId="165" fontId="3" fillId="0" borderId="0" xfId="92" applyNumberFormat="1" applyFont="1" applyProtection="1"/>
    <xf numFmtId="10" fontId="3" fillId="0" borderId="0" xfId="92" applyNumberFormat="1" applyFont="1" applyProtection="1"/>
    <xf numFmtId="37" fontId="3" fillId="0" borderId="0" xfId="90" applyFont="1"/>
    <xf numFmtId="37" fontId="3" fillId="0" borderId="0" xfId="90" applyFont="1" applyAlignment="1" applyProtection="1">
      <alignment horizontal="center"/>
    </xf>
    <xf numFmtId="37" fontId="5" fillId="0" borderId="0" xfId="90" applyFont="1" applyAlignment="1">
      <alignment horizontal="center"/>
    </xf>
    <xf numFmtId="5" fontId="3" fillId="0" borderId="0" xfId="90" applyNumberFormat="1" applyFont="1"/>
    <xf numFmtId="37" fontId="6" fillId="0" borderId="0" xfId="90" applyFont="1"/>
    <xf numFmtId="37" fontId="6" fillId="0" borderId="0" xfId="90" applyFont="1" applyFill="1"/>
    <xf numFmtId="15" fontId="3" fillId="0" borderId="0" xfId="90" applyNumberFormat="1" applyFont="1" applyProtection="1"/>
    <xf numFmtId="0" fontId="3" fillId="0" borderId="0" xfId="93" applyFont="1" applyAlignment="1" applyProtection="1">
      <alignment horizontal="left"/>
    </xf>
    <xf numFmtId="0" fontId="4" fillId="0" borderId="0" xfId="93" applyFont="1"/>
    <xf numFmtId="5" fontId="4" fillId="0" borderId="0" xfId="93" applyNumberFormat="1" applyFont="1" applyProtection="1"/>
    <xf numFmtId="37" fontId="8" fillId="0" borderId="0" xfId="90" applyFont="1" applyFill="1" applyAlignment="1">
      <alignment horizontal="center"/>
    </xf>
    <xf numFmtId="5" fontId="6" fillId="0" borderId="0" xfId="90" applyNumberFormat="1" applyFont="1" applyFill="1"/>
    <xf numFmtId="37" fontId="6" fillId="0" borderId="0" xfId="90" applyFont="1" applyFill="1" applyAlignment="1">
      <alignment horizontal="center"/>
    </xf>
    <xf numFmtId="37" fontId="6" fillId="0" borderId="0" xfId="0" applyFont="1" applyFill="1"/>
    <xf numFmtId="10" fontId="6" fillId="0" borderId="0" xfId="0" applyNumberFormat="1" applyFont="1" applyFill="1" applyAlignment="1">
      <alignment horizontal="left"/>
    </xf>
    <xf numFmtId="15" fontId="6" fillId="0" borderId="0" xfId="0" applyNumberFormat="1" applyFont="1" applyFill="1" applyAlignment="1">
      <alignment horizontal="center"/>
    </xf>
    <xf numFmtId="169" fontId="6" fillId="0" borderId="0" xfId="0" applyNumberFormat="1" applyFont="1" applyFill="1"/>
    <xf numFmtId="2" fontId="6" fillId="0" borderId="0" xfId="0" applyNumberFormat="1" applyFont="1" applyFill="1"/>
    <xf numFmtId="10" fontId="6" fillId="0" borderId="0" xfId="0" applyNumberFormat="1" applyFont="1" applyFill="1"/>
    <xf numFmtId="5" fontId="6" fillId="0" borderId="0" xfId="90" applyNumberFormat="1" applyFont="1" applyFill="1" applyProtection="1"/>
    <xf numFmtId="37" fontId="8" fillId="0" borderId="0" xfId="90" applyFont="1" applyFill="1" applyAlignment="1" applyProtection="1">
      <alignment horizontal="center"/>
    </xf>
    <xf numFmtId="10" fontId="6" fillId="0" borderId="0" xfId="90" applyNumberFormat="1" applyFont="1" applyFill="1" applyProtection="1"/>
    <xf numFmtId="168" fontId="6" fillId="0" borderId="0" xfId="90" applyNumberFormat="1" applyFont="1" applyFill="1" applyAlignment="1" applyProtection="1">
      <alignment horizontal="fill"/>
    </xf>
    <xf numFmtId="166" fontId="3" fillId="0" borderId="0" xfId="90" applyNumberFormat="1" applyFont="1" applyFill="1"/>
    <xf numFmtId="0" fontId="7" fillId="0" borderId="0" xfId="88" applyFont="1"/>
    <xf numFmtId="0" fontId="7" fillId="0" borderId="0" xfId="88" applyFont="1" applyFill="1"/>
    <xf numFmtId="164" fontId="7" fillId="0" borderId="0" xfId="88" applyNumberFormat="1" applyFont="1"/>
    <xf numFmtId="175" fontId="7" fillId="0" borderId="0" xfId="88" applyNumberFormat="1" applyFont="1" applyFill="1" applyBorder="1" applyProtection="1"/>
    <xf numFmtId="0" fontId="7" fillId="0" borderId="0" xfId="88" applyFont="1" applyBorder="1"/>
    <xf numFmtId="0" fontId="3" fillId="0" borderId="0" xfId="88" applyFont="1" applyBorder="1"/>
    <xf numFmtId="15" fontId="14" fillId="0" borderId="0" xfId="93" applyNumberFormat="1" applyFont="1" applyBorder="1" applyAlignment="1">
      <alignment horizontal="left"/>
    </xf>
    <xf numFmtId="0" fontId="12" fillId="0" borderId="0" xfId="93" applyFont="1"/>
    <xf numFmtId="0" fontId="14" fillId="0" borderId="0" xfId="93" quotePrefix="1" applyFont="1" applyAlignment="1">
      <alignment horizontal="left"/>
    </xf>
    <xf numFmtId="37" fontId="14" fillId="0" borderId="0" xfId="0" applyFont="1" applyBorder="1"/>
    <xf numFmtId="37" fontId="12" fillId="0" borderId="0" xfId="0" applyFont="1" applyBorder="1"/>
    <xf numFmtId="37" fontId="15" fillId="0" borderId="0" xfId="90" applyFont="1"/>
    <xf numFmtId="10" fontId="3" fillId="0" borderId="0" xfId="92" applyFont="1" applyBorder="1"/>
    <xf numFmtId="37" fontId="8" fillId="0" borderId="0" xfId="90" applyFont="1" applyAlignment="1">
      <alignment horizontal="center"/>
    </xf>
    <xf numFmtId="0" fontId="16" fillId="0" borderId="0" xfId="93" applyFont="1"/>
    <xf numFmtId="0" fontId="7" fillId="0" borderId="0" xfId="88" applyFont="1" applyFill="1" applyBorder="1"/>
    <xf numFmtId="37" fontId="7" fillId="0" borderId="0" xfId="88" applyNumberFormat="1" applyFont="1" applyFill="1" applyBorder="1"/>
    <xf numFmtId="0" fontId="4" fillId="0" borderId="0" xfId="93" applyFont="1" applyFill="1"/>
    <xf numFmtId="0" fontId="4" fillId="0" borderId="0" xfId="93" applyFont="1" applyAlignment="1">
      <alignment horizontal="center"/>
    </xf>
    <xf numFmtId="37" fontId="3" fillId="0" borderId="0" xfId="92" applyNumberFormat="1" applyFont="1"/>
    <xf numFmtId="167" fontId="3" fillId="0" borderId="0" xfId="92" applyNumberFormat="1" applyFont="1"/>
    <xf numFmtId="10" fontId="6" fillId="0" borderId="0" xfId="92" applyFont="1"/>
    <xf numFmtId="37" fontId="3" fillId="0" borderId="0" xfId="92" applyNumberFormat="1" applyFont="1" applyBorder="1"/>
    <xf numFmtId="5" fontId="15" fillId="0" borderId="0" xfId="90" applyNumberFormat="1" applyFont="1" applyFill="1"/>
    <xf numFmtId="5" fontId="3" fillId="0" borderId="0" xfId="90" applyNumberFormat="1" applyFont="1" applyFill="1"/>
    <xf numFmtId="37" fontId="3" fillId="0" borderId="0" xfId="90" applyFont="1" applyFill="1"/>
    <xf numFmtId="37" fontId="8" fillId="0" borderId="0" xfId="90" applyFont="1" applyAlignment="1">
      <alignment horizontal="right"/>
    </xf>
    <xf numFmtId="0" fontId="33" fillId="0" borderId="0" xfId="88" applyFont="1"/>
    <xf numFmtId="5" fontId="4" fillId="0" borderId="0" xfId="93" applyNumberFormat="1" applyFont="1"/>
    <xf numFmtId="10" fontId="7" fillId="0" borderId="0" xfId="98" applyNumberFormat="1" applyFont="1"/>
    <xf numFmtId="10" fontId="12" fillId="0" borderId="0" xfId="98" applyNumberFormat="1" applyFont="1"/>
    <xf numFmtId="168" fontId="3" fillId="0" borderId="0" xfId="98" applyNumberFormat="1" applyFont="1"/>
    <xf numFmtId="14" fontId="3" fillId="0" borderId="0" xfId="90" applyNumberFormat="1" applyFont="1"/>
    <xf numFmtId="10" fontId="7" fillId="0" borderId="0" xfId="98" applyNumberFormat="1" applyFont="1" applyFill="1"/>
    <xf numFmtId="10" fontId="5" fillId="0" borderId="0" xfId="92" applyFont="1" applyAlignment="1">
      <alignment horizontal="centerContinuous"/>
    </xf>
    <xf numFmtId="1" fontId="15" fillId="0" borderId="0" xfId="92" applyNumberFormat="1" applyFont="1" applyAlignment="1" applyProtection="1">
      <alignment horizontal="center"/>
    </xf>
    <xf numFmtId="37" fontId="36" fillId="0" borderId="0" xfId="89" applyFont="1" applyAlignment="1" applyProtection="1">
      <alignment horizontal="center"/>
    </xf>
    <xf numFmtId="10" fontId="3" fillId="0" borderId="0" xfId="92" applyFont="1" applyAlignment="1">
      <alignment horizontal="center"/>
    </xf>
    <xf numFmtId="10" fontId="5" fillId="0" borderId="0" xfId="92" applyFont="1" applyAlignment="1">
      <alignment horizontal="center"/>
    </xf>
    <xf numFmtId="10" fontId="5" fillId="0" borderId="0" xfId="92" applyFont="1" applyAlignment="1" applyProtection="1">
      <alignment horizontal="center"/>
    </xf>
    <xf numFmtId="10" fontId="37" fillId="0" borderId="0" xfId="92" applyFont="1" applyAlignment="1" applyProtection="1">
      <alignment horizontal="center"/>
    </xf>
    <xf numFmtId="10" fontId="3" fillId="0" borderId="0" xfId="92" applyFont="1" applyAlignment="1" applyProtection="1">
      <alignment horizontal="left"/>
    </xf>
    <xf numFmtId="5" fontId="3" fillId="0" borderId="0" xfId="55" applyNumberFormat="1" applyFont="1" applyAlignment="1" applyProtection="1"/>
    <xf numFmtId="168" fontId="3" fillId="0" borderId="0" xfId="92" applyNumberFormat="1" applyFont="1" applyAlignment="1" applyProtection="1"/>
    <xf numFmtId="10" fontId="3" fillId="0" borderId="0" xfId="92" applyFont="1" applyFill="1" applyAlignment="1" applyProtection="1"/>
    <xf numFmtId="10" fontId="3" fillId="0" borderId="0" xfId="92" applyNumberFormat="1" applyFont="1" applyAlignment="1" applyProtection="1"/>
    <xf numFmtId="5" fontId="3" fillId="0" borderId="0" xfId="92" applyNumberFormat="1" applyFont="1" applyAlignment="1" applyProtection="1"/>
    <xf numFmtId="10" fontId="3" fillId="0" borderId="0" xfId="92" applyFont="1" applyAlignment="1" applyProtection="1"/>
    <xf numFmtId="10" fontId="38" fillId="0" borderId="0" xfId="92" applyNumberFormat="1" applyFont="1" applyFill="1" applyAlignment="1" applyProtection="1"/>
    <xf numFmtId="10" fontId="3" fillId="0" borderId="0" xfId="92" applyFont="1" applyBorder="1" applyAlignment="1" applyProtection="1"/>
    <xf numFmtId="10" fontId="5" fillId="0" borderId="0" xfId="92" applyFont="1"/>
    <xf numFmtId="5" fontId="3" fillId="0" borderId="0" xfId="92" applyNumberFormat="1" applyFont="1" applyAlignment="1"/>
    <xf numFmtId="10" fontId="3" fillId="0" borderId="0" xfId="92" applyNumberFormat="1" applyFont="1" applyAlignment="1"/>
    <xf numFmtId="10" fontId="39" fillId="0" borderId="0" xfId="92" applyFont="1" applyBorder="1"/>
    <xf numFmtId="187" fontId="39" fillId="0" borderId="0" xfId="92" applyNumberFormat="1" applyFont="1" applyBorder="1"/>
    <xf numFmtId="5" fontId="3" fillId="0" borderId="0" xfId="92" applyNumberFormat="1" applyFont="1" applyFill="1" applyAlignment="1"/>
    <xf numFmtId="37" fontId="15" fillId="0" borderId="0" xfId="0" applyFont="1"/>
    <xf numFmtId="10" fontId="3" fillId="0" borderId="0" xfId="92" applyFont="1" applyFill="1" applyBorder="1" applyAlignment="1" applyProtection="1"/>
    <xf numFmtId="10" fontId="5" fillId="0" borderId="0" xfId="92" applyFont="1" applyAlignment="1" applyProtection="1">
      <alignment horizontal="left"/>
    </xf>
    <xf numFmtId="5" fontId="40" fillId="0" borderId="0" xfId="92" applyNumberFormat="1" applyFont="1" applyFill="1" applyBorder="1" applyAlignment="1" applyProtection="1"/>
    <xf numFmtId="10" fontId="40" fillId="0" borderId="0" xfId="92" applyNumberFormat="1" applyFont="1" applyFill="1" applyAlignment="1" applyProtection="1"/>
    <xf numFmtId="10" fontId="3" fillId="0" borderId="0" xfId="92" applyNumberFormat="1" applyFont="1" applyFill="1" applyBorder="1" applyAlignment="1" applyProtection="1"/>
    <xf numFmtId="10" fontId="40" fillId="0" borderId="0" xfId="92" applyNumberFormat="1" applyFont="1" applyAlignment="1" applyProtection="1"/>
    <xf numFmtId="182" fontId="41" fillId="0" borderId="0" xfId="92" applyNumberFormat="1" applyFont="1" applyBorder="1" applyAlignment="1">
      <alignment horizontal="center"/>
    </xf>
    <xf numFmtId="37" fontId="3" fillId="0" borderId="0" xfId="92" applyNumberFormat="1" applyFont="1" applyBorder="1" applyAlignment="1">
      <alignment horizontal="center"/>
    </xf>
    <xf numFmtId="10" fontId="41" fillId="0" borderId="0" xfId="92" applyFont="1" applyBorder="1" applyAlignment="1" applyProtection="1"/>
    <xf numFmtId="165" fontId="3" fillId="0" borderId="0" xfId="92" applyNumberFormat="1" applyFont="1" applyBorder="1" applyAlignment="1" applyProtection="1"/>
    <xf numFmtId="10" fontId="41" fillId="0" borderId="0" xfId="92" applyNumberFormat="1" applyFont="1" applyFill="1" applyBorder="1" applyAlignment="1" applyProtection="1"/>
    <xf numFmtId="5" fontId="42" fillId="0" borderId="0" xfId="92" applyNumberFormat="1" applyFont="1" applyFill="1" applyBorder="1" applyAlignment="1" applyProtection="1"/>
    <xf numFmtId="10" fontId="42" fillId="0" borderId="0" xfId="92" applyNumberFormat="1" applyFont="1" applyFill="1" applyBorder="1" applyAlignment="1" applyProtection="1"/>
    <xf numFmtId="189" fontId="3" fillId="0" borderId="0" xfId="55" applyNumberFormat="1" applyFont="1" applyBorder="1" applyAlignment="1"/>
    <xf numFmtId="10" fontId="42" fillId="0" borderId="0" xfId="92" applyNumberFormat="1" applyFont="1" applyBorder="1" applyAlignment="1" applyProtection="1"/>
    <xf numFmtId="10" fontId="3" fillId="0" borderId="0" xfId="92" applyNumberFormat="1" applyFont="1" applyBorder="1" applyAlignment="1" applyProtection="1"/>
    <xf numFmtId="10" fontId="3" fillId="0" borderId="0" xfId="92" applyFont="1" applyFill="1" applyBorder="1"/>
    <xf numFmtId="10" fontId="42" fillId="0" borderId="0" xfId="92" applyFont="1" applyBorder="1" applyAlignment="1"/>
    <xf numFmtId="10" fontId="3" fillId="0" borderId="0" xfId="92" applyFont="1" applyFill="1"/>
    <xf numFmtId="10" fontId="14" fillId="0" borderId="0" xfId="92" applyFont="1" applyAlignment="1" applyProtection="1">
      <alignment horizontal="left"/>
    </xf>
    <xf numFmtId="38" fontId="3" fillId="0" borderId="0" xfId="92" applyNumberFormat="1" applyFont="1"/>
    <xf numFmtId="5" fontId="3" fillId="0" borderId="0" xfId="92" applyNumberFormat="1" applyFont="1"/>
    <xf numFmtId="1" fontId="12" fillId="0" borderId="0" xfId="92" applyNumberFormat="1" applyFont="1" applyAlignment="1" applyProtection="1">
      <alignment horizontal="center"/>
    </xf>
    <xf numFmtId="37" fontId="36" fillId="0" borderId="0" xfId="89" applyFont="1" applyFill="1" applyAlignment="1" applyProtection="1">
      <alignment horizontal="center"/>
    </xf>
    <xf numFmtId="0" fontId="14" fillId="0" borderId="0" xfId="88" applyFont="1" applyAlignment="1">
      <alignment horizontal="centerContinuous"/>
    </xf>
    <xf numFmtId="17" fontId="44" fillId="0" borderId="0" xfId="88" applyNumberFormat="1" applyFont="1" applyFill="1" applyAlignment="1" applyProtection="1">
      <alignment horizontal="center"/>
    </xf>
    <xf numFmtId="0" fontId="45" fillId="0" borderId="0" xfId="88" applyFont="1" applyAlignment="1" applyProtection="1">
      <alignment horizontal="center" wrapText="1"/>
    </xf>
    <xf numFmtId="0" fontId="46" fillId="0" borderId="0" xfId="88" applyFont="1" applyAlignment="1" applyProtection="1">
      <alignment horizontal="center" wrapText="1"/>
    </xf>
    <xf numFmtId="17" fontId="46" fillId="0" borderId="0" xfId="88" applyNumberFormat="1" applyFont="1" applyFill="1" applyAlignment="1" applyProtection="1">
      <alignment horizontal="center"/>
    </xf>
    <xf numFmtId="0" fontId="15" fillId="0" borderId="0" xfId="88" applyFont="1"/>
    <xf numFmtId="176" fontId="47" fillId="0" borderId="0" xfId="88" applyNumberFormat="1" applyFont="1" applyFill="1" applyProtection="1"/>
    <xf numFmtId="175" fontId="33" fillId="0" borderId="19" xfId="88" applyNumberFormat="1" applyFont="1" applyFill="1" applyBorder="1" applyProtection="1"/>
    <xf numFmtId="176" fontId="46" fillId="0" borderId="0" xfId="88" applyNumberFormat="1" applyFont="1" applyAlignment="1" applyProtection="1">
      <alignment horizontal="center" wrapText="1"/>
    </xf>
    <xf numFmtId="0" fontId="36" fillId="0" borderId="0" xfId="88" applyFont="1" applyAlignment="1" applyProtection="1">
      <alignment horizontal="left"/>
    </xf>
    <xf numFmtId="164" fontId="15" fillId="0" borderId="26" xfId="88" applyNumberFormat="1" applyFont="1" applyFill="1" applyBorder="1" applyProtection="1"/>
    <xf numFmtId="164" fontId="15" fillId="0" borderId="0" xfId="88" applyNumberFormat="1" applyFont="1" applyFill="1" applyBorder="1" applyProtection="1"/>
    <xf numFmtId="175" fontId="33" fillId="0" borderId="0" xfId="88" applyNumberFormat="1" applyFont="1" applyFill="1" applyProtection="1"/>
    <xf numFmtId="164" fontId="33" fillId="0" borderId="0" xfId="88" applyNumberFormat="1" applyFont="1" applyFill="1" applyProtection="1"/>
    <xf numFmtId="0" fontId="15" fillId="0" borderId="0" xfId="88" applyFont="1" applyAlignment="1" applyProtection="1">
      <alignment horizontal="left"/>
    </xf>
    <xf numFmtId="164" fontId="15" fillId="0" borderId="0" xfId="88" applyNumberFormat="1" applyFont="1" applyFill="1" applyProtection="1"/>
    <xf numFmtId="164" fontId="47" fillId="0" borderId="0" xfId="88" applyNumberFormat="1" applyFont="1" applyFill="1" applyProtection="1"/>
    <xf numFmtId="175" fontId="47" fillId="0" borderId="0" xfId="88" applyNumberFormat="1" applyFont="1" applyFill="1" applyProtection="1"/>
    <xf numFmtId="164" fontId="33" fillId="0" borderId="19" xfId="88" applyNumberFormat="1" applyFont="1" applyFill="1" applyBorder="1" applyProtection="1"/>
    <xf numFmtId="175" fontId="45" fillId="0" borderId="19" xfId="88" applyNumberFormat="1" applyFont="1" applyFill="1" applyBorder="1" applyProtection="1"/>
    <xf numFmtId="164" fontId="33" fillId="0" borderId="26" xfId="88" applyNumberFormat="1" applyFont="1" applyFill="1" applyBorder="1" applyProtection="1"/>
    <xf numFmtId="164" fontId="33" fillId="0" borderId="0" xfId="88" applyNumberFormat="1" applyFont="1" applyFill="1" applyBorder="1" applyProtection="1"/>
    <xf numFmtId="183" fontId="33" fillId="0" borderId="0" xfId="88" applyNumberFormat="1" applyFont="1" applyFill="1" applyProtection="1"/>
    <xf numFmtId="43" fontId="47" fillId="0" borderId="0" xfId="88" applyNumberFormat="1" applyFont="1" applyFill="1" applyProtection="1"/>
    <xf numFmtId="37" fontId="33" fillId="0" borderId="0" xfId="88" applyNumberFormat="1" applyFont="1" applyFill="1" applyProtection="1"/>
    <xf numFmtId="175" fontId="33" fillId="0" borderId="10" xfId="88" applyNumberFormat="1" applyFont="1" applyFill="1" applyBorder="1" applyProtection="1"/>
    <xf numFmtId="175" fontId="15" fillId="0" borderId="0" xfId="88" applyNumberFormat="1" applyFont="1" applyFill="1" applyBorder="1" applyProtection="1"/>
    <xf numFmtId="175" fontId="33" fillId="0" borderId="0" xfId="88" applyNumberFormat="1" applyFont="1" applyFill="1" applyBorder="1" applyProtection="1"/>
    <xf numFmtId="175" fontId="33" fillId="0" borderId="20" xfId="88" applyNumberFormat="1" applyFont="1" applyFill="1" applyBorder="1" applyProtection="1"/>
    <xf numFmtId="164" fontId="33" fillId="0" borderId="25" xfId="88" applyNumberFormat="1" applyFont="1" applyFill="1" applyBorder="1" applyProtection="1"/>
    <xf numFmtId="164" fontId="45" fillId="0" borderId="24" xfId="88" applyNumberFormat="1" applyFont="1" applyFill="1" applyBorder="1" applyProtection="1"/>
    <xf numFmtId="164" fontId="33" fillId="0" borderId="22" xfId="88" applyNumberFormat="1" applyFont="1" applyFill="1" applyBorder="1" applyProtection="1"/>
    <xf numFmtId="37" fontId="15" fillId="0" borderId="0" xfId="91" applyFont="1" applyBorder="1" applyAlignment="1" applyProtection="1">
      <alignment horizontal="left"/>
    </xf>
    <xf numFmtId="165" fontId="33" fillId="0" borderId="0" xfId="88" applyNumberFormat="1" applyFont="1" applyFill="1" applyProtection="1"/>
    <xf numFmtId="165" fontId="33" fillId="0" borderId="19" xfId="88" applyNumberFormat="1" applyFont="1" applyFill="1" applyBorder="1" applyProtection="1"/>
    <xf numFmtId="165" fontId="33" fillId="0" borderId="10" xfId="88" applyNumberFormat="1" applyFont="1" applyFill="1" applyBorder="1" applyProtection="1"/>
    <xf numFmtId="165" fontId="33" fillId="0" borderId="20" xfId="88" applyNumberFormat="1" applyFont="1" applyFill="1" applyBorder="1" applyProtection="1"/>
    <xf numFmtId="10" fontId="33" fillId="0" borderId="10" xfId="88" applyNumberFormat="1" applyFont="1" applyFill="1" applyBorder="1" applyProtection="1"/>
    <xf numFmtId="1" fontId="12" fillId="0" borderId="0" xfId="92" applyNumberFormat="1" applyFont="1" applyFill="1" applyAlignment="1" applyProtection="1">
      <alignment horizontal="center"/>
    </xf>
    <xf numFmtId="165" fontId="33" fillId="0" borderId="0" xfId="88" applyNumberFormat="1" applyFont="1" applyFill="1"/>
    <xf numFmtId="0" fontId="33" fillId="0" borderId="0" xfId="88" applyFont="1" applyFill="1"/>
    <xf numFmtId="0" fontId="33" fillId="0" borderId="19" xfId="88" applyFont="1" applyFill="1" applyBorder="1"/>
    <xf numFmtId="165" fontId="33" fillId="0" borderId="27" xfId="88" applyNumberFormat="1" applyFont="1" applyFill="1" applyBorder="1" applyProtection="1"/>
    <xf numFmtId="165" fontId="33" fillId="0" borderId="28" xfId="88" applyNumberFormat="1" applyFont="1" applyFill="1" applyBorder="1" applyProtection="1"/>
    <xf numFmtId="10" fontId="33" fillId="0" borderId="0" xfId="98" applyNumberFormat="1" applyFont="1" applyFill="1" applyBorder="1" applyProtection="1"/>
    <xf numFmtId="184" fontId="33" fillId="0" borderId="0" xfId="88" applyNumberFormat="1" applyFont="1" applyFill="1" applyBorder="1" applyProtection="1"/>
    <xf numFmtId="164" fontId="47" fillId="0" borderId="0" xfId="88" applyNumberFormat="1" applyFont="1" applyFill="1" applyBorder="1" applyProtection="1"/>
    <xf numFmtId="0" fontId="47" fillId="0" borderId="0" xfId="88" applyFont="1" applyFill="1"/>
    <xf numFmtId="5" fontId="33" fillId="0" borderId="0" xfId="88" applyNumberFormat="1" applyFont="1" applyFill="1" applyProtection="1"/>
    <xf numFmtId="175" fontId="47" fillId="0" borderId="0" xfId="88" applyNumberFormat="1" applyFont="1" applyFill="1" applyBorder="1" applyProtection="1"/>
    <xf numFmtId="0" fontId="15" fillId="0" borderId="12" xfId="88" applyFont="1" applyBorder="1" applyAlignment="1" applyProtection="1">
      <alignment horizontal="left"/>
    </xf>
    <xf numFmtId="164" fontId="15" fillId="0" borderId="12" xfId="88" applyNumberFormat="1" applyFont="1" applyFill="1" applyBorder="1" applyProtection="1"/>
    <xf numFmtId="0" fontId="15" fillId="0" borderId="0" xfId="88" applyFont="1" applyBorder="1" applyAlignment="1" applyProtection="1">
      <alignment horizontal="left"/>
    </xf>
    <xf numFmtId="0" fontId="15" fillId="0" borderId="0" xfId="88" applyFont="1" applyBorder="1" applyAlignment="1" applyProtection="1">
      <alignment horizontal="left" indent="1"/>
    </xf>
    <xf numFmtId="179" fontId="33" fillId="0" borderId="0" xfId="88" applyNumberFormat="1" applyFont="1" applyFill="1" applyProtection="1"/>
    <xf numFmtId="0" fontId="15" fillId="0" borderId="12" xfId="88" applyFont="1" applyBorder="1" applyAlignment="1" applyProtection="1">
      <alignment horizontal="left" indent="2"/>
    </xf>
    <xf numFmtId="175" fontId="15" fillId="0" borderId="12" xfId="88" applyNumberFormat="1" applyFont="1" applyFill="1" applyBorder="1" applyProtection="1"/>
    <xf numFmtId="179" fontId="47" fillId="0" borderId="0" xfId="88" applyNumberFormat="1" applyFont="1" applyFill="1" applyBorder="1" applyProtection="1"/>
    <xf numFmtId="175" fontId="45" fillId="0" borderId="0" xfId="88" applyNumberFormat="1" applyFont="1" applyFill="1" applyBorder="1" applyProtection="1"/>
    <xf numFmtId="37" fontId="47" fillId="0" borderId="0" xfId="88" applyNumberFormat="1" applyFont="1" applyFill="1" applyBorder="1" applyProtection="1"/>
    <xf numFmtId="164" fontId="45" fillId="0" borderId="23" xfId="88" applyNumberFormat="1" applyFont="1" applyFill="1" applyBorder="1" applyProtection="1"/>
    <xf numFmtId="175" fontId="45" fillId="0" borderId="23" xfId="88" applyNumberFormat="1" applyFont="1" applyFill="1" applyBorder="1" applyProtection="1"/>
    <xf numFmtId="37" fontId="5" fillId="0" borderId="0" xfId="89" applyFont="1" applyAlignment="1" applyProtection="1">
      <alignment horizontal="center"/>
    </xf>
    <xf numFmtId="37" fontId="5" fillId="0" borderId="0" xfId="89" applyFont="1"/>
    <xf numFmtId="37" fontId="37" fillId="0" borderId="0" xfId="89" applyFont="1" applyAlignment="1" applyProtection="1">
      <alignment horizontal="center"/>
    </xf>
    <xf numFmtId="37" fontId="3" fillId="0" borderId="0" xfId="89" applyFont="1" applyAlignment="1" applyProtection="1">
      <alignment horizontal="fill"/>
    </xf>
    <xf numFmtId="5" fontId="3" fillId="0" borderId="0" xfId="89" applyNumberFormat="1" applyFont="1" applyProtection="1"/>
    <xf numFmtId="168" fontId="7" fillId="0" borderId="0" xfId="89" applyNumberFormat="1" applyFont="1" applyProtection="1"/>
    <xf numFmtId="5" fontId="7" fillId="0" borderId="0" xfId="89" applyNumberFormat="1" applyFont="1"/>
    <xf numFmtId="37" fontId="3" fillId="0" borderId="0" xfId="89" applyFont="1" applyAlignment="1">
      <alignment horizontal="left" indent="1"/>
    </xf>
    <xf numFmtId="5" fontId="7" fillId="0" borderId="26" xfId="89" applyNumberFormat="1" applyFont="1" applyBorder="1"/>
    <xf numFmtId="168" fontId="7" fillId="0" borderId="26" xfId="89" applyNumberFormat="1" applyFont="1" applyBorder="1" applyProtection="1"/>
    <xf numFmtId="5" fontId="3" fillId="0" borderId="26" xfId="89" applyNumberFormat="1" applyFont="1" applyBorder="1" applyProtection="1"/>
    <xf numFmtId="170" fontId="7" fillId="0" borderId="0" xfId="55" applyNumberFormat="1" applyFont="1"/>
    <xf numFmtId="168" fontId="7" fillId="0" borderId="0" xfId="89" applyNumberFormat="1" applyFont="1"/>
    <xf numFmtId="5" fontId="3" fillId="0" borderId="0" xfId="89" applyNumberFormat="1" applyFont="1"/>
    <xf numFmtId="5" fontId="48" fillId="0" borderId="0" xfId="89" applyNumberFormat="1" applyFont="1"/>
    <xf numFmtId="5" fontId="48" fillId="0" borderId="0" xfId="89" applyNumberFormat="1" applyFont="1" applyProtection="1"/>
    <xf numFmtId="5" fontId="3" fillId="0" borderId="0" xfId="89" applyNumberFormat="1" applyFont="1" applyFill="1" applyProtection="1"/>
    <xf numFmtId="10" fontId="3" fillId="0" borderId="0" xfId="89" applyNumberFormat="1" applyFont="1"/>
    <xf numFmtId="10" fontId="5" fillId="0" borderId="0" xfId="89" applyNumberFormat="1" applyFont="1" applyProtection="1"/>
    <xf numFmtId="5" fontId="40" fillId="0" borderId="0" xfId="89" applyNumberFormat="1" applyFont="1"/>
    <xf numFmtId="5" fontId="40" fillId="0" borderId="0" xfId="89" applyNumberFormat="1" applyFont="1" applyProtection="1"/>
    <xf numFmtId="5" fontId="7" fillId="0" borderId="0" xfId="89" applyNumberFormat="1" applyFont="1" applyFill="1" applyProtection="1"/>
    <xf numFmtId="5" fontId="7" fillId="0" borderId="0" xfId="89" applyNumberFormat="1" applyFont="1" applyProtection="1"/>
    <xf numFmtId="37" fontId="5" fillId="0" borderId="11" xfId="89" applyFont="1" applyBorder="1" applyAlignment="1" applyProtection="1">
      <alignment horizontal="left"/>
    </xf>
    <xf numFmtId="5" fontId="5" fillId="0" borderId="12" xfId="89" applyNumberFormat="1" applyFont="1" applyBorder="1" applyProtection="1"/>
    <xf numFmtId="5" fontId="5" fillId="0" borderId="12" xfId="89" applyNumberFormat="1" applyFont="1" applyBorder="1"/>
    <xf numFmtId="37" fontId="14" fillId="0" borderId="0" xfId="89" applyFont="1" applyAlignment="1" applyProtection="1">
      <alignment horizontal="left"/>
    </xf>
    <xf numFmtId="37" fontId="12" fillId="0" borderId="0" xfId="89" applyFont="1" applyAlignment="1" applyProtection="1">
      <alignment horizontal="left"/>
    </xf>
    <xf numFmtId="10" fontId="5" fillId="0" borderId="23" xfId="89" applyNumberFormat="1" applyFont="1" applyFill="1" applyBorder="1" applyAlignment="1" applyProtection="1">
      <alignment horizontal="center"/>
    </xf>
    <xf numFmtId="37" fontId="12" fillId="0" borderId="0" xfId="0" applyFont="1"/>
    <xf numFmtId="37" fontId="14" fillId="0" borderId="0" xfId="0" applyFont="1"/>
    <xf numFmtId="166" fontId="14" fillId="0" borderId="0" xfId="0" applyNumberFormat="1" applyFont="1" applyAlignment="1">
      <alignment horizontal="left"/>
    </xf>
    <xf numFmtId="37" fontId="15" fillId="0" borderId="0" xfId="89" applyFont="1" applyAlignment="1" applyProtection="1">
      <alignment horizontal="center"/>
    </xf>
    <xf numFmtId="37" fontId="5" fillId="0" borderId="0" xfId="89" applyFont="1" applyBorder="1" applyAlignment="1" applyProtection="1">
      <alignment horizontal="center"/>
    </xf>
    <xf numFmtId="37" fontId="50" fillId="0" borderId="29" xfId="0" applyFont="1" applyFill="1" applyBorder="1"/>
    <xf numFmtId="37" fontId="12" fillId="0" borderId="15" xfId="0" applyFont="1" applyFill="1" applyBorder="1"/>
    <xf numFmtId="37" fontId="15" fillId="0" borderId="15" xfId="0" applyFont="1" applyBorder="1"/>
    <xf numFmtId="37" fontId="15" fillId="0" borderId="14" xfId="0" applyFont="1" applyBorder="1"/>
    <xf numFmtId="37" fontId="12" fillId="0" borderId="16" xfId="0" applyFont="1" applyFill="1" applyBorder="1"/>
    <xf numFmtId="37" fontId="12" fillId="0" borderId="0" xfId="0" applyFont="1" applyFill="1" applyBorder="1"/>
    <xf numFmtId="37" fontId="12" fillId="0" borderId="17" xfId="0" applyFont="1" applyBorder="1"/>
    <xf numFmtId="37" fontId="51" fillId="0" borderId="0" xfId="0" applyFont="1"/>
    <xf numFmtId="37" fontId="12" fillId="0" borderId="0" xfId="0" applyFont="1" applyFill="1" applyBorder="1" applyAlignment="1">
      <alignment horizontal="center"/>
    </xf>
    <xf numFmtId="178" fontId="12" fillId="0" borderId="0" xfId="98" applyNumberFormat="1" applyFont="1"/>
    <xf numFmtId="37" fontId="49" fillId="0" borderId="0" xfId="0" applyFont="1" applyFill="1" applyBorder="1" applyAlignment="1">
      <alignment horizontal="center"/>
    </xf>
    <xf numFmtId="37" fontId="49" fillId="0" borderId="0" xfId="0" applyFont="1" applyBorder="1" applyAlignment="1">
      <alignment horizontal="center"/>
    </xf>
    <xf numFmtId="37" fontId="49" fillId="0" borderId="0" xfId="0" applyFont="1"/>
    <xf numFmtId="37" fontId="15" fillId="0" borderId="0" xfId="0" applyFont="1" applyBorder="1"/>
    <xf numFmtId="37" fontId="15" fillId="0" borderId="0" xfId="0" applyFont="1" applyFill="1" applyBorder="1"/>
    <xf numFmtId="5" fontId="51" fillId="0" borderId="0" xfId="59" applyNumberFormat="1" applyFont="1" applyFill="1" applyBorder="1"/>
    <xf numFmtId="168" fontId="12" fillId="0" borderId="0" xfId="0" applyNumberFormat="1" applyFont="1" applyFill="1" applyBorder="1" applyAlignment="1">
      <alignment horizontal="center"/>
    </xf>
    <xf numFmtId="5" fontId="51" fillId="0" borderId="0" xfId="55" applyNumberFormat="1" applyFont="1" applyFill="1" applyBorder="1"/>
    <xf numFmtId="180" fontId="52" fillId="0" borderId="0" xfId="0" applyNumberFormat="1" applyFont="1" applyFill="1" applyBorder="1" applyAlignment="1">
      <alignment horizontal="left" indent="1"/>
    </xf>
    <xf numFmtId="168" fontId="12" fillId="0" borderId="0" xfId="98" applyNumberFormat="1" applyFont="1" applyFill="1" applyBorder="1" applyAlignment="1">
      <alignment horizontal="left"/>
    </xf>
    <xf numFmtId="180" fontId="51" fillId="0" borderId="0" xfId="0" applyNumberFormat="1" applyFont="1" applyFill="1" applyBorder="1"/>
    <xf numFmtId="170" fontId="12" fillId="0" borderId="0" xfId="55" applyNumberFormat="1" applyFont="1" applyFill="1" applyBorder="1"/>
    <xf numFmtId="168" fontId="51" fillId="0" borderId="0" xfId="98" applyNumberFormat="1" applyFont="1" applyFill="1" applyBorder="1"/>
    <xf numFmtId="168" fontId="12" fillId="0" borderId="0" xfId="98" applyNumberFormat="1" applyFont="1"/>
    <xf numFmtId="37" fontId="14" fillId="0" borderId="16" xfId="0" applyFont="1" applyFill="1" applyBorder="1" applyAlignment="1">
      <alignment horizontal="left" indent="1"/>
    </xf>
    <xf numFmtId="5" fontId="12" fillId="0" borderId="25" xfId="55" applyNumberFormat="1" applyFont="1" applyFill="1" applyBorder="1"/>
    <xf numFmtId="5" fontId="14" fillId="0" borderId="25" xfId="55" applyNumberFormat="1" applyFont="1" applyFill="1" applyBorder="1"/>
    <xf numFmtId="168" fontId="12" fillId="0" borderId="25" xfId="98" applyNumberFormat="1" applyFont="1" applyFill="1" applyBorder="1" applyAlignment="1">
      <alignment horizontal="center"/>
    </xf>
    <xf numFmtId="5" fontId="12" fillId="0" borderId="0" xfId="55" applyNumberFormat="1" applyFont="1" applyFill="1" applyBorder="1"/>
    <xf numFmtId="5" fontId="14" fillId="0" borderId="0" xfId="55" applyNumberFormat="1" applyFont="1" applyFill="1" applyBorder="1"/>
    <xf numFmtId="168" fontId="12" fillId="0" borderId="0" xfId="98" applyNumberFormat="1" applyFont="1" applyFill="1" applyBorder="1" applyAlignment="1">
      <alignment horizontal="center"/>
    </xf>
    <xf numFmtId="37" fontId="14" fillId="0" borderId="16" xfId="0" applyFont="1" applyFill="1" applyBorder="1"/>
    <xf numFmtId="44" fontId="53" fillId="0" borderId="0" xfId="59" applyFont="1" applyFill="1" applyBorder="1"/>
    <xf numFmtId="167" fontId="53" fillId="0" borderId="0" xfId="0" applyNumberFormat="1" applyFont="1" applyFill="1" applyBorder="1"/>
    <xf numFmtId="5" fontId="46" fillId="0" borderId="0" xfId="59" applyNumberFormat="1" applyFont="1" applyFill="1" applyBorder="1"/>
    <xf numFmtId="10" fontId="53" fillId="0" borderId="0" xfId="98" applyNumberFormat="1" applyFont="1" applyFill="1" applyBorder="1"/>
    <xf numFmtId="37" fontId="36" fillId="0" borderId="13" xfId="0" applyFont="1" applyFill="1" applyBorder="1"/>
    <xf numFmtId="37" fontId="12" fillId="0" borderId="18" xfId="0" applyFont="1" applyFill="1" applyBorder="1"/>
    <xf numFmtId="37" fontId="12" fillId="0" borderId="18" xfId="0" applyFont="1" applyBorder="1"/>
    <xf numFmtId="37" fontId="12" fillId="0" borderId="21" xfId="0" applyFont="1" applyBorder="1"/>
    <xf numFmtId="37" fontId="12" fillId="0" borderId="15" xfId="0" applyFont="1" applyBorder="1" applyAlignment="1">
      <alignment horizontal="centerContinuous"/>
    </xf>
    <xf numFmtId="37" fontId="12" fillId="0" borderId="14" xfId="0" applyFont="1" applyBorder="1" applyAlignment="1">
      <alignment horizontal="centerContinuous"/>
    </xf>
    <xf numFmtId="37" fontId="12" fillId="0" borderId="0" xfId="0" applyFont="1" applyBorder="1" applyAlignment="1">
      <alignment horizontal="center"/>
    </xf>
    <xf numFmtId="170" fontId="12" fillId="0" borderId="0" xfId="55" applyNumberFormat="1" applyFont="1" applyBorder="1"/>
    <xf numFmtId="37" fontId="15" fillId="0" borderId="17" xfId="0" applyFont="1" applyBorder="1"/>
    <xf numFmtId="37" fontId="14" fillId="0" borderId="16" xfId="0" applyFont="1" applyFill="1" applyBorder="1" applyAlignment="1">
      <alignment horizontal="left"/>
    </xf>
    <xf numFmtId="37" fontId="14" fillId="0" borderId="0" xfId="0" applyFont="1" applyFill="1" applyBorder="1" applyAlignment="1">
      <alignment horizontal="left"/>
    </xf>
    <xf numFmtId="37" fontId="15" fillId="0" borderId="16" xfId="0" applyFont="1" applyBorder="1"/>
    <xf numFmtId="37" fontId="49" fillId="0" borderId="0" xfId="0" applyFont="1" applyBorder="1" applyAlignment="1">
      <alignment horizontal="right"/>
    </xf>
    <xf numFmtId="170" fontId="12" fillId="0" borderId="17" xfId="55" applyNumberFormat="1" applyFont="1" applyBorder="1"/>
    <xf numFmtId="1" fontId="12" fillId="0" borderId="0" xfId="0" applyNumberFormat="1" applyFont="1" applyFill="1" applyBorder="1" applyAlignment="1">
      <alignment horizontal="center"/>
    </xf>
    <xf numFmtId="169" fontId="51" fillId="0" borderId="0" xfId="0" applyNumberFormat="1" applyFont="1" applyFill="1" applyBorder="1" applyAlignment="1">
      <alignment horizontal="center"/>
    </xf>
    <xf numFmtId="5" fontId="12" fillId="0" borderId="0" xfId="59" applyNumberFormat="1" applyFont="1" applyFill="1" applyBorder="1"/>
    <xf numFmtId="168" fontId="51" fillId="0" borderId="0" xfId="0" applyNumberFormat="1" applyFont="1" applyFill="1" applyBorder="1" applyAlignment="1">
      <alignment horizontal="center"/>
    </xf>
    <xf numFmtId="37" fontId="36" fillId="0" borderId="17" xfId="0" applyFont="1" applyBorder="1"/>
    <xf numFmtId="14" fontId="12" fillId="0" borderId="16" xfId="0" applyNumberFormat="1" applyFont="1" applyFill="1" applyBorder="1" applyAlignment="1">
      <alignment horizontal="left" indent="1"/>
    </xf>
    <xf numFmtId="14" fontId="12" fillId="0" borderId="0" xfId="0" applyNumberFormat="1" applyFont="1" applyFill="1" applyBorder="1"/>
    <xf numFmtId="37" fontId="12" fillId="0" borderId="0" xfId="0" applyNumberFormat="1" applyFont="1" applyFill="1" applyBorder="1" applyAlignment="1">
      <alignment horizontal="center"/>
    </xf>
    <xf numFmtId="170" fontId="12" fillId="0" borderId="25" xfId="59" applyNumberFormat="1" applyFont="1" applyBorder="1"/>
    <xf numFmtId="14" fontId="12" fillId="0" borderId="16" xfId="0" applyNumberFormat="1" applyFont="1" applyFill="1" applyBorder="1"/>
    <xf numFmtId="170" fontId="12" fillId="0" borderId="0" xfId="59" applyNumberFormat="1" applyFont="1" applyBorder="1"/>
    <xf numFmtId="14" fontId="14" fillId="0" borderId="16" xfId="0" applyNumberFormat="1" applyFont="1" applyFill="1" applyBorder="1"/>
    <xf numFmtId="37" fontId="12" fillId="0" borderId="0" xfId="0" applyFont="1" applyBorder="1" applyAlignment="1">
      <alignment horizontal="right"/>
    </xf>
    <xf numFmtId="1" fontId="51" fillId="0" borderId="0" xfId="0" applyNumberFormat="1" applyFont="1" applyFill="1" applyBorder="1" applyAlignment="1">
      <alignment horizontal="center"/>
    </xf>
    <xf numFmtId="5" fontId="12" fillId="0" borderId="25" xfId="59" applyNumberFormat="1" applyFont="1" applyBorder="1"/>
    <xf numFmtId="14" fontId="14" fillId="0" borderId="16" xfId="0" applyNumberFormat="1" applyFont="1" applyFill="1" applyBorder="1" applyAlignment="1">
      <alignment horizontal="left" indent="2"/>
    </xf>
    <xf numFmtId="37" fontId="15" fillId="0" borderId="0" xfId="0" applyFont="1" applyFill="1" applyBorder="1" applyAlignment="1">
      <alignment horizontal="center"/>
    </xf>
    <xf numFmtId="169" fontId="51" fillId="0" borderId="0" xfId="0" applyNumberFormat="1" applyFont="1" applyFill="1" applyBorder="1"/>
    <xf numFmtId="10" fontId="51" fillId="0" borderId="0" xfId="0" applyNumberFormat="1" applyFont="1" applyFill="1" applyBorder="1" applyAlignment="1">
      <alignment horizontal="center"/>
    </xf>
    <xf numFmtId="7" fontId="12" fillId="0" borderId="0" xfId="59" applyNumberFormat="1" applyFont="1" applyBorder="1"/>
    <xf numFmtId="37" fontId="15" fillId="0" borderId="13" xfId="0" applyFont="1" applyBorder="1"/>
    <xf numFmtId="37" fontId="14" fillId="0" borderId="18" xfId="0" applyFont="1" applyFill="1" applyBorder="1" applyAlignment="1">
      <alignment horizontal="left"/>
    </xf>
    <xf numFmtId="37" fontId="15" fillId="0" borderId="18" xfId="0" applyFont="1" applyBorder="1"/>
    <xf numFmtId="7" fontId="12" fillId="0" borderId="18" xfId="59" applyNumberFormat="1" applyFont="1" applyBorder="1"/>
    <xf numFmtId="37" fontId="15" fillId="0" borderId="21" xfId="0" applyFont="1" applyBorder="1"/>
    <xf numFmtId="39" fontId="15" fillId="0" borderId="0" xfId="0" applyNumberFormat="1" applyFont="1"/>
    <xf numFmtId="37" fontId="14" fillId="0" borderId="0" xfId="0" applyFont="1" applyBorder="1" applyAlignment="1">
      <alignment horizontal="left"/>
    </xf>
    <xf numFmtId="37" fontId="14" fillId="0" borderId="0" xfId="89" applyFont="1" applyAlignment="1" applyProtection="1">
      <alignment horizontal="center"/>
    </xf>
    <xf numFmtId="37" fontId="14" fillId="0" borderId="10" xfId="0" applyFont="1" applyBorder="1"/>
    <xf numFmtId="37" fontId="36" fillId="0" borderId="0" xfId="0" applyFont="1" applyBorder="1"/>
    <xf numFmtId="37" fontId="52" fillId="0" borderId="0" xfId="0" applyFont="1" applyBorder="1" applyAlignment="1">
      <alignment horizontal="center"/>
    </xf>
    <xf numFmtId="37" fontId="14" fillId="0" borderId="0" xfId="0" applyFont="1" applyFill="1" applyBorder="1" applyAlignment="1">
      <alignment horizontal="center"/>
    </xf>
    <xf numFmtId="37" fontId="14" fillId="0" borderId="0" xfId="0" applyFont="1" applyBorder="1" applyAlignment="1">
      <alignment horizontal="center"/>
    </xf>
    <xf numFmtId="37" fontId="14" fillId="0" borderId="0" xfId="0" applyFont="1" applyAlignment="1">
      <alignment horizontal="center"/>
    </xf>
    <xf numFmtId="174" fontId="14" fillId="0" borderId="10" xfId="93" applyNumberFormat="1" applyFont="1" applyFill="1" applyBorder="1" applyAlignment="1">
      <alignment horizontal="center"/>
    </xf>
    <xf numFmtId="174" fontId="14" fillId="0" borderId="0" xfId="93" applyNumberFormat="1" applyFont="1" applyFill="1" applyBorder="1" applyAlignment="1">
      <alignment horizontal="center"/>
    </xf>
    <xf numFmtId="37" fontId="12" fillId="0" borderId="0" xfId="0" applyNumberFormat="1" applyFont="1"/>
    <xf numFmtId="37" fontId="54" fillId="0" borderId="0" xfId="0" applyFont="1"/>
    <xf numFmtId="5" fontId="51" fillId="0" borderId="0" xfId="59" applyNumberFormat="1" applyFont="1" applyFill="1"/>
    <xf numFmtId="37" fontId="51" fillId="0" borderId="0" xfId="0" applyNumberFormat="1" applyFont="1" applyFill="1"/>
    <xf numFmtId="173" fontId="51" fillId="0" borderId="0" xfId="0" applyNumberFormat="1" applyFont="1" applyBorder="1" applyAlignment="1">
      <alignment horizontal="left" indent="1"/>
    </xf>
    <xf numFmtId="37" fontId="51" fillId="0" borderId="0" xfId="0" applyNumberFormat="1" applyFont="1"/>
    <xf numFmtId="39" fontId="47" fillId="0" borderId="0" xfId="0" applyNumberFormat="1" applyFont="1"/>
    <xf numFmtId="37" fontId="14" fillId="0" borderId="12" xfId="0" applyFont="1" applyFill="1" applyBorder="1"/>
    <xf numFmtId="5" fontId="14" fillId="0" borderId="12" xfId="59" applyNumberFormat="1" applyFont="1" applyFill="1" applyBorder="1"/>
    <xf numFmtId="5" fontId="14" fillId="0" borderId="23" xfId="59" applyNumberFormat="1" applyFont="1" applyFill="1" applyBorder="1"/>
    <xf numFmtId="37" fontId="12" fillId="0" borderId="0" xfId="0" applyNumberFormat="1" applyFont="1" applyBorder="1"/>
    <xf numFmtId="37" fontId="12" fillId="0" borderId="0" xfId="0" applyFont="1" applyFill="1" applyBorder="1" applyAlignment="1">
      <alignment horizontal="left" indent="1"/>
    </xf>
    <xf numFmtId="5" fontId="12" fillId="0" borderId="25" xfId="59" applyNumberFormat="1" applyFont="1" applyFill="1" applyBorder="1"/>
    <xf numFmtId="37" fontId="14" fillId="0" borderId="0" xfId="0" applyFont="1" applyFill="1" applyBorder="1"/>
    <xf numFmtId="39" fontId="12" fillId="0" borderId="0" xfId="0" applyNumberFormat="1" applyFont="1"/>
    <xf numFmtId="10" fontId="15" fillId="0" borderId="0" xfId="98" applyNumberFormat="1" applyFont="1"/>
    <xf numFmtId="37" fontId="55" fillId="0" borderId="0" xfId="0" applyFont="1" applyAlignment="1">
      <alignment horizontal="right"/>
    </xf>
    <xf numFmtId="37" fontId="36" fillId="0" borderId="0" xfId="0" applyFont="1" applyFill="1" applyBorder="1"/>
    <xf numFmtId="14" fontId="15" fillId="0" borderId="0" xfId="0" applyNumberFormat="1" applyFont="1" applyBorder="1"/>
    <xf numFmtId="181" fontId="14" fillId="0" borderId="0" xfId="90" applyNumberFormat="1" applyFont="1" applyFill="1" applyAlignment="1" applyProtection="1">
      <alignment horizontal="centerContinuous"/>
    </xf>
    <xf numFmtId="166" fontId="15" fillId="0" borderId="0" xfId="90" applyNumberFormat="1" applyFont="1" applyFill="1" applyAlignment="1">
      <alignment horizontal="centerContinuous"/>
    </xf>
    <xf numFmtId="166" fontId="15" fillId="0" borderId="0" xfId="0" applyNumberFormat="1" applyFont="1" applyFill="1" applyAlignment="1">
      <alignment horizontal="centerContinuous"/>
    </xf>
    <xf numFmtId="166" fontId="15" fillId="0" borderId="0" xfId="90" applyNumberFormat="1" applyFont="1" applyFill="1" applyAlignment="1" applyProtection="1">
      <alignment horizontal="centerContinuous"/>
    </xf>
    <xf numFmtId="37" fontId="56" fillId="0" borderId="0" xfId="89" applyFont="1" applyAlignment="1" applyProtection="1">
      <alignment horizontal="center"/>
    </xf>
    <xf numFmtId="37" fontId="36" fillId="0" borderId="0" xfId="89" applyFont="1" applyAlignment="1" applyProtection="1">
      <alignment horizontal="left"/>
    </xf>
    <xf numFmtId="37" fontId="15" fillId="0" borderId="0" xfId="90" applyNumberFormat="1" applyFont="1" applyBorder="1" applyAlignment="1">
      <alignment horizontal="center"/>
    </xf>
    <xf numFmtId="37" fontId="36" fillId="0" borderId="0" xfId="90" applyNumberFormat="1" applyFont="1" applyBorder="1" applyAlignment="1" applyProtection="1">
      <alignment horizontal="center" wrapText="1"/>
    </xf>
    <xf numFmtId="17" fontId="14" fillId="0" borderId="0" xfId="88" applyNumberFormat="1" applyFont="1" applyFill="1" applyAlignment="1" applyProtection="1">
      <alignment horizontal="right"/>
    </xf>
    <xf numFmtId="37" fontId="36" fillId="0" borderId="10" xfId="90" applyNumberFormat="1" applyFont="1" applyBorder="1" applyAlignment="1" applyProtection="1">
      <alignment horizontal="center" wrapText="1"/>
    </xf>
    <xf numFmtId="37" fontId="15" fillId="0" borderId="0" xfId="90" applyNumberFormat="1" applyFont="1" applyAlignment="1">
      <alignment horizontal="center"/>
    </xf>
    <xf numFmtId="37" fontId="15" fillId="0" borderId="0" xfId="0" applyNumberFormat="1" applyFont="1"/>
    <xf numFmtId="168" fontId="15" fillId="0" borderId="0" xfId="0" applyNumberFormat="1" applyFont="1"/>
    <xf numFmtId="17" fontId="15" fillId="0" borderId="0" xfId="0" applyNumberFormat="1" applyFont="1" applyAlignment="1">
      <alignment horizontal="center"/>
    </xf>
    <xf numFmtId="175" fontId="15" fillId="0" borderId="0" xfId="88" applyNumberFormat="1" applyFont="1" applyFill="1" applyProtection="1"/>
    <xf numFmtId="39" fontId="15" fillId="0" borderId="0" xfId="0" applyNumberFormat="1" applyFont="1" applyFill="1" applyAlignment="1">
      <alignment horizontal="center"/>
    </xf>
    <xf numFmtId="10" fontId="15" fillId="0" borderId="0" xfId="0" applyNumberFormat="1" applyFont="1"/>
    <xf numFmtId="37" fontId="15" fillId="0" borderId="0" xfId="90" applyNumberFormat="1" applyFont="1" applyAlignment="1" applyProtection="1"/>
    <xf numFmtId="17" fontId="15" fillId="0" borderId="0" xfId="90" applyNumberFormat="1" applyFont="1" applyProtection="1"/>
    <xf numFmtId="17" fontId="15" fillId="0" borderId="0" xfId="90" applyNumberFormat="1" applyFont="1" applyAlignment="1" applyProtection="1">
      <alignment horizontal="center"/>
    </xf>
    <xf numFmtId="37" fontId="15" fillId="0" borderId="0" xfId="90" applyNumberFormat="1" applyFont="1" applyFill="1" applyAlignment="1">
      <alignment horizontal="center"/>
    </xf>
    <xf numFmtId="37" fontId="15" fillId="0" borderId="0" xfId="0" applyNumberFormat="1" applyFont="1" applyFill="1"/>
    <xf numFmtId="168" fontId="15" fillId="0" borderId="0" xfId="0" applyNumberFormat="1" applyFont="1" applyFill="1"/>
    <xf numFmtId="17" fontId="15" fillId="0" borderId="0" xfId="0" applyNumberFormat="1" applyFont="1" applyFill="1" applyAlignment="1">
      <alignment horizontal="center"/>
    </xf>
    <xf numFmtId="10" fontId="15" fillId="0" borderId="0" xfId="0" applyNumberFormat="1" applyFont="1" applyFill="1"/>
    <xf numFmtId="2" fontId="15" fillId="0" borderId="0" xfId="0" applyNumberFormat="1" applyFont="1" applyFill="1" applyBorder="1" applyAlignment="1">
      <alignment horizontal="center"/>
    </xf>
    <xf numFmtId="175" fontId="45" fillId="0" borderId="12" xfId="88" applyNumberFormat="1" applyFont="1" applyFill="1" applyBorder="1" applyProtection="1"/>
    <xf numFmtId="37" fontId="36" fillId="0" borderId="0" xfId="90" applyNumberFormat="1" applyFont="1" applyAlignment="1" applyProtection="1">
      <alignment horizontal="left"/>
    </xf>
    <xf numFmtId="171" fontId="15" fillId="0" borderId="0" xfId="0" applyNumberFormat="1" applyFont="1" applyFill="1" applyAlignment="1">
      <alignment horizontal="center"/>
    </xf>
    <xf numFmtId="175" fontId="36" fillId="0" borderId="12" xfId="88" applyNumberFormat="1" applyFont="1" applyFill="1" applyBorder="1" applyProtection="1"/>
    <xf numFmtId="171" fontId="15" fillId="0" borderId="0" xfId="0" applyNumberFormat="1" applyFont="1" applyFill="1"/>
    <xf numFmtId="175" fontId="36" fillId="0" borderId="25" xfId="88" applyNumberFormat="1" applyFont="1" applyFill="1" applyBorder="1" applyProtection="1"/>
    <xf numFmtId="175" fontId="36" fillId="0" borderId="0" xfId="88" applyNumberFormat="1" applyFont="1" applyFill="1" applyBorder="1" applyProtection="1"/>
    <xf numFmtId="10" fontId="36" fillId="0" borderId="0" xfId="90" applyNumberFormat="1" applyFont="1" applyFill="1" applyBorder="1" applyProtection="1"/>
    <xf numFmtId="186" fontId="47" fillId="0" borderId="0" xfId="88" applyNumberFormat="1" applyFont="1" applyFill="1" applyBorder="1" applyProtection="1"/>
    <xf numFmtId="175" fontId="36" fillId="0" borderId="0" xfId="88" applyNumberFormat="1" applyFont="1" applyFill="1" applyProtection="1"/>
    <xf numFmtId="10" fontId="15" fillId="0" borderId="0" xfId="99" applyNumberFormat="1" applyFont="1" applyFill="1"/>
    <xf numFmtId="37" fontId="36" fillId="0" borderId="0" xfId="87" applyNumberFormat="1" applyFont="1" applyFill="1" applyBorder="1"/>
    <xf numFmtId="37" fontId="36" fillId="0" borderId="0" xfId="90" applyNumberFormat="1" applyFont="1"/>
    <xf numFmtId="37" fontId="15" fillId="0" borderId="0" xfId="90" applyNumberFormat="1" applyFont="1"/>
    <xf numFmtId="171" fontId="15" fillId="0" borderId="0" xfId="0" applyNumberFormat="1" applyFont="1"/>
    <xf numFmtId="37" fontId="15" fillId="0" borderId="0" xfId="90" applyNumberFormat="1" applyFont="1" applyAlignment="1">
      <alignment horizontal="right"/>
    </xf>
    <xf numFmtId="10" fontId="36" fillId="0" borderId="23" xfId="90" applyNumberFormat="1" applyFont="1" applyFill="1" applyBorder="1" applyProtection="1"/>
    <xf numFmtId="0" fontId="57" fillId="0" borderId="0" xfId="93" quotePrefix="1" applyFont="1" applyFill="1" applyAlignment="1" applyProtection="1">
      <alignment horizontal="center"/>
    </xf>
    <xf numFmtId="0" fontId="12" fillId="0" borderId="0" xfId="93" applyFont="1" applyFill="1"/>
    <xf numFmtId="172" fontId="14" fillId="0" borderId="0" xfId="93" applyNumberFormat="1" applyFont="1" applyFill="1" applyAlignment="1">
      <alignment horizontal="left"/>
    </xf>
    <xf numFmtId="1" fontId="12" fillId="0" borderId="0" xfId="93" applyNumberFormat="1" applyFont="1" applyFill="1" applyAlignment="1" applyProtection="1">
      <alignment horizontal="center"/>
    </xf>
    <xf numFmtId="37" fontId="36" fillId="0" borderId="0" xfId="89" quotePrefix="1" applyFont="1" applyAlignment="1" applyProtection="1">
      <alignment horizontal="center"/>
    </xf>
    <xf numFmtId="0" fontId="14" fillId="0" borderId="0" xfId="93" applyFont="1" applyFill="1" applyAlignment="1" applyProtection="1">
      <alignment horizontal="center"/>
    </xf>
    <xf numFmtId="0" fontId="36" fillId="0" borderId="0" xfId="93" applyFont="1" applyFill="1" applyAlignment="1" applyProtection="1">
      <alignment horizontal="center"/>
    </xf>
    <xf numFmtId="0" fontId="36" fillId="0" borderId="0" xfId="93" applyFont="1" applyFill="1" applyAlignment="1">
      <alignment horizontal="center"/>
    </xf>
    <xf numFmtId="0" fontId="36" fillId="0" borderId="0" xfId="93" applyFont="1" applyFill="1" applyBorder="1" applyAlignment="1" applyProtection="1">
      <alignment horizontal="center" wrapText="1"/>
    </xf>
    <xf numFmtId="0" fontId="36" fillId="0" borderId="10" xfId="93" applyFont="1" applyFill="1" applyBorder="1" applyAlignment="1" applyProtection="1">
      <alignment horizontal="left"/>
    </xf>
    <xf numFmtId="0" fontId="36" fillId="0" borderId="10" xfId="93" applyFont="1" applyFill="1" applyBorder="1" applyAlignment="1" applyProtection="1">
      <alignment horizontal="center" wrapText="1"/>
    </xf>
    <xf numFmtId="0" fontId="58" fillId="0" borderId="10" xfId="93" applyFont="1" applyFill="1" applyBorder="1" applyAlignment="1">
      <alignment horizontal="center"/>
    </xf>
    <xf numFmtId="168" fontId="12" fillId="0" borderId="0" xfId="93" applyNumberFormat="1" applyFont="1" applyFill="1" applyAlignment="1">
      <alignment horizontal="left"/>
    </xf>
    <xf numFmtId="15" fontId="12" fillId="0" borderId="0" xfId="93" applyNumberFormat="1" applyFont="1" applyFill="1" applyAlignment="1">
      <alignment horizontal="center"/>
    </xf>
    <xf numFmtId="15" fontId="12" fillId="0" borderId="0" xfId="93" applyNumberFormat="1" applyFont="1" applyFill="1" applyAlignment="1">
      <alignment horizontal="right"/>
    </xf>
    <xf numFmtId="7" fontId="12" fillId="0" borderId="0" xfId="93" applyNumberFormat="1" applyFont="1" applyFill="1"/>
    <xf numFmtId="174" fontId="12" fillId="0" borderId="0" xfId="93" applyNumberFormat="1" applyFont="1" applyFill="1"/>
    <xf numFmtId="5" fontId="12" fillId="0" borderId="0" xfId="93" applyNumberFormat="1" applyFont="1" applyFill="1"/>
    <xf numFmtId="0" fontId="12" fillId="0" borderId="0" xfId="93" applyNumberFormat="1" applyFont="1" applyFill="1"/>
    <xf numFmtId="168" fontId="12" fillId="0" borderId="0" xfId="93" applyNumberFormat="1" applyFont="1" applyFill="1" applyAlignment="1" applyProtection="1">
      <alignment horizontal="left"/>
    </xf>
    <xf numFmtId="15" fontId="12" fillId="0" borderId="0" xfId="93" applyNumberFormat="1" applyFont="1" applyFill="1" applyAlignment="1" applyProtection="1">
      <alignment horizontal="center"/>
    </xf>
    <xf numFmtId="188" fontId="51" fillId="0" borderId="0" xfId="93" applyNumberFormat="1" applyFont="1" applyFill="1"/>
    <xf numFmtId="5" fontId="49" fillId="0" borderId="0" xfId="93" applyNumberFormat="1" applyFont="1" applyFill="1"/>
    <xf numFmtId="0" fontId="14" fillId="0" borderId="0" xfId="93" quotePrefix="1" applyFont="1" applyFill="1" applyBorder="1" applyAlignment="1" applyProtection="1">
      <alignment horizontal="left"/>
    </xf>
    <xf numFmtId="5" fontId="14" fillId="0" borderId="25" xfId="93" applyNumberFormat="1" applyFont="1" applyFill="1" applyBorder="1" applyAlignment="1" applyProtection="1">
      <alignment horizontal="right"/>
    </xf>
    <xf numFmtId="10" fontId="12" fillId="0" borderId="0" xfId="98" applyNumberFormat="1" applyFont="1" applyFill="1"/>
    <xf numFmtId="5" fontId="12" fillId="0" borderId="0" xfId="93" applyNumberFormat="1" applyFont="1" applyProtection="1"/>
    <xf numFmtId="0" fontId="14" fillId="0" borderId="0" xfId="93" applyFont="1" applyFill="1" applyAlignment="1" applyProtection="1">
      <alignment horizontal="left"/>
    </xf>
    <xf numFmtId="0" fontId="14" fillId="0" borderId="0" xfId="93" applyFont="1" applyAlignment="1" applyProtection="1">
      <alignment horizontal="left"/>
    </xf>
    <xf numFmtId="0" fontId="34" fillId="0" borderId="0" xfId="88" applyFont="1" applyBorder="1" applyAlignment="1" applyProtection="1">
      <alignment horizontal="center" vertical="center" wrapText="1"/>
    </xf>
    <xf numFmtId="10" fontId="34" fillId="0" borderId="0" xfId="92" applyFont="1" applyBorder="1" applyAlignment="1" applyProtection="1">
      <alignment horizontal="center" vertical="center" wrapText="1"/>
    </xf>
    <xf numFmtId="172" fontId="34" fillId="0" borderId="0" xfId="92" applyNumberFormat="1" applyFont="1" applyBorder="1" applyAlignment="1" applyProtection="1">
      <alignment horizontal="center" vertical="center" wrapText="1"/>
    </xf>
    <xf numFmtId="181" fontId="35" fillId="0" borderId="0" xfId="92" applyNumberFormat="1" applyFont="1" applyBorder="1" applyAlignment="1" applyProtection="1">
      <alignment horizontal="center" vertical="center" wrapText="1"/>
    </xf>
    <xf numFmtId="0" fontId="36" fillId="0" borderId="0" xfId="88" applyFont="1" applyAlignment="1" applyProtection="1">
      <alignment horizontal="center"/>
    </xf>
    <xf numFmtId="0" fontId="43" fillId="0" borderId="0" xfId="88" applyFont="1" applyFill="1" applyBorder="1" applyAlignment="1" applyProtection="1">
      <alignment horizontal="center" vertical="center" wrapText="1"/>
    </xf>
    <xf numFmtId="0" fontId="34" fillId="0" borderId="0" xfId="93" quotePrefix="1" applyFont="1" applyFill="1" applyBorder="1" applyAlignment="1" applyProtection="1">
      <alignment horizontal="center" vertical="center" wrapText="1"/>
    </xf>
    <xf numFmtId="0" fontId="5" fillId="0" borderId="0" xfId="93" quotePrefix="1" applyFont="1" applyFill="1" applyBorder="1" applyAlignment="1" applyProtection="1">
      <alignment horizontal="center" vertical="center" wrapText="1"/>
    </xf>
    <xf numFmtId="181" fontId="5" fillId="0" borderId="0" xfId="93" quotePrefix="1" applyNumberFormat="1" applyFont="1" applyFill="1" applyBorder="1" applyAlignment="1" applyProtection="1">
      <alignment horizontal="center" vertical="center" wrapText="1"/>
    </xf>
    <xf numFmtId="37" fontId="14" fillId="0" borderId="16" xfId="0" applyFont="1" applyFill="1" applyBorder="1" applyAlignment="1">
      <alignment horizontal="left"/>
    </xf>
    <xf numFmtId="37" fontId="14" fillId="0" borderId="0" xfId="0" applyFont="1" applyFill="1" applyBorder="1" applyAlignment="1">
      <alignment horizontal="left"/>
    </xf>
    <xf numFmtId="37" fontId="50" fillId="0" borderId="29" xfId="0" applyFont="1" applyFill="1" applyBorder="1" applyAlignment="1">
      <alignment horizontal="left"/>
    </xf>
    <xf numFmtId="37" fontId="50" fillId="0" borderId="15" xfId="0" applyFont="1" applyFill="1" applyBorder="1" applyAlignment="1">
      <alignment horizontal="left"/>
    </xf>
    <xf numFmtId="37" fontId="14" fillId="0" borderId="0" xfId="0" applyFont="1" applyAlignment="1">
      <alignment horizontal="center"/>
    </xf>
    <xf numFmtId="181" fontId="5" fillId="0" borderId="0" xfId="92" applyNumberFormat="1" applyFont="1" applyBorder="1" applyAlignment="1" applyProtection="1">
      <alignment horizontal="center" vertical="center" wrapText="1"/>
    </xf>
    <xf numFmtId="37" fontId="34" fillId="0" borderId="0" xfId="0" applyFont="1" applyAlignment="1">
      <alignment horizontal="center"/>
    </xf>
    <xf numFmtId="37" fontId="14" fillId="0" borderId="0" xfId="0" applyFont="1" applyBorder="1" applyAlignment="1">
      <alignment horizontal="center"/>
    </xf>
    <xf numFmtId="181" fontId="14" fillId="0" borderId="0" xfId="0" applyNumberFormat="1" applyFont="1" applyBorder="1" applyAlignment="1">
      <alignment horizontal="center"/>
    </xf>
    <xf numFmtId="37" fontId="14" fillId="0" borderId="0" xfId="90" applyNumberFormat="1" applyFont="1" applyAlignment="1" applyProtection="1">
      <alignment horizontal="center"/>
    </xf>
    <xf numFmtId="181" fontId="14" fillId="0" borderId="0" xfId="90" applyNumberFormat="1" applyFont="1" applyFill="1" applyAlignment="1" applyProtection="1">
      <alignment horizontal="center"/>
    </xf>
    <xf numFmtId="0" fontId="59" fillId="0" borderId="0" xfId="93" quotePrefix="1" applyFont="1" applyFill="1" applyAlignment="1" applyProtection="1">
      <alignment horizontal="center"/>
    </xf>
    <xf numFmtId="0" fontId="14" fillId="0" borderId="0" xfId="93" quotePrefix="1" applyFont="1" applyFill="1" applyAlignment="1" applyProtection="1">
      <alignment horizontal="center"/>
    </xf>
    <xf numFmtId="181" fontId="14" fillId="0" borderId="0" xfId="93" applyNumberFormat="1" applyFont="1" applyFill="1" applyAlignment="1">
      <alignment horizontal="center"/>
    </xf>
  </cellXfs>
  <cellStyles count="107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" xfId="55" builtinId="3"/>
    <cellStyle name="Comma 2" xfId="56"/>
    <cellStyle name="Comma 3" xfId="57"/>
    <cellStyle name="Comma0" xfId="58"/>
    <cellStyle name="Currency" xfId="59" builtinId="4"/>
    <cellStyle name="Currency 2" xfId="60"/>
    <cellStyle name="Currency 3" xfId="61"/>
    <cellStyle name="Currency0" xfId="62"/>
    <cellStyle name="Date" xfId="63"/>
    <cellStyle name="Explanatory Text" xfId="64" builtinId="53" customBuiltin="1"/>
    <cellStyle name="Explanatory Text 2" xfId="65"/>
    <cellStyle name="Good" xfId="66" builtinId="26" customBuiltin="1"/>
    <cellStyle name="Good 2" xfId="67"/>
    <cellStyle name="Heading 1" xfId="68" builtinId="16" customBuiltin="1"/>
    <cellStyle name="Heading 1 2" xfId="69"/>
    <cellStyle name="Heading 2" xfId="70" builtinId="17" customBuiltin="1"/>
    <cellStyle name="Heading 2 2" xfId="71"/>
    <cellStyle name="Heading 3" xfId="72" builtinId="18" customBuiltin="1"/>
    <cellStyle name="Heading 3 2" xfId="73"/>
    <cellStyle name="Heading 4" xfId="74" builtinId="19" customBuiltin="1"/>
    <cellStyle name="Heading 4 2" xfId="75"/>
    <cellStyle name="Input" xfId="76" builtinId="20" customBuiltin="1"/>
    <cellStyle name="Input 2" xfId="77"/>
    <cellStyle name="Linked Cell" xfId="78" builtinId="24" customBuiltin="1"/>
    <cellStyle name="Linked Cell 2" xfId="79"/>
    <cellStyle name="Lisa" xfId="80"/>
    <cellStyle name="Neutral" xfId="81" builtinId="28" customBuiltin="1"/>
    <cellStyle name="Neutral 2" xfId="82"/>
    <cellStyle name="Normal" xfId="0" builtinId="0"/>
    <cellStyle name="Normal 2" xfId="83"/>
    <cellStyle name="Normal 2 2" xfId="84"/>
    <cellStyle name="Normal 2 2 2" xfId="85"/>
    <cellStyle name="Normal 2 3" xfId="86"/>
    <cellStyle name="Normal 3" xfId="87"/>
    <cellStyle name="Normal_AMACAPST" xfId="88"/>
    <cellStyle name="Normal_COSTOF" xfId="89"/>
    <cellStyle name="Normal_COSTOFD" xfId="90"/>
    <cellStyle name="Normal_COSTOFPR" xfId="91"/>
    <cellStyle name="Normal_RATEOFRE" xfId="92"/>
    <cellStyle name="Normal_SCHEDULE" xfId="93"/>
    <cellStyle name="Note" xfId="94" builtinId="10" customBuiltin="1"/>
    <cellStyle name="Note 2" xfId="95"/>
    <cellStyle name="Output" xfId="96" builtinId="21" customBuiltin="1"/>
    <cellStyle name="Output 2" xfId="97"/>
    <cellStyle name="Percent" xfId="98" builtinId="5"/>
    <cellStyle name="Percent 2" xfId="99"/>
    <cellStyle name="Percent 3" xfId="100"/>
    <cellStyle name="Title" xfId="101" builtinId="15" customBuiltin="1"/>
    <cellStyle name="Title 2" xfId="102"/>
    <cellStyle name="Total" xfId="103" builtinId="25" customBuiltin="1"/>
    <cellStyle name="Total 2" xfId="104"/>
    <cellStyle name="Warning Text" xfId="105" builtinId="11" customBuiltin="1"/>
    <cellStyle name="Warning Text 2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workbookViewId="0">
      <selection activeCell="K20" sqref="K20"/>
    </sheetView>
  </sheetViews>
  <sheetFormatPr defaultColWidth="11.5" defaultRowHeight="12.75"/>
  <cols>
    <col min="1" max="1" width="3.83203125" style="16" customWidth="1"/>
    <col min="2" max="2" width="53.5" style="16" bestFit="1" customWidth="1"/>
    <col min="3" max="3" width="18.33203125" style="16" bestFit="1" customWidth="1"/>
    <col min="4" max="4" width="10.5" style="16" bestFit="1" customWidth="1"/>
    <col min="5" max="5" width="13.1640625" style="16" customWidth="1"/>
    <col min="6" max="6" width="13.5" style="16" customWidth="1"/>
    <col min="7" max="7" width="11.5" style="16" customWidth="1"/>
    <col min="8" max="8" width="13.83203125" style="16" customWidth="1"/>
    <col min="9" max="9" width="11.1640625" style="16" customWidth="1"/>
    <col min="10" max="10" width="8.5" style="16" customWidth="1"/>
    <col min="11" max="11" width="9" style="16" customWidth="1"/>
    <col min="12" max="12" width="8.6640625" style="16" customWidth="1"/>
    <col min="13" max="16384" width="11.5" style="16"/>
  </cols>
  <sheetData>
    <row r="1" spans="1:12" ht="15.75">
      <c r="A1" s="401" t="s">
        <v>43</v>
      </c>
      <c r="B1" s="401"/>
      <c r="C1" s="401"/>
      <c r="D1" s="401"/>
      <c r="E1" s="401"/>
      <c r="F1" s="401"/>
    </row>
    <row r="2" spans="1:12">
      <c r="A2" s="81"/>
      <c r="B2" s="17"/>
      <c r="C2" s="17"/>
      <c r="D2" s="17"/>
      <c r="E2" s="17"/>
      <c r="F2" s="17"/>
    </row>
    <row r="3" spans="1:12" ht="15.75">
      <c r="A3" s="402" t="s">
        <v>4</v>
      </c>
      <c r="B3" s="402"/>
      <c r="C3" s="402"/>
      <c r="D3" s="402"/>
      <c r="E3" s="402"/>
      <c r="F3" s="402"/>
    </row>
    <row r="4" spans="1:12" ht="15.75">
      <c r="A4" s="403" t="s">
        <v>55</v>
      </c>
      <c r="B4" s="403"/>
      <c r="C4" s="403"/>
      <c r="D4" s="403"/>
      <c r="E4" s="403"/>
      <c r="F4" s="403"/>
      <c r="H4" s="66"/>
      <c r="L4" s="67"/>
    </row>
    <row r="5" spans="1:12">
      <c r="A5" s="404" t="s">
        <v>190</v>
      </c>
      <c r="B5" s="404"/>
      <c r="C5" s="404"/>
      <c r="D5" s="404"/>
      <c r="E5" s="404"/>
      <c r="F5" s="404"/>
      <c r="H5" s="66"/>
      <c r="L5" s="67"/>
    </row>
    <row r="6" spans="1:12">
      <c r="A6" s="18"/>
      <c r="C6" s="19"/>
      <c r="H6" s="66"/>
      <c r="L6" s="67"/>
    </row>
    <row r="7" spans="1:12">
      <c r="A7" s="18"/>
      <c r="H7" s="66"/>
      <c r="L7" s="67"/>
    </row>
    <row r="8" spans="1:12">
      <c r="A8" s="82">
        <v>1</v>
      </c>
      <c r="B8" s="83" t="s">
        <v>3</v>
      </c>
      <c r="C8" s="83" t="s">
        <v>24</v>
      </c>
      <c r="D8" s="83" t="s">
        <v>49</v>
      </c>
      <c r="E8" s="83" t="s">
        <v>61</v>
      </c>
      <c r="F8" s="83" t="s">
        <v>62</v>
      </c>
      <c r="H8" s="66"/>
      <c r="L8" s="67"/>
    </row>
    <row r="9" spans="1:12">
      <c r="A9" s="82">
        <f>+A8+1</f>
        <v>2</v>
      </c>
      <c r="H9" s="66"/>
      <c r="L9" s="67"/>
    </row>
    <row r="10" spans="1:12">
      <c r="A10" s="82">
        <f t="shared" ref="A10:A17" si="0">+A9+1</f>
        <v>3</v>
      </c>
      <c r="B10" s="84" t="s">
        <v>1</v>
      </c>
      <c r="C10" s="85"/>
      <c r="D10" s="85"/>
      <c r="E10" s="85"/>
      <c r="F10" s="85" t="s">
        <v>5</v>
      </c>
      <c r="H10" s="66"/>
      <c r="L10" s="67"/>
    </row>
    <row r="11" spans="1:12">
      <c r="A11" s="82">
        <f t="shared" si="0"/>
        <v>4</v>
      </c>
      <c r="B11" s="85"/>
      <c r="C11" s="86"/>
      <c r="D11" s="85"/>
      <c r="E11" s="85"/>
      <c r="F11" s="86" t="s">
        <v>6</v>
      </c>
      <c r="H11" s="66"/>
      <c r="L11" s="67"/>
    </row>
    <row r="12" spans="1:12">
      <c r="A12" s="82">
        <f t="shared" si="0"/>
        <v>5</v>
      </c>
      <c r="B12" s="87" t="s">
        <v>7</v>
      </c>
      <c r="C12" s="87" t="s">
        <v>76</v>
      </c>
      <c r="D12" s="87" t="s">
        <v>8</v>
      </c>
      <c r="E12" s="87" t="s">
        <v>9</v>
      </c>
      <c r="F12" s="87" t="s">
        <v>10</v>
      </c>
      <c r="H12" s="66"/>
      <c r="L12" s="67"/>
    </row>
    <row r="13" spans="1:12">
      <c r="A13" s="82">
        <f t="shared" si="0"/>
        <v>6</v>
      </c>
      <c r="B13" s="88"/>
      <c r="C13" s="88"/>
      <c r="D13" s="88"/>
      <c r="E13" s="88"/>
      <c r="F13" s="88"/>
      <c r="H13" s="66"/>
      <c r="L13" s="67"/>
    </row>
    <row r="14" spans="1:12">
      <c r="A14" s="82">
        <f t="shared" si="0"/>
        <v>7</v>
      </c>
      <c r="B14" s="88" t="s">
        <v>11</v>
      </c>
      <c r="C14" s="89">
        <f>'Pg 2 CapStructure'!Q10</f>
        <v>240409667</v>
      </c>
      <c r="D14" s="90">
        <f>ROUND(C14/$C$30,4)</f>
        <v>3.0599999999999999E-2</v>
      </c>
      <c r="E14" s="91">
        <f>'Pg 6 LTD Cost '!H32</f>
        <v>2.41E-2</v>
      </c>
      <c r="F14" s="92">
        <f>ROUND(D14*E14,4)</f>
        <v>6.9999999999999999E-4</v>
      </c>
      <c r="L14" s="66"/>
    </row>
    <row r="15" spans="1:12">
      <c r="A15" s="82">
        <f t="shared" si="0"/>
        <v>8</v>
      </c>
      <c r="B15" s="88"/>
      <c r="C15" s="93"/>
      <c r="D15" s="92"/>
      <c r="E15" s="94"/>
      <c r="F15" s="92"/>
      <c r="L15" s="66"/>
    </row>
    <row r="16" spans="1:12">
      <c r="A16" s="82">
        <f t="shared" si="0"/>
        <v>9</v>
      </c>
      <c r="B16" s="88" t="s">
        <v>12</v>
      </c>
      <c r="C16" s="93">
        <f>'Pg 2 CapStructure'!Q16</f>
        <v>3768263996</v>
      </c>
      <c r="D16" s="95">
        <f>ROUND(C16/$C$30,4)</f>
        <v>0.47939999999999999</v>
      </c>
      <c r="E16" s="96">
        <f>'Pg 6 LTD Cost '!H30</f>
        <v>5.8700000000000002E-2</v>
      </c>
      <c r="F16" s="92">
        <f>ROUND(D16*E16,4)</f>
        <v>2.81E-2</v>
      </c>
      <c r="L16" s="66"/>
    </row>
    <row r="17" spans="1:12">
      <c r="A17" s="82">
        <f t="shared" si="0"/>
        <v>10</v>
      </c>
      <c r="B17" s="97"/>
      <c r="C17" s="98"/>
      <c r="D17" s="92"/>
      <c r="E17" s="96"/>
      <c r="F17" s="99"/>
      <c r="H17" s="100"/>
      <c r="I17" s="59"/>
      <c r="J17" s="59"/>
      <c r="K17" s="59"/>
      <c r="L17" s="69"/>
    </row>
    <row r="18" spans="1:12">
      <c r="A18" s="82">
        <v>11</v>
      </c>
      <c r="B18" s="16" t="s">
        <v>176</v>
      </c>
      <c r="C18" s="98"/>
      <c r="D18" s="92">
        <f>ROUND((C14+C16)/C30,4)</f>
        <v>0.51</v>
      </c>
      <c r="E18" s="96">
        <f>'Pg 6 LTD Cost '!H34</f>
        <v>5.6899999999999999E-2</v>
      </c>
      <c r="F18" s="99">
        <f>F16+F14</f>
        <v>2.8799999999999999E-2</v>
      </c>
      <c r="H18" s="101"/>
      <c r="I18" s="59"/>
      <c r="J18" s="59"/>
      <c r="K18" s="59"/>
      <c r="L18" s="69"/>
    </row>
    <row r="19" spans="1:12">
      <c r="A19" s="82">
        <v>12</v>
      </c>
      <c r="B19" s="97"/>
      <c r="C19" s="98"/>
      <c r="D19" s="92"/>
      <c r="E19" s="96"/>
      <c r="F19" s="99"/>
      <c r="H19" s="100"/>
      <c r="I19" s="59"/>
      <c r="J19" s="59"/>
      <c r="K19" s="59"/>
      <c r="L19" s="69"/>
    </row>
    <row r="20" spans="1:12">
      <c r="A20" s="82">
        <v>13</v>
      </c>
      <c r="B20" s="16" t="s">
        <v>51</v>
      </c>
      <c r="C20" s="98"/>
      <c r="D20" s="92"/>
      <c r="E20" s="96"/>
      <c r="F20" s="99">
        <f>'Pg 4 STD OS &amp; Comm Fees'!F20</f>
        <v>2.0000000000000001E-4</v>
      </c>
      <c r="H20" s="100"/>
      <c r="I20" s="59"/>
      <c r="J20" s="59"/>
      <c r="K20" s="59"/>
      <c r="L20" s="69"/>
    </row>
    <row r="21" spans="1:12">
      <c r="A21" s="82">
        <v>14</v>
      </c>
      <c r="B21" s="97"/>
      <c r="C21" s="98"/>
      <c r="D21" s="92"/>
      <c r="E21" s="96"/>
      <c r="F21" s="99"/>
      <c r="H21" s="100"/>
      <c r="I21" s="59"/>
      <c r="J21" s="59"/>
      <c r="K21" s="59"/>
      <c r="L21" s="69"/>
    </row>
    <row r="22" spans="1:12">
      <c r="A22" s="82">
        <v>15</v>
      </c>
      <c r="B22" s="16" t="s">
        <v>177</v>
      </c>
      <c r="C22" s="98"/>
      <c r="D22" s="92"/>
      <c r="E22" s="96"/>
      <c r="F22" s="99">
        <f>'Pg 5 STD Amort'!I35</f>
        <v>1E-4</v>
      </c>
      <c r="H22" s="100"/>
      <c r="I22" s="59"/>
      <c r="J22" s="59"/>
      <c r="K22" s="59"/>
      <c r="L22" s="69"/>
    </row>
    <row r="23" spans="1:12">
      <c r="A23" s="82">
        <v>16</v>
      </c>
      <c r="B23" s="97"/>
      <c r="C23" s="98"/>
      <c r="D23" s="92"/>
      <c r="E23" s="96"/>
      <c r="F23" s="99"/>
      <c r="H23" s="100"/>
      <c r="I23" s="59"/>
      <c r="J23" s="59"/>
      <c r="K23" s="59"/>
      <c r="L23" s="69"/>
    </row>
    <row r="24" spans="1:12">
      <c r="A24" s="82">
        <v>17</v>
      </c>
      <c r="B24" s="16" t="s">
        <v>178</v>
      </c>
      <c r="C24" s="98"/>
      <c r="D24" s="92"/>
      <c r="E24" s="96"/>
      <c r="F24" s="99">
        <f>'Pg 7 Reacquired Debt'!I35</f>
        <v>2.9999999999999997E-4</v>
      </c>
      <c r="H24" s="100"/>
      <c r="I24" s="59"/>
      <c r="J24" s="59"/>
      <c r="K24" s="59"/>
      <c r="L24" s="69"/>
    </row>
    <row r="25" spans="1:12">
      <c r="A25" s="82">
        <v>18</v>
      </c>
      <c r="B25" s="97"/>
      <c r="C25" s="102"/>
      <c r="D25" s="92"/>
      <c r="E25" s="96"/>
      <c r="F25" s="99"/>
      <c r="H25" s="103"/>
      <c r="I25" s="59"/>
      <c r="J25" s="59"/>
      <c r="K25" s="59"/>
      <c r="L25" s="69"/>
    </row>
    <row r="26" spans="1:12">
      <c r="A26" s="82">
        <v>19</v>
      </c>
      <c r="B26" s="97" t="s">
        <v>179</v>
      </c>
      <c r="C26" s="102">
        <f>C16+C14</f>
        <v>4008673663</v>
      </c>
      <c r="D26" s="92">
        <f>D18</f>
        <v>0.51</v>
      </c>
      <c r="E26" s="91">
        <f>F26/D26</f>
        <v>5.7647058823529412E-2</v>
      </c>
      <c r="F26" s="104">
        <f>SUM(F18:F25)</f>
        <v>2.9399999999999999E-2</v>
      </c>
      <c r="G26" s="78"/>
      <c r="H26" s="103"/>
      <c r="I26" s="59"/>
      <c r="J26" s="59"/>
      <c r="K26" s="59"/>
      <c r="L26" s="69"/>
    </row>
    <row r="27" spans="1:12">
      <c r="A27" s="82">
        <v>20</v>
      </c>
      <c r="B27" s="97"/>
      <c r="C27" s="102"/>
      <c r="D27" s="92"/>
      <c r="E27" s="96"/>
      <c r="F27" s="99"/>
      <c r="H27" s="103"/>
      <c r="I27" s="59"/>
      <c r="J27" s="59"/>
      <c r="K27" s="59"/>
      <c r="L27" s="69"/>
    </row>
    <row r="28" spans="1:12">
      <c r="A28" s="82">
        <v>21</v>
      </c>
      <c r="B28" s="105" t="s">
        <v>13</v>
      </c>
      <c r="C28" s="106">
        <f>'Pg 2 CapStructure'!Q20</f>
        <v>3852191881</v>
      </c>
      <c r="D28" s="107">
        <f>ROUND(C28/$C$30,4)</f>
        <v>0.49</v>
      </c>
      <c r="E28" s="108">
        <v>9.5000000000000001E-2</v>
      </c>
      <c r="F28" s="109">
        <f>ROUND(D28*E28,4)</f>
        <v>4.6600000000000003E-2</v>
      </c>
      <c r="H28" s="103"/>
      <c r="I28" s="110"/>
      <c r="J28" s="111"/>
      <c r="K28" s="112"/>
      <c r="L28" s="96"/>
    </row>
    <row r="29" spans="1:12">
      <c r="A29" s="82">
        <v>22</v>
      </c>
      <c r="B29" s="97"/>
      <c r="C29" s="104"/>
      <c r="D29" s="113"/>
      <c r="E29" s="114"/>
      <c r="F29" s="96"/>
      <c r="H29" s="103"/>
      <c r="I29" s="110"/>
      <c r="J29" s="111"/>
      <c r="K29" s="112"/>
      <c r="L29" s="96"/>
    </row>
    <row r="30" spans="1:12">
      <c r="A30" s="82">
        <v>23</v>
      </c>
      <c r="B30" s="105" t="s">
        <v>14</v>
      </c>
      <c r="C30" s="115">
        <f>C28+C26</f>
        <v>7860865544</v>
      </c>
      <c r="D30" s="116">
        <f>D28+D18</f>
        <v>1</v>
      </c>
      <c r="E30" s="117"/>
      <c r="F30" s="118">
        <f>F28+F26</f>
        <v>7.5999999999999998E-2</v>
      </c>
      <c r="H30" s="103"/>
      <c r="I30" s="59"/>
      <c r="J30" s="111"/>
      <c r="K30" s="96"/>
      <c r="L30" s="119"/>
    </row>
    <row r="31" spans="1:12">
      <c r="A31" s="82">
        <v>24</v>
      </c>
      <c r="C31" s="120"/>
      <c r="D31" s="59"/>
      <c r="E31" s="121"/>
      <c r="F31" s="59"/>
      <c r="H31" s="103"/>
    </row>
    <row r="32" spans="1:12">
      <c r="A32" s="82">
        <v>25</v>
      </c>
      <c r="C32" s="122"/>
      <c r="E32" s="59"/>
      <c r="H32" s="103"/>
    </row>
    <row r="33" spans="1:8">
      <c r="A33" s="82">
        <v>26</v>
      </c>
      <c r="B33" s="123" t="s">
        <v>191</v>
      </c>
      <c r="C33" s="122"/>
      <c r="E33" s="124"/>
      <c r="G33" s="68"/>
      <c r="H33" s="103"/>
    </row>
    <row r="34" spans="1:8">
      <c r="A34" s="15"/>
    </row>
    <row r="35" spans="1:8">
      <c r="A35" s="15"/>
      <c r="C35" s="93"/>
    </row>
    <row r="36" spans="1:8">
      <c r="A36" s="15"/>
      <c r="C36" s="93"/>
    </row>
    <row r="37" spans="1:8">
      <c r="A37" s="15"/>
      <c r="C37" s="93"/>
    </row>
    <row r="38" spans="1:8">
      <c r="A38" s="15"/>
    </row>
    <row r="39" spans="1:8">
      <c r="A39" s="15"/>
      <c r="C39" s="125"/>
    </row>
    <row r="40" spans="1:8">
      <c r="A40" s="15"/>
    </row>
    <row r="41" spans="1:8">
      <c r="A41" s="15"/>
    </row>
    <row r="46" spans="1:8">
      <c r="C46" s="20"/>
      <c r="D46" s="21"/>
    </row>
    <row r="47" spans="1:8">
      <c r="D47" s="21"/>
    </row>
    <row r="48" spans="1:8">
      <c r="C48" s="20"/>
      <c r="D48" s="21"/>
    </row>
    <row r="49" spans="3:4">
      <c r="C49" s="20"/>
      <c r="D49" s="21"/>
    </row>
    <row r="50" spans="3:4">
      <c r="C50" s="20"/>
      <c r="D50" s="21"/>
    </row>
    <row r="51" spans="3:4">
      <c r="C51" s="20"/>
      <c r="D51" s="21"/>
    </row>
    <row r="52" spans="3:4">
      <c r="D52" s="21"/>
    </row>
    <row r="53" spans="3:4">
      <c r="C53" s="20"/>
      <c r="D53" s="21"/>
    </row>
    <row r="54" spans="3:4">
      <c r="D54" s="22"/>
    </row>
  </sheetData>
  <mergeCells count="4">
    <mergeCell ref="A1:F1"/>
    <mergeCell ref="A3:F3"/>
    <mergeCell ref="A4:F4"/>
    <mergeCell ref="A5:F5"/>
  </mergeCells>
  <printOptions horizontalCentered="1"/>
  <pageMargins left="0.25" right="0.25" top="1.25" bottom="0.75" header="0.3" footer="0.3"/>
  <pageSetup orientation="landscape" r:id="rId1"/>
  <headerFooter scaleWithDoc="0" alignWithMargins="0">
    <oddFooter>&amp;R&amp;"Times New Roman,Regular"&amp;12Exh. MDM-3
Page 1 of 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B677"/>
  <sheetViews>
    <sheetView zoomScale="120" zoomScaleNormal="120" workbookViewId="0">
      <pane xSplit="2" ySplit="6" topLeftCell="C25" activePane="bottomRight" state="frozen"/>
      <selection activeCell="D18" sqref="D18"/>
      <selection pane="topRight" activeCell="D18" sqref="D18"/>
      <selection pane="bottomLeft" activeCell="D18" sqref="D18"/>
      <selection pane="bottomRight" activeCell="Q25" sqref="Q25"/>
    </sheetView>
  </sheetViews>
  <sheetFormatPr defaultColWidth="15.83203125" defaultRowHeight="12.75"/>
  <cols>
    <col min="1" max="1" width="3.33203125" style="1" customWidth="1"/>
    <col min="2" max="2" width="28.5" style="1" customWidth="1"/>
    <col min="3" max="15" width="9.5" style="2" bestFit="1" customWidth="1"/>
    <col min="16" max="16" width="10.6640625" style="2" customWidth="1"/>
    <col min="17" max="17" width="12.5" style="1" customWidth="1"/>
    <col min="18" max="18" width="10.33203125" style="1" customWidth="1"/>
    <col min="19" max="19" width="13" style="1" customWidth="1"/>
    <col min="20" max="21" width="10.33203125" style="1" customWidth="1"/>
    <col min="22" max="22" width="16.33203125" style="1" bestFit="1" customWidth="1"/>
    <col min="23" max="32" width="8.83203125" style="1" customWidth="1"/>
    <col min="33" max="33" width="10.1640625" style="1" customWidth="1"/>
    <col min="34" max="16384" width="15.83203125" style="1"/>
  </cols>
  <sheetData>
    <row r="1" spans="1:53">
      <c r="A1" s="405" t="s">
        <v>43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</row>
    <row r="2" spans="1:53">
      <c r="A2" s="405" t="s">
        <v>32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</row>
    <row r="3" spans="1:53" ht="12.75" customHeight="1">
      <c r="A3" s="406" t="s">
        <v>187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</row>
    <row r="4" spans="1:53">
      <c r="A4" s="405" t="s">
        <v>56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</row>
    <row r="5" spans="1:53">
      <c r="A5" s="126">
        <v>1</v>
      </c>
      <c r="B5" s="83" t="s">
        <v>3</v>
      </c>
      <c r="C5" s="127" t="s">
        <v>24</v>
      </c>
      <c r="D5" s="127" t="s">
        <v>49</v>
      </c>
      <c r="E5" s="127" t="s">
        <v>61</v>
      </c>
      <c r="F5" s="127" t="s">
        <v>62</v>
      </c>
      <c r="G5" s="127" t="s">
        <v>63</v>
      </c>
      <c r="H5" s="127" t="s">
        <v>64</v>
      </c>
      <c r="I5" s="127" t="s">
        <v>65</v>
      </c>
      <c r="J5" s="127" t="s">
        <v>66</v>
      </c>
      <c r="K5" s="127" t="s">
        <v>68</v>
      </c>
      <c r="L5" s="127" t="s">
        <v>69</v>
      </c>
      <c r="M5" s="127" t="s">
        <v>70</v>
      </c>
      <c r="N5" s="127" t="s">
        <v>71</v>
      </c>
      <c r="O5" s="127" t="s">
        <v>72</v>
      </c>
      <c r="P5" s="127"/>
      <c r="Q5" s="83" t="s">
        <v>73</v>
      </c>
    </row>
    <row r="6" spans="1:53" ht="35.1" customHeight="1">
      <c r="A6" s="126">
        <f>+A5+1</f>
        <v>2</v>
      </c>
      <c r="B6" s="128" t="s">
        <v>0</v>
      </c>
      <c r="C6" s="129">
        <v>43100</v>
      </c>
      <c r="D6" s="129">
        <v>43131</v>
      </c>
      <c r="E6" s="129">
        <v>43159</v>
      </c>
      <c r="F6" s="129">
        <v>43190</v>
      </c>
      <c r="G6" s="129">
        <v>43220</v>
      </c>
      <c r="H6" s="129">
        <v>43251</v>
      </c>
      <c r="I6" s="129">
        <v>43281</v>
      </c>
      <c r="J6" s="129">
        <v>43312</v>
      </c>
      <c r="K6" s="129">
        <v>43343</v>
      </c>
      <c r="L6" s="129">
        <v>43373</v>
      </c>
      <c r="M6" s="129">
        <v>43404</v>
      </c>
      <c r="N6" s="129">
        <v>43434</v>
      </c>
      <c r="O6" s="129">
        <v>43465</v>
      </c>
      <c r="P6" s="129"/>
      <c r="Q6" s="130" t="s">
        <v>101</v>
      </c>
      <c r="R6" s="131"/>
      <c r="S6" s="47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</row>
    <row r="7" spans="1:53">
      <c r="A7" s="126">
        <f>+A6+1</f>
        <v>3</v>
      </c>
      <c r="B7" s="133" t="s">
        <v>33</v>
      </c>
      <c r="C7" s="134">
        <v>329463000</v>
      </c>
      <c r="D7" s="134">
        <v>255500000</v>
      </c>
      <c r="E7" s="134">
        <v>153050000</v>
      </c>
      <c r="F7" s="134">
        <v>370689000</v>
      </c>
      <c r="G7" s="134">
        <v>391000000</v>
      </c>
      <c r="H7" s="134">
        <v>366000000</v>
      </c>
      <c r="I7" s="134">
        <v>28000000</v>
      </c>
      <c r="J7" s="134">
        <v>80000000</v>
      </c>
      <c r="K7" s="134">
        <v>102000000</v>
      </c>
      <c r="L7" s="134">
        <v>206000000</v>
      </c>
      <c r="M7" s="134">
        <v>259000000</v>
      </c>
      <c r="N7" s="134">
        <v>319297000</v>
      </c>
      <c r="O7" s="134">
        <v>379297000</v>
      </c>
      <c r="P7" s="134"/>
      <c r="Q7" s="135">
        <f>ROUND(((C7+O7)+(SUM(D7:N7)*2))/24,0)</f>
        <v>240409667</v>
      </c>
      <c r="R7" s="136"/>
      <c r="S7" s="74"/>
      <c r="T7" s="74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</row>
    <row r="8" spans="1:53">
      <c r="A8" s="126">
        <f>+A7+1</f>
        <v>4</v>
      </c>
      <c r="B8" s="133" t="s">
        <v>155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5">
        <f>ROUND(((C8+L8)+(SUM(D8:N8)*2))/24,0)</f>
        <v>0</v>
      </c>
      <c r="R8" s="136"/>
      <c r="S8" s="74"/>
      <c r="T8" s="74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</row>
    <row r="9" spans="1:53" ht="13.5" thickBot="1">
      <c r="A9" s="126">
        <f>+A8+1</f>
        <v>5</v>
      </c>
      <c r="B9" s="133" t="s">
        <v>141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5">
        <f>ROUND(((C9+L9)+(SUM(D9:N9)*2))/24,0)</f>
        <v>0</v>
      </c>
      <c r="R9" s="131"/>
      <c r="T9" s="74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</row>
    <row r="10" spans="1:53" ht="13.5" thickBot="1">
      <c r="A10" s="126">
        <f>+A9+1</f>
        <v>6</v>
      </c>
      <c r="B10" s="137" t="s">
        <v>27</v>
      </c>
      <c r="C10" s="138">
        <f t="shared" ref="C10:H10" si="0">SUM(C7:C9)</f>
        <v>329463000</v>
      </c>
      <c r="D10" s="138">
        <f t="shared" si="0"/>
        <v>255500000</v>
      </c>
      <c r="E10" s="138">
        <f t="shared" si="0"/>
        <v>153050000</v>
      </c>
      <c r="F10" s="138">
        <f t="shared" si="0"/>
        <v>370689000</v>
      </c>
      <c r="G10" s="138">
        <f t="shared" si="0"/>
        <v>391000000</v>
      </c>
      <c r="H10" s="138">
        <f t="shared" si="0"/>
        <v>366000000</v>
      </c>
      <c r="I10" s="138">
        <f t="shared" ref="I10:Q10" si="1">SUM(I7:I9)</f>
        <v>28000000</v>
      </c>
      <c r="J10" s="138">
        <f t="shared" si="1"/>
        <v>80000000</v>
      </c>
      <c r="K10" s="138">
        <f t="shared" si="1"/>
        <v>102000000</v>
      </c>
      <c r="L10" s="138">
        <f t="shared" si="1"/>
        <v>206000000</v>
      </c>
      <c r="M10" s="138">
        <f t="shared" si="1"/>
        <v>259000000</v>
      </c>
      <c r="N10" s="138">
        <f t="shared" si="1"/>
        <v>319297000</v>
      </c>
      <c r="O10" s="138">
        <f t="shared" si="1"/>
        <v>379297000</v>
      </c>
      <c r="P10" s="139"/>
      <c r="Q10" s="188">
        <f t="shared" si="1"/>
        <v>240409667</v>
      </c>
      <c r="R10" s="140"/>
      <c r="T10" s="140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49"/>
      <c r="AG10" s="49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</row>
    <row r="11" spans="1:53" ht="6.95" customHeight="1" thickBot="1">
      <c r="A11" s="126"/>
      <c r="B11" s="142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35"/>
      <c r="R11" s="140"/>
      <c r="T11" s="140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49"/>
      <c r="AG11" s="49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</row>
    <row r="12" spans="1:53" ht="13.5" thickBot="1">
      <c r="A12" s="126">
        <f>+A10+1</f>
        <v>7</v>
      </c>
      <c r="B12" s="137" t="s">
        <v>116</v>
      </c>
      <c r="C12" s="144">
        <f>3523860000-24602220-1758560</f>
        <v>3497499220</v>
      </c>
      <c r="D12" s="144">
        <f>3523860000-24441336-1753206</f>
        <v>3497665458</v>
      </c>
      <c r="E12" s="144">
        <f>3523860000-24320009-1747851</f>
        <v>3497792140</v>
      </c>
      <c r="F12" s="144">
        <f>3523860000-24198682-1742497</f>
        <v>3497918821</v>
      </c>
      <c r="G12" s="144">
        <f>3523860000-24077356-1737143</f>
        <v>3498045501</v>
      </c>
      <c r="H12" s="144">
        <f>3523860000-23956029-1731788</f>
        <v>3498172183</v>
      </c>
      <c r="I12" s="144">
        <f>3923860000-24245951-6983726</f>
        <v>3892630323</v>
      </c>
      <c r="J12" s="144">
        <f>3923860000-24988076-6949205</f>
        <v>3891922719</v>
      </c>
      <c r="K12" s="144">
        <f>3923860000-24987492-6929267</f>
        <v>3891943241</v>
      </c>
      <c r="L12" s="144">
        <v>3892076008</v>
      </c>
      <c r="M12" s="144">
        <v>3892170221</v>
      </c>
      <c r="N12" s="144">
        <v>3892307056</v>
      </c>
      <c r="O12" s="144">
        <v>3892443356</v>
      </c>
      <c r="P12" s="144"/>
      <c r="Q12" s="188">
        <f>ROUND(((C12+O12)+(SUM(D12:N12)*2))/24,0)</f>
        <v>3711467913</v>
      </c>
      <c r="R12" s="140"/>
      <c r="S12" s="74"/>
      <c r="T12" s="74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49"/>
      <c r="AG12" s="49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</row>
    <row r="13" spans="1:53" ht="6" customHeight="1">
      <c r="A13" s="126"/>
      <c r="B13" s="137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6"/>
      <c r="R13" s="140"/>
      <c r="T13" s="140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</row>
    <row r="14" spans="1:53" ht="13.5" customHeight="1">
      <c r="A14" s="126">
        <f>+A12+1</f>
        <v>8</v>
      </c>
      <c r="B14" s="137" t="s">
        <v>110</v>
      </c>
      <c r="C14" s="145">
        <v>250000000</v>
      </c>
      <c r="D14" s="145">
        <v>250000000</v>
      </c>
      <c r="E14" s="145">
        <v>250000000</v>
      </c>
      <c r="F14" s="145">
        <v>56553000</v>
      </c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7">
        <f>ROUND(((C14+O14)+(SUM(D14:N14)*2))/24,0)</f>
        <v>56796083</v>
      </c>
      <c r="R14" s="140"/>
      <c r="S14" s="74"/>
      <c r="T14" s="74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</row>
    <row r="15" spans="1:53" ht="5.25" customHeight="1" thickBot="1">
      <c r="A15" s="126"/>
      <c r="B15" s="137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6"/>
      <c r="R15" s="140"/>
      <c r="S15" s="140"/>
      <c r="T15" s="140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</row>
    <row r="16" spans="1:53" ht="13.5" customHeight="1" thickBot="1">
      <c r="A16" s="126">
        <f>+A14+1</f>
        <v>9</v>
      </c>
      <c r="B16" s="137" t="s">
        <v>12</v>
      </c>
      <c r="C16" s="148">
        <f t="shared" ref="C16:O16" si="2">SUM(C12:C14)</f>
        <v>3747499220</v>
      </c>
      <c r="D16" s="148">
        <f t="shared" si="2"/>
        <v>3747665458</v>
      </c>
      <c r="E16" s="148">
        <f t="shared" si="2"/>
        <v>3747792140</v>
      </c>
      <c r="F16" s="148">
        <f t="shared" si="2"/>
        <v>3554471821</v>
      </c>
      <c r="G16" s="148">
        <f t="shared" si="2"/>
        <v>3498045501</v>
      </c>
      <c r="H16" s="148">
        <f t="shared" si="2"/>
        <v>3498172183</v>
      </c>
      <c r="I16" s="148">
        <f t="shared" si="2"/>
        <v>3892630323</v>
      </c>
      <c r="J16" s="148">
        <f t="shared" si="2"/>
        <v>3891922719</v>
      </c>
      <c r="K16" s="148">
        <f t="shared" si="2"/>
        <v>3891943241</v>
      </c>
      <c r="L16" s="148">
        <f t="shared" si="2"/>
        <v>3892076008</v>
      </c>
      <c r="M16" s="148">
        <f t="shared" si="2"/>
        <v>3892170221</v>
      </c>
      <c r="N16" s="148">
        <f t="shared" si="2"/>
        <v>3892307056</v>
      </c>
      <c r="O16" s="148">
        <f t="shared" si="2"/>
        <v>3892443356</v>
      </c>
      <c r="P16" s="149"/>
      <c r="Q16" s="188">
        <f>SUM(Q12:Q14)</f>
        <v>3768263996</v>
      </c>
      <c r="R16" s="140"/>
      <c r="S16" s="150"/>
      <c r="T16" s="140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</row>
    <row r="17" spans="1:53" ht="6.75" customHeight="1" thickBot="1">
      <c r="A17" s="126"/>
      <c r="B17" s="137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6"/>
      <c r="R17" s="140"/>
      <c r="S17" s="140"/>
      <c r="T17" s="140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</row>
    <row r="18" spans="1:53" ht="13.5" thickBot="1">
      <c r="A18" s="126">
        <f>+A16+1</f>
        <v>10</v>
      </c>
      <c r="B18" s="137" t="s">
        <v>79</v>
      </c>
      <c r="C18" s="151">
        <v>0</v>
      </c>
      <c r="D18" s="151">
        <v>0</v>
      </c>
      <c r="E18" s="151">
        <v>0</v>
      </c>
      <c r="F18" s="151">
        <v>0</v>
      </c>
      <c r="G18" s="151">
        <v>0</v>
      </c>
      <c r="H18" s="151">
        <v>0</v>
      </c>
      <c r="I18" s="151">
        <v>0</v>
      </c>
      <c r="J18" s="151">
        <v>0</v>
      </c>
      <c r="K18" s="151">
        <v>0</v>
      </c>
      <c r="L18" s="151">
        <v>0</v>
      </c>
      <c r="M18" s="151">
        <v>0</v>
      </c>
      <c r="N18" s="151">
        <v>0</v>
      </c>
      <c r="O18" s="151">
        <v>0</v>
      </c>
      <c r="P18" s="151"/>
      <c r="Q18" s="189"/>
      <c r="R18" s="140"/>
      <c r="S18" s="152"/>
      <c r="T18" s="140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</row>
    <row r="19" spans="1:53" ht="6.95" customHeight="1" thickBot="1">
      <c r="A19" s="126"/>
      <c r="B19" s="137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35"/>
      <c r="R19" s="140"/>
      <c r="S19" s="140"/>
      <c r="T19" s="140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</row>
    <row r="20" spans="1:53" ht="13.5" thickBot="1">
      <c r="A20" s="126">
        <f>+A18+1</f>
        <v>11</v>
      </c>
      <c r="B20" s="137" t="s">
        <v>91</v>
      </c>
      <c r="C20" s="153">
        <f t="shared" ref="C20:H20" si="3">C44</f>
        <v>3770421993</v>
      </c>
      <c r="D20" s="153">
        <f t="shared" si="3"/>
        <v>3830206006</v>
      </c>
      <c r="E20" s="153">
        <f t="shared" si="3"/>
        <v>3880699843</v>
      </c>
      <c r="F20" s="153">
        <f>F44</f>
        <v>3879184263</v>
      </c>
      <c r="G20" s="153">
        <f t="shared" si="3"/>
        <v>3897023977</v>
      </c>
      <c r="H20" s="153">
        <f t="shared" si="3"/>
        <v>3896636196</v>
      </c>
      <c r="I20" s="153">
        <f t="shared" ref="I20:O20" si="4">I44</f>
        <v>3856513605</v>
      </c>
      <c r="J20" s="153">
        <f t="shared" si="4"/>
        <v>3845263673</v>
      </c>
      <c r="K20" s="153">
        <f>K44</f>
        <v>3836679107</v>
      </c>
      <c r="L20" s="153">
        <f t="shared" si="4"/>
        <v>3800815427</v>
      </c>
      <c r="M20" s="153">
        <f t="shared" si="4"/>
        <v>3817737182</v>
      </c>
      <c r="N20" s="153">
        <f t="shared" si="4"/>
        <v>3859567841</v>
      </c>
      <c r="O20" s="153">
        <f t="shared" si="4"/>
        <v>3881528902</v>
      </c>
      <c r="P20" s="154"/>
      <c r="Q20" s="189">
        <f>ROUND(((C20+O20)+(SUM(D20:N20)*2))/24,0)</f>
        <v>3852191881</v>
      </c>
      <c r="R20" s="140"/>
      <c r="S20" s="140"/>
      <c r="T20" s="140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</row>
    <row r="21" spans="1:53" ht="6.95" customHeight="1">
      <c r="A21" s="126"/>
      <c r="B21" s="137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6"/>
      <c r="R21" s="140"/>
      <c r="S21" s="140"/>
      <c r="T21" s="140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</row>
    <row r="22" spans="1:53" ht="13.5" thickBot="1">
      <c r="A22" s="126">
        <f>+A20+1</f>
        <v>12</v>
      </c>
      <c r="B22" s="137" t="s">
        <v>82</v>
      </c>
      <c r="C22" s="157">
        <f t="shared" ref="C22:H22" si="5">C10+C16+C18+C20</f>
        <v>7847384213</v>
      </c>
      <c r="D22" s="157">
        <f t="shared" si="5"/>
        <v>7833371464</v>
      </c>
      <c r="E22" s="157">
        <f t="shared" si="5"/>
        <v>7781541983</v>
      </c>
      <c r="F22" s="157">
        <f>F10+F16+F18+F20-1000</f>
        <v>7804344084</v>
      </c>
      <c r="G22" s="157">
        <f>G10+G16+G18+G20-1000</f>
        <v>7786068478</v>
      </c>
      <c r="H22" s="157">
        <f t="shared" si="5"/>
        <v>7760808379</v>
      </c>
      <c r="I22" s="157">
        <f>I10+I16+I18+I20</f>
        <v>7777143928</v>
      </c>
      <c r="J22" s="157">
        <f>J10+J16+J18+J20+1000</f>
        <v>7817187392</v>
      </c>
      <c r="K22" s="157">
        <f t="shared" ref="K22:O22" si="6">K10+K16+K18+K20</f>
        <v>7830622348</v>
      </c>
      <c r="L22" s="157">
        <f>L10+L16+L18+L20</f>
        <v>7898891435</v>
      </c>
      <c r="M22" s="157">
        <f t="shared" si="6"/>
        <v>7968907403</v>
      </c>
      <c r="N22" s="157">
        <f t="shared" si="6"/>
        <v>8071171897</v>
      </c>
      <c r="O22" s="157">
        <f t="shared" si="6"/>
        <v>8153269258</v>
      </c>
      <c r="P22" s="157"/>
      <c r="Q22" s="158">
        <f>Q10+Q16+Q18+Q20</f>
        <v>7860865544</v>
      </c>
      <c r="R22" s="140"/>
      <c r="S22" s="140"/>
      <c r="T22" s="140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</row>
    <row r="23" spans="1:53" ht="13.5" thickTop="1">
      <c r="A23" s="126"/>
      <c r="B23" s="137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59"/>
      <c r="R23" s="140"/>
      <c r="S23" s="140"/>
      <c r="T23" s="140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</row>
    <row r="24" spans="1:53">
      <c r="A24" s="126">
        <f>+A22+1</f>
        <v>13</v>
      </c>
      <c r="B24" s="160" t="s">
        <v>27</v>
      </c>
      <c r="C24" s="161">
        <f t="shared" ref="C24:H24" si="7">C10/C$22</f>
        <v>4.1983798812120172E-2</v>
      </c>
      <c r="D24" s="161">
        <f t="shared" si="7"/>
        <v>3.2616862506036771E-2</v>
      </c>
      <c r="E24" s="161">
        <f t="shared" si="7"/>
        <v>1.9668338272075349E-2</v>
      </c>
      <c r="F24" s="161">
        <f t="shared" si="7"/>
        <v>4.7497777649240819E-2</v>
      </c>
      <c r="G24" s="161">
        <f t="shared" si="7"/>
        <v>5.0217898944094029E-2</v>
      </c>
      <c r="H24" s="161">
        <f t="shared" si="7"/>
        <v>4.7160035672361239E-2</v>
      </c>
      <c r="I24" s="161">
        <f>I10/I$22</f>
        <v>3.6002934058082408E-3</v>
      </c>
      <c r="J24" s="161">
        <f>J10/J$22</f>
        <v>1.0233859825577531E-2</v>
      </c>
      <c r="K24" s="161">
        <f>K10/K$22</f>
        <v>1.3025784601405476E-2</v>
      </c>
      <c r="L24" s="161">
        <f>L10/L$22</f>
        <v>2.6079608979965682E-2</v>
      </c>
      <c r="M24" s="161">
        <f t="shared" ref="M24:O24" si="8">M10/M$22</f>
        <v>3.2501318800930733E-2</v>
      </c>
      <c r="N24" s="161">
        <f t="shared" si="8"/>
        <v>3.9560178382358646E-2</v>
      </c>
      <c r="O24" s="161">
        <f t="shared" si="8"/>
        <v>4.6520848017846735E-2</v>
      </c>
      <c r="P24" s="161"/>
      <c r="Q24" s="162">
        <f>Q10/Q$22</f>
        <v>3.0583103813993946E-2</v>
      </c>
      <c r="R24" s="140"/>
      <c r="S24" s="140"/>
      <c r="T24" s="140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</row>
    <row r="25" spans="1:53">
      <c r="A25" s="126">
        <f>+A24+1</f>
        <v>14</v>
      </c>
      <c r="B25" s="160" t="s">
        <v>28</v>
      </c>
      <c r="C25" s="163">
        <f t="shared" ref="C25:H25" si="9">C16/C$22</f>
        <v>0.47754756467663223</v>
      </c>
      <c r="D25" s="163">
        <f t="shared" si="9"/>
        <v>0.47842304877577041</v>
      </c>
      <c r="E25" s="163">
        <f t="shared" si="9"/>
        <v>0.48162589730771105</v>
      </c>
      <c r="F25" s="163">
        <f t="shared" si="9"/>
        <v>0.4554478611837689</v>
      </c>
      <c r="G25" s="163">
        <f t="shared" si="9"/>
        <v>0.44926980938890221</v>
      </c>
      <c r="H25" s="163">
        <f t="shared" si="9"/>
        <v>0.45074842879328358</v>
      </c>
      <c r="I25" s="163">
        <f>I16/I$22</f>
        <v>0.50052183154093222</v>
      </c>
      <c r="J25" s="163">
        <f>J16/J$22</f>
        <v>0.49786739447783218</v>
      </c>
      <c r="K25" s="163">
        <f>K16/K$22</f>
        <v>0.49701582684472473</v>
      </c>
      <c r="L25" s="163">
        <f>L16/L$22</f>
        <v>0.4927369922764358</v>
      </c>
      <c r="M25" s="163">
        <f t="shared" ref="M25:O25" si="10">M16/M$22</f>
        <v>0.48841955668034759</v>
      </c>
      <c r="N25" s="163">
        <f t="shared" si="10"/>
        <v>0.48224806826958355</v>
      </c>
      <c r="O25" s="163">
        <f t="shared" si="10"/>
        <v>0.47740890590369361</v>
      </c>
      <c r="P25" s="163"/>
      <c r="Q25" s="164">
        <f>Q16/Q$22</f>
        <v>0.47937011196893203</v>
      </c>
      <c r="R25" s="140"/>
      <c r="S25" s="140"/>
      <c r="T25" s="140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</row>
    <row r="26" spans="1:53">
      <c r="A26" s="126">
        <f>+A25+1</f>
        <v>15</v>
      </c>
      <c r="B26" s="160" t="s">
        <v>97</v>
      </c>
      <c r="C26" s="161">
        <f t="shared" ref="C26:H26" si="11">SUM(C24:C25)</f>
        <v>0.5195313634887524</v>
      </c>
      <c r="D26" s="161">
        <f t="shared" si="11"/>
        <v>0.51103991128180715</v>
      </c>
      <c r="E26" s="161">
        <f t="shared" si="11"/>
        <v>0.50129423557978636</v>
      </c>
      <c r="F26" s="161">
        <f t="shared" si="11"/>
        <v>0.50294563883300969</v>
      </c>
      <c r="G26" s="161">
        <f t="shared" si="11"/>
        <v>0.49948770833299622</v>
      </c>
      <c r="H26" s="161">
        <f t="shared" si="11"/>
        <v>0.49790846446564485</v>
      </c>
      <c r="I26" s="161">
        <f>SUM(I24:I25)</f>
        <v>0.50412212494674047</v>
      </c>
      <c r="J26" s="161">
        <f>SUM(J24:J25)</f>
        <v>0.50810125430340969</v>
      </c>
      <c r="K26" s="161">
        <f>SUM(K24:K25)</f>
        <v>0.51004161144613025</v>
      </c>
      <c r="L26" s="161">
        <f>SUM(L24:L25)</f>
        <v>0.5188166012564015</v>
      </c>
      <c r="M26" s="161">
        <f t="shared" ref="M26:O26" si="12">SUM(M24:M25)</f>
        <v>0.5209208754812783</v>
      </c>
      <c r="N26" s="161">
        <f t="shared" si="12"/>
        <v>0.52180824665194225</v>
      </c>
      <c r="O26" s="161">
        <f t="shared" si="12"/>
        <v>0.5239297539215404</v>
      </c>
      <c r="P26" s="161"/>
      <c r="Q26" s="162">
        <f>SUM(Q24:Q25)</f>
        <v>0.50995321578292596</v>
      </c>
      <c r="R26" s="140"/>
      <c r="S26" s="140"/>
      <c r="T26" s="140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</row>
    <row r="27" spans="1:53">
      <c r="A27" s="126">
        <f>+A26+1</f>
        <v>16</v>
      </c>
      <c r="B27" s="160" t="s">
        <v>98</v>
      </c>
      <c r="C27" s="161">
        <f>C18/C$22</f>
        <v>0</v>
      </c>
      <c r="D27" s="161">
        <f>D18/D$22</f>
        <v>0</v>
      </c>
      <c r="E27" s="161">
        <f>E18/E$22</f>
        <v>0</v>
      </c>
      <c r="F27" s="161">
        <f>F18/F$22</f>
        <v>0</v>
      </c>
      <c r="G27" s="161">
        <f t="shared" ref="G27:O27" si="13">G18/G$22</f>
        <v>0</v>
      </c>
      <c r="H27" s="161">
        <f t="shared" si="13"/>
        <v>0</v>
      </c>
      <c r="I27" s="161">
        <f t="shared" si="13"/>
        <v>0</v>
      </c>
      <c r="J27" s="161">
        <f t="shared" si="13"/>
        <v>0</v>
      </c>
      <c r="K27" s="161">
        <f t="shared" si="13"/>
        <v>0</v>
      </c>
      <c r="L27" s="161">
        <f t="shared" si="13"/>
        <v>0</v>
      </c>
      <c r="M27" s="161">
        <f t="shared" si="13"/>
        <v>0</v>
      </c>
      <c r="N27" s="161">
        <f t="shared" si="13"/>
        <v>0</v>
      </c>
      <c r="O27" s="161">
        <f t="shared" si="13"/>
        <v>0</v>
      </c>
      <c r="P27" s="161"/>
      <c r="Q27" s="162">
        <f>Q18/Q$22</f>
        <v>0</v>
      </c>
      <c r="R27" s="140"/>
      <c r="S27" s="140"/>
      <c r="T27" s="140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</row>
    <row r="28" spans="1:53">
      <c r="A28" s="126">
        <f>+A27+1</f>
        <v>17</v>
      </c>
      <c r="B28" s="160" t="s">
        <v>99</v>
      </c>
      <c r="C28" s="165">
        <f>C20/C$22</f>
        <v>0.4804686365112476</v>
      </c>
      <c r="D28" s="165">
        <f>D20/D$22</f>
        <v>0.4889600887181928</v>
      </c>
      <c r="E28" s="165">
        <f>E20/E$22</f>
        <v>0.49870576442021364</v>
      </c>
      <c r="F28" s="165">
        <f>F20/F$22</f>
        <v>0.49705448930075646</v>
      </c>
      <c r="G28" s="165">
        <f t="shared" ref="G28:O28" si="14">G20/G$22</f>
        <v>0.50051242010152786</v>
      </c>
      <c r="H28" s="165">
        <f t="shared" si="14"/>
        <v>0.50209153553435515</v>
      </c>
      <c r="I28" s="165">
        <f t="shared" si="14"/>
        <v>0.49587787505325953</v>
      </c>
      <c r="J28" s="165">
        <f t="shared" si="14"/>
        <v>0.49189861777334248</v>
      </c>
      <c r="K28" s="165">
        <f t="shared" si="14"/>
        <v>0.48995838855386975</v>
      </c>
      <c r="L28" s="165">
        <f t="shared" si="14"/>
        <v>0.4811833987435985</v>
      </c>
      <c r="M28" s="165">
        <f t="shared" si="14"/>
        <v>0.4790791245187217</v>
      </c>
      <c r="N28" s="165">
        <f t="shared" si="14"/>
        <v>0.4781917533480578</v>
      </c>
      <c r="O28" s="165">
        <f t="shared" si="14"/>
        <v>0.47607024607845966</v>
      </c>
      <c r="P28" s="165"/>
      <c r="Q28" s="164">
        <f>Q20/Q$22</f>
        <v>0.49004678421707398</v>
      </c>
      <c r="R28" s="140"/>
      <c r="S28" s="140"/>
      <c r="T28" s="140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</row>
    <row r="29" spans="1:53">
      <c r="A29" s="166"/>
      <c r="B29" s="160"/>
      <c r="C29" s="167"/>
      <c r="D29" s="168"/>
      <c r="E29" s="168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9"/>
      <c r="R29" s="140"/>
      <c r="S29" s="140"/>
      <c r="T29" s="140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</row>
    <row r="30" spans="1:53" ht="13.5" thickBot="1">
      <c r="A30" s="126">
        <f>+A28+1</f>
        <v>18</v>
      </c>
      <c r="B30" s="160" t="s">
        <v>100</v>
      </c>
      <c r="C30" s="170">
        <f>SUM(C26:C28)</f>
        <v>1</v>
      </c>
      <c r="D30" s="170">
        <f>SUM(D26:D28)</f>
        <v>1</v>
      </c>
      <c r="E30" s="170">
        <f>SUM(E26:E28)</f>
        <v>1</v>
      </c>
      <c r="F30" s="170">
        <f>SUM(F26:F28)</f>
        <v>1.0000001281337663</v>
      </c>
      <c r="G30" s="170">
        <f t="shared" ref="G30:O30" si="15">SUM(G26:G28)</f>
        <v>1.0000001284345241</v>
      </c>
      <c r="H30" s="170">
        <f t="shared" si="15"/>
        <v>1</v>
      </c>
      <c r="I30" s="170">
        <f t="shared" si="15"/>
        <v>1</v>
      </c>
      <c r="J30" s="170">
        <f t="shared" si="15"/>
        <v>0.99999987207675223</v>
      </c>
      <c r="K30" s="170">
        <f t="shared" si="15"/>
        <v>1</v>
      </c>
      <c r="L30" s="170">
        <f t="shared" si="15"/>
        <v>1</v>
      </c>
      <c r="M30" s="170">
        <f t="shared" si="15"/>
        <v>1</v>
      </c>
      <c r="N30" s="170">
        <f t="shared" si="15"/>
        <v>1</v>
      </c>
      <c r="O30" s="170">
        <f t="shared" si="15"/>
        <v>1</v>
      </c>
      <c r="P30" s="170"/>
      <c r="Q30" s="171">
        <f>SUM(Q26:Q28)</f>
        <v>1</v>
      </c>
      <c r="R30" s="140"/>
      <c r="S30" s="140"/>
      <c r="T30" s="140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</row>
    <row r="31" spans="1:53" ht="13.5" thickTop="1">
      <c r="A31" s="126"/>
      <c r="B31" s="137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0"/>
      <c r="S31" s="140"/>
      <c r="T31" s="140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</row>
    <row r="32" spans="1:53">
      <c r="A32" s="126"/>
      <c r="B32" s="137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49"/>
      <c r="R32" s="140"/>
      <c r="S32" s="140"/>
      <c r="T32" s="140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</row>
    <row r="33" spans="1:54" ht="13.5" thickBot="1">
      <c r="A33" s="126"/>
      <c r="B33" s="137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49"/>
      <c r="R33" s="140"/>
      <c r="S33" s="140"/>
      <c r="T33" s="140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</row>
    <row r="34" spans="1:54" ht="13.5" thickBot="1">
      <c r="A34" s="126">
        <f>+A30+1</f>
        <v>19</v>
      </c>
      <c r="B34" s="137" t="s">
        <v>78</v>
      </c>
      <c r="C34" s="174">
        <v>3601123505</v>
      </c>
      <c r="D34" s="174">
        <v>3655356385</v>
      </c>
      <c r="E34" s="174">
        <v>3706182091</v>
      </c>
      <c r="F34" s="174">
        <v>3708508200</v>
      </c>
      <c r="G34" s="174">
        <v>3726219151</v>
      </c>
      <c r="H34" s="174">
        <v>3733692606</v>
      </c>
      <c r="I34" s="174">
        <v>3694402390</v>
      </c>
      <c r="J34" s="174">
        <v>3687207694</v>
      </c>
      <c r="K34" s="174">
        <v>3681006366</v>
      </c>
      <c r="L34" s="174">
        <v>3649419000</v>
      </c>
      <c r="M34" s="174">
        <v>3734417868</v>
      </c>
      <c r="N34" s="174">
        <v>3801664639</v>
      </c>
      <c r="O34" s="174">
        <v>3747890375</v>
      </c>
      <c r="P34" s="174"/>
      <c r="Q34" s="188">
        <f>ROUND(((C34+O34)+(SUM(D34:N34)*2))/24,0)</f>
        <v>3704381944</v>
      </c>
      <c r="R34" s="47"/>
      <c r="S34" s="74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</row>
    <row r="35" spans="1:54" ht="13.5" thickBot="1">
      <c r="A35" s="126">
        <f>+A34+1</f>
        <v>20</v>
      </c>
      <c r="B35" s="142" t="s">
        <v>29</v>
      </c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6"/>
      <c r="R35" s="47"/>
      <c r="S35" s="74"/>
      <c r="T35" s="47"/>
      <c r="U35" s="51"/>
      <c r="V35" s="142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2"/>
    </row>
    <row r="36" spans="1:54" ht="13.5" thickBot="1">
      <c r="A36" s="126">
        <f>+A35+1</f>
        <v>21</v>
      </c>
      <c r="B36" s="142" t="s">
        <v>30</v>
      </c>
      <c r="C36" s="177">
        <v>-19215436</v>
      </c>
      <c r="D36" s="177">
        <v>-19215436</v>
      </c>
      <c r="E36" s="177">
        <v>-19215436</v>
      </c>
      <c r="F36" s="177">
        <v>-19347542</v>
      </c>
      <c r="G36" s="177">
        <v>-19347542</v>
      </c>
      <c r="H36" s="177">
        <v>-19347542</v>
      </c>
      <c r="I36" s="177">
        <v>-19201404</v>
      </c>
      <c r="J36" s="177">
        <v>-19201404</v>
      </c>
      <c r="K36" s="177">
        <v>-19201404</v>
      </c>
      <c r="L36" s="177">
        <v>-19336429</v>
      </c>
      <c r="M36" s="177">
        <v>-19336429</v>
      </c>
      <c r="N36" s="177">
        <v>-19336429</v>
      </c>
      <c r="O36" s="177">
        <v>-19756868</v>
      </c>
      <c r="P36" s="177"/>
      <c r="Q36" s="188">
        <f>ROUND(((C36+O36)+(SUM(D36:N36)*2))/24,0)</f>
        <v>-19297762</v>
      </c>
      <c r="R36" s="149"/>
      <c r="S36" s="74"/>
      <c r="T36" s="74"/>
      <c r="U36" s="51"/>
      <c r="V36" s="155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2"/>
    </row>
    <row r="37" spans="1:54" ht="13.5" thickBot="1">
      <c r="A37" s="126">
        <f>+A36+1</f>
        <v>22</v>
      </c>
      <c r="B37" s="142" t="s">
        <v>2</v>
      </c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2"/>
      <c r="R37" s="149"/>
      <c r="S37" s="74"/>
      <c r="T37" s="50"/>
      <c r="U37" s="50"/>
      <c r="V37" s="155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1"/>
      <c r="AT37" s="51"/>
      <c r="AU37" s="51"/>
      <c r="AV37" s="51"/>
      <c r="AW37" s="51"/>
      <c r="AX37" s="51"/>
      <c r="AY37" s="51"/>
      <c r="AZ37" s="51"/>
      <c r="BA37" s="51"/>
      <c r="BB37" s="52"/>
    </row>
    <row r="38" spans="1:54" ht="13.5" thickBot="1">
      <c r="A38" s="126">
        <f t="shared" ref="A38:A44" si="16">+A37+1</f>
        <v>23</v>
      </c>
      <c r="B38" s="178" t="s">
        <v>31</v>
      </c>
      <c r="C38" s="179">
        <f t="shared" ref="C38:H38" si="17">SUM(C36:C37)</f>
        <v>-19215436</v>
      </c>
      <c r="D38" s="179">
        <f t="shared" si="17"/>
        <v>-19215436</v>
      </c>
      <c r="E38" s="179">
        <f t="shared" si="17"/>
        <v>-19215436</v>
      </c>
      <c r="F38" s="179">
        <f t="shared" si="17"/>
        <v>-19347542</v>
      </c>
      <c r="G38" s="179">
        <f t="shared" si="17"/>
        <v>-19347542</v>
      </c>
      <c r="H38" s="179">
        <f t="shared" si="17"/>
        <v>-19347542</v>
      </c>
      <c r="I38" s="179">
        <f>SUM(I36:I37)</f>
        <v>-19201404</v>
      </c>
      <c r="J38" s="179">
        <f>SUM(J36:J37)</f>
        <v>-19201404</v>
      </c>
      <c r="K38" s="179">
        <f>SUM(K36:K37)</f>
        <v>-19201404</v>
      </c>
      <c r="L38" s="179">
        <f>SUM(L36:L37)</f>
        <v>-19336429</v>
      </c>
      <c r="M38" s="179">
        <f>SUM(M36:M37)</f>
        <v>-19336429</v>
      </c>
      <c r="N38" s="179">
        <f t="shared" ref="N38:O38" si="18">SUM(N36:N37)</f>
        <v>-19336429</v>
      </c>
      <c r="O38" s="179">
        <f t="shared" si="18"/>
        <v>-19756868</v>
      </c>
      <c r="P38" s="139"/>
      <c r="Q38" s="188">
        <f>ROUND(((C38+O38)+(SUM(D38:N38)*2))/24,0)</f>
        <v>-19297762</v>
      </c>
      <c r="R38" s="149"/>
      <c r="S38" s="74"/>
      <c r="T38" s="47"/>
      <c r="U38" s="51"/>
      <c r="V38" s="47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2"/>
    </row>
    <row r="39" spans="1:54" ht="13.5" thickBot="1">
      <c r="A39" s="126">
        <f t="shared" si="16"/>
        <v>24</v>
      </c>
      <c r="B39" s="180" t="s">
        <v>153</v>
      </c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40"/>
      <c r="R39" s="149"/>
      <c r="S39" s="74"/>
      <c r="T39" s="47"/>
      <c r="U39" s="51"/>
      <c r="V39" s="47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2"/>
    </row>
    <row r="40" spans="1:54" ht="13.5" thickBot="1">
      <c r="A40" s="126">
        <f t="shared" si="16"/>
        <v>25</v>
      </c>
      <c r="B40" s="181" t="s">
        <v>154</v>
      </c>
      <c r="C40" s="174">
        <f>-17330000-5849000</f>
        <v>-23179000</v>
      </c>
      <c r="D40" s="174">
        <f>-24121000-5849000</f>
        <v>-29970000</v>
      </c>
      <c r="E40" s="174">
        <f>-25029000-5849000</f>
        <v>-30878000</v>
      </c>
      <c r="F40" s="174">
        <f>-21535000+21485000</f>
        <v>-50000</v>
      </c>
      <c r="G40" s="174">
        <f>-22650000+21485000</f>
        <v>-1165000</v>
      </c>
      <c r="H40" s="174">
        <f>-15775000+21485000</f>
        <v>5710000</v>
      </c>
      <c r="I40" s="174">
        <f>-16075000+21485000</f>
        <v>5410000</v>
      </c>
      <c r="J40" s="174">
        <f>-13006000+21485000</f>
        <v>8479000</v>
      </c>
      <c r="K40" s="174">
        <f>-11416000+21485000</f>
        <v>10069000</v>
      </c>
      <c r="L40" s="174">
        <f>-4979000+21485000</f>
        <v>16506000</v>
      </c>
      <c r="M40" s="174">
        <f>62238000+21485000</f>
        <v>83723000</v>
      </c>
      <c r="N40" s="174">
        <f>86771000+21485000</f>
        <v>108256000</v>
      </c>
      <c r="O40" s="174">
        <f>10591000+21485000</f>
        <v>32076000</v>
      </c>
      <c r="P40" s="139"/>
      <c r="Q40" s="188">
        <f>ROUND(((C40+O40)+(SUM(D40:N40)*2))/24,0)</f>
        <v>15044875</v>
      </c>
      <c r="R40" s="149"/>
      <c r="S40" s="74"/>
      <c r="T40" s="47"/>
      <c r="U40" s="51"/>
      <c r="V40" s="47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2"/>
    </row>
    <row r="41" spans="1:54" ht="13.5" thickBot="1">
      <c r="A41" s="126">
        <f t="shared" si="16"/>
        <v>26</v>
      </c>
      <c r="B41" s="181" t="s">
        <v>106</v>
      </c>
      <c r="C41" s="177">
        <v>-5038694</v>
      </c>
      <c r="D41" s="177">
        <v>-5006591</v>
      </c>
      <c r="E41" s="177">
        <v>-4974487</v>
      </c>
      <c r="F41" s="177">
        <v>-6027641</v>
      </c>
      <c r="G41" s="177">
        <f>-5995538</f>
        <v>-5995538</v>
      </c>
      <c r="H41" s="177">
        <v>-5963435</v>
      </c>
      <c r="I41" s="177">
        <v>-5931332</v>
      </c>
      <c r="J41" s="177">
        <v>-5899229</v>
      </c>
      <c r="K41" s="177">
        <f>-5867125-193000</f>
        <v>-6060125</v>
      </c>
      <c r="L41" s="177">
        <f>-5835022-229000</f>
        <v>-6064022</v>
      </c>
      <c r="M41" s="177">
        <f>-5802919-382000</f>
        <v>-6184919</v>
      </c>
      <c r="N41" s="177">
        <f>-5770816-512000</f>
        <v>-6282816</v>
      </c>
      <c r="O41" s="177">
        <f>-5738712-660000</f>
        <v>-6398712</v>
      </c>
      <c r="P41" s="177"/>
      <c r="Q41" s="188">
        <f>ROUND(((C41+O41)+(SUM(D41:N41)*2))/24,0)</f>
        <v>-5842403</v>
      </c>
      <c r="R41" s="149"/>
      <c r="S41" s="74"/>
      <c r="T41" s="47"/>
      <c r="U41" s="51"/>
      <c r="V41" s="182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2"/>
    </row>
    <row r="42" spans="1:54" ht="13.5" thickBot="1">
      <c r="A42" s="126">
        <f t="shared" si="16"/>
        <v>27</v>
      </c>
      <c r="B42" s="181" t="s">
        <v>107</v>
      </c>
      <c r="C42" s="177">
        <v>-121865358</v>
      </c>
      <c r="D42" s="177">
        <v>-120657594</v>
      </c>
      <c r="E42" s="177">
        <f>-118004330-1445499</f>
        <v>-119449829</v>
      </c>
      <c r="F42" s="177">
        <v>-145250880</v>
      </c>
      <c r="G42" s="177">
        <f>-143459337-837409</f>
        <v>-144296746</v>
      </c>
      <c r="H42" s="177">
        <f>-142512676-829937</f>
        <v>-143342613</v>
      </c>
      <c r="I42" s="177">
        <f>-141566015-822464</f>
        <v>-142388479</v>
      </c>
      <c r="J42" s="177">
        <f>-140619354-814992</f>
        <v>-141434346</v>
      </c>
      <c r="K42" s="177">
        <f>-139672693-807519</f>
        <v>-140480212</v>
      </c>
      <c r="L42" s="177">
        <f>-141717574-784402</f>
        <v>-142501976</v>
      </c>
      <c r="M42" s="177">
        <f>-140743862-777104</f>
        <v>-141520966</v>
      </c>
      <c r="N42" s="177">
        <f>-139770150-769807</f>
        <v>-140539957</v>
      </c>
      <c r="O42" s="177">
        <f>-138796438-762509</f>
        <v>-139558947</v>
      </c>
      <c r="P42" s="177"/>
      <c r="Q42" s="188">
        <f>ROUND(((C42+O42)+(SUM(D42:N42)*2))/24,0)</f>
        <v>-137714646</v>
      </c>
      <c r="R42" s="149"/>
      <c r="S42" s="74"/>
      <c r="T42" s="47"/>
      <c r="U42" s="51"/>
      <c r="V42" s="182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2"/>
    </row>
    <row r="43" spans="1:54" ht="13.5" thickBot="1">
      <c r="A43" s="126">
        <f t="shared" si="16"/>
        <v>28</v>
      </c>
      <c r="B43" s="183" t="s">
        <v>108</v>
      </c>
      <c r="C43" s="184">
        <f t="shared" ref="C43:H43" si="19">SUM(C40:C42)</f>
        <v>-150083052</v>
      </c>
      <c r="D43" s="184">
        <f t="shared" si="19"/>
        <v>-155634185</v>
      </c>
      <c r="E43" s="184">
        <f t="shared" si="19"/>
        <v>-155302316</v>
      </c>
      <c r="F43" s="184">
        <f t="shared" si="19"/>
        <v>-151328521</v>
      </c>
      <c r="G43" s="184">
        <f t="shared" si="19"/>
        <v>-151457284</v>
      </c>
      <c r="H43" s="184">
        <f t="shared" si="19"/>
        <v>-143596048</v>
      </c>
      <c r="I43" s="184">
        <f>SUM(I40:I42)</f>
        <v>-142909811</v>
      </c>
      <c r="J43" s="184">
        <f>SUM(J40:J42)</f>
        <v>-138854575</v>
      </c>
      <c r="K43" s="184">
        <f>SUM(K40:K42)</f>
        <v>-136471337</v>
      </c>
      <c r="L43" s="184">
        <f>SUM(L40:L42)</f>
        <v>-132059998</v>
      </c>
      <c r="M43" s="184">
        <f t="shared" ref="M43:O43" si="20">SUM(M40:M42)</f>
        <v>-63982885</v>
      </c>
      <c r="N43" s="184">
        <f t="shared" si="20"/>
        <v>-38566773</v>
      </c>
      <c r="O43" s="184">
        <f t="shared" si="20"/>
        <v>-113881659</v>
      </c>
      <c r="P43" s="154"/>
      <c r="Q43" s="188">
        <f>ROUND(((C43+O43)+(SUM(D43:N43)*2))/24,0)</f>
        <v>-128512174</v>
      </c>
      <c r="R43" s="149"/>
      <c r="S43" s="47"/>
      <c r="T43" s="47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2"/>
    </row>
    <row r="44" spans="1:54" ht="13.5" thickBot="1">
      <c r="A44" s="126">
        <f t="shared" si="16"/>
        <v>29</v>
      </c>
      <c r="B44" s="137" t="s">
        <v>91</v>
      </c>
      <c r="C44" s="157">
        <f t="shared" ref="C44:M44" si="21">+C34-C38-C43</f>
        <v>3770421993</v>
      </c>
      <c r="D44" s="157">
        <f t="shared" si="21"/>
        <v>3830206006</v>
      </c>
      <c r="E44" s="157">
        <f t="shared" si="21"/>
        <v>3880699843</v>
      </c>
      <c r="F44" s="157">
        <f t="shared" si="21"/>
        <v>3879184263</v>
      </c>
      <c r="G44" s="157">
        <f t="shared" si="21"/>
        <v>3897023977</v>
      </c>
      <c r="H44" s="157">
        <f t="shared" si="21"/>
        <v>3896636196</v>
      </c>
      <c r="I44" s="157">
        <f t="shared" si="21"/>
        <v>3856513605</v>
      </c>
      <c r="J44" s="157">
        <f t="shared" si="21"/>
        <v>3845263673</v>
      </c>
      <c r="K44" s="157">
        <f t="shared" si="21"/>
        <v>3836679107</v>
      </c>
      <c r="L44" s="157">
        <f t="shared" si="21"/>
        <v>3800815427</v>
      </c>
      <c r="M44" s="157">
        <f t="shared" si="21"/>
        <v>3817737182</v>
      </c>
      <c r="N44" s="157">
        <f t="shared" ref="N44" si="22">+N34-N38-N43</f>
        <v>3859567841</v>
      </c>
      <c r="O44" s="157">
        <f>+O34-O38-O43</f>
        <v>3881528902</v>
      </c>
      <c r="P44" s="149"/>
      <c r="Q44" s="188">
        <f>ROUND(((C44+O44)+(SUM(D44:N44)*2))/24,0)</f>
        <v>3852191881</v>
      </c>
      <c r="R44" s="149"/>
      <c r="S44" s="47"/>
      <c r="T44" s="47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2"/>
    </row>
    <row r="45" spans="1:54" ht="13.5" thickTop="1"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48"/>
      <c r="R45" s="149"/>
      <c r="S45" s="47"/>
      <c r="T45" s="47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2"/>
    </row>
    <row r="46" spans="1:54"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47"/>
      <c r="R46" s="149"/>
      <c r="S46" s="47"/>
      <c r="T46" s="47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2"/>
    </row>
    <row r="47" spans="1:54"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47"/>
      <c r="R47" s="149"/>
      <c r="S47" s="47"/>
      <c r="T47" s="47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2"/>
    </row>
    <row r="48" spans="1:54"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47"/>
      <c r="R48" s="149"/>
      <c r="S48" s="47"/>
      <c r="T48" s="47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2"/>
    </row>
    <row r="49" spans="3:54">
      <c r="C49" s="185"/>
      <c r="D49" s="185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47"/>
      <c r="R49" s="149"/>
      <c r="S49" s="47"/>
      <c r="T49" s="47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2"/>
    </row>
    <row r="50" spans="3:54">
      <c r="C50" s="185"/>
      <c r="D50" s="185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86"/>
      <c r="R50" s="149"/>
      <c r="S50" s="47"/>
      <c r="T50" s="47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2"/>
    </row>
    <row r="51" spans="3:54">
      <c r="C51" s="185"/>
      <c r="D51" s="185"/>
      <c r="E51" s="187"/>
      <c r="F51" s="187"/>
      <c r="G51" s="187"/>
      <c r="H51" s="177"/>
      <c r="I51" s="177"/>
      <c r="J51" s="177"/>
      <c r="K51" s="177"/>
      <c r="L51" s="177"/>
      <c r="M51" s="177"/>
      <c r="N51" s="177"/>
      <c r="O51" s="177"/>
      <c r="P51" s="177"/>
      <c r="Q51" s="49"/>
      <c r="R51" s="149"/>
      <c r="S51" s="47"/>
      <c r="T51" s="47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2"/>
    </row>
    <row r="52" spans="3:54">
      <c r="C52" s="185"/>
      <c r="D52" s="185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47"/>
      <c r="R52" s="149"/>
      <c r="S52" s="47"/>
      <c r="T52" s="47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2"/>
    </row>
    <row r="53" spans="3:54"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76"/>
      <c r="R53" s="149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</row>
    <row r="54" spans="3:54"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76"/>
      <c r="R54" s="149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</row>
    <row r="55" spans="3:54"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47"/>
      <c r="R55" s="149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</row>
    <row r="56" spans="3:54"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80"/>
      <c r="N56" s="48"/>
      <c r="O56" s="48"/>
      <c r="P56" s="48"/>
      <c r="Q56" s="47"/>
      <c r="R56" s="149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</row>
    <row r="57" spans="3:54"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7"/>
      <c r="R57" s="149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</row>
    <row r="58" spans="3:54"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7"/>
      <c r="R58" s="149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</row>
    <row r="59" spans="3:54"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7"/>
      <c r="R59" s="149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</row>
    <row r="60" spans="3:54"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7"/>
      <c r="R60" s="149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</row>
    <row r="61" spans="3:54"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7"/>
      <c r="R61" s="149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</row>
    <row r="62" spans="3:54"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7"/>
      <c r="R62" s="149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</row>
    <row r="63" spans="3:54"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7"/>
      <c r="R63" s="149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</row>
    <row r="64" spans="3:54"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</row>
    <row r="65" spans="3:53"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</row>
    <row r="66" spans="3:53"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</row>
    <row r="67" spans="3:53"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</row>
    <row r="68" spans="3:53"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</row>
    <row r="69" spans="3:53"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</row>
    <row r="70" spans="3:53"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</row>
    <row r="71" spans="3:53"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</row>
    <row r="72" spans="3:53"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</row>
    <row r="73" spans="3:53"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</row>
    <row r="74" spans="3:53"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</row>
    <row r="75" spans="3:53"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</row>
    <row r="76" spans="3:53"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</row>
    <row r="77" spans="3:53"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</row>
    <row r="78" spans="3:53"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</row>
    <row r="79" spans="3:53"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</row>
    <row r="80" spans="3:53"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</row>
    <row r="81" spans="3:53"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</row>
    <row r="82" spans="3:53"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</row>
    <row r="83" spans="3:53"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</row>
    <row r="84" spans="3:53"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</row>
    <row r="85" spans="3:53"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</row>
    <row r="86" spans="3:53"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</row>
    <row r="87" spans="3:53"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</row>
    <row r="88" spans="3:53"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</row>
    <row r="89" spans="3:53"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</row>
    <row r="90" spans="3:53"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</row>
    <row r="91" spans="3:53"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</row>
    <row r="92" spans="3:53"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</row>
    <row r="93" spans="3:53"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</row>
    <row r="94" spans="3:53"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</row>
    <row r="95" spans="3:53"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</row>
    <row r="96" spans="3:53"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</row>
    <row r="97" spans="3:53"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</row>
    <row r="98" spans="3:53"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</row>
    <row r="99" spans="3:53"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</row>
    <row r="100" spans="3:53"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</row>
    <row r="101" spans="3:53"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</row>
    <row r="102" spans="3:53"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</row>
    <row r="103" spans="3:53"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</row>
    <row r="104" spans="3:53"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</row>
    <row r="105" spans="3:53"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</row>
    <row r="106" spans="3:53"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</row>
    <row r="107" spans="3:53"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</row>
    <row r="108" spans="3:53"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</row>
    <row r="109" spans="3:53"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</row>
    <row r="110" spans="3:53"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</row>
    <row r="111" spans="3:53"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</row>
    <row r="112" spans="3:53"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</row>
    <row r="113" spans="3:53"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</row>
    <row r="114" spans="3:53"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</row>
    <row r="115" spans="3:53"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</row>
    <row r="116" spans="3:53"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</row>
    <row r="117" spans="3:53"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</row>
    <row r="118" spans="3:53"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</row>
    <row r="119" spans="3:53"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</row>
    <row r="120" spans="3:53"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</row>
    <row r="121" spans="3:53"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</row>
    <row r="122" spans="3:53"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</row>
    <row r="123" spans="3:53"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</row>
    <row r="124" spans="3:53"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</row>
    <row r="125" spans="3:53"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</row>
    <row r="126" spans="3:53"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</row>
    <row r="127" spans="3:53"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</row>
    <row r="128" spans="3:53"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</row>
    <row r="129" spans="3:53"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</row>
    <row r="130" spans="3:53"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</row>
    <row r="131" spans="3:53"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</row>
    <row r="132" spans="3:53"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</row>
    <row r="133" spans="3:53"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</row>
    <row r="134" spans="3:53"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</row>
    <row r="135" spans="3:53"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</row>
    <row r="136" spans="3:53"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</row>
    <row r="137" spans="3:53"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</row>
    <row r="138" spans="3:53"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</row>
    <row r="139" spans="3:53"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</row>
    <row r="140" spans="3:53"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</row>
    <row r="141" spans="3:53"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</row>
    <row r="142" spans="3:53"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</row>
    <row r="143" spans="3:53"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</row>
    <row r="144" spans="3:53"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</row>
    <row r="145" spans="3:53"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</row>
    <row r="146" spans="3:53"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</row>
    <row r="147" spans="3:53"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</row>
    <row r="148" spans="3:53"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</row>
    <row r="149" spans="3:53"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</row>
    <row r="150" spans="3:53"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</row>
    <row r="151" spans="3:53"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</row>
    <row r="152" spans="3:53"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</row>
    <row r="153" spans="3:53"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</row>
    <row r="154" spans="3:53"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</row>
    <row r="155" spans="3:53"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</row>
    <row r="156" spans="3:53"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</row>
    <row r="157" spans="3:53"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</row>
    <row r="158" spans="3:53"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</row>
    <row r="159" spans="3:53"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</row>
    <row r="160" spans="3:53"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</row>
    <row r="161" spans="3:53"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</row>
    <row r="162" spans="3:53"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</row>
    <row r="163" spans="3:53"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</row>
    <row r="164" spans="3:53"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</row>
    <row r="165" spans="3:53"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</row>
    <row r="166" spans="3:53"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</row>
    <row r="167" spans="3:53"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</row>
    <row r="168" spans="3:53"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</row>
    <row r="169" spans="3:53"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</row>
    <row r="170" spans="3:53"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</row>
    <row r="171" spans="3:53"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</row>
    <row r="172" spans="3:53"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</row>
    <row r="173" spans="3:53"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</row>
    <row r="174" spans="3:53"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</row>
    <row r="175" spans="3:53"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</row>
    <row r="176" spans="3:53"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</row>
    <row r="177" spans="3:53"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</row>
    <row r="178" spans="3:53"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</row>
    <row r="179" spans="3:53"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</row>
    <row r="180" spans="3:53"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</row>
    <row r="181" spans="3:53"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</row>
    <row r="182" spans="3:53"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</row>
    <row r="183" spans="3:53"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</row>
    <row r="184" spans="3:53"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</row>
    <row r="185" spans="3:53"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</row>
    <row r="186" spans="3:53"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</row>
    <row r="187" spans="3:53"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</row>
    <row r="188" spans="3:53"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</row>
    <row r="189" spans="3:53"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</row>
    <row r="190" spans="3:53"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</row>
    <row r="191" spans="3:53"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</row>
    <row r="192" spans="3:53"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</row>
    <row r="193" spans="3:53"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</row>
    <row r="194" spans="3:53"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</row>
    <row r="195" spans="3:53"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</row>
    <row r="196" spans="3:53"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</row>
    <row r="197" spans="3:53"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</row>
    <row r="198" spans="3:53"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</row>
    <row r="199" spans="3:53"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</row>
    <row r="200" spans="3:53"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</row>
    <row r="201" spans="3:53"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/>
    </row>
    <row r="202" spans="3:53"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/>
    </row>
    <row r="203" spans="3:53"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47"/>
      <c r="AS203" s="47"/>
      <c r="AT203" s="47"/>
      <c r="AU203" s="47"/>
      <c r="AV203" s="47"/>
      <c r="AW203" s="47"/>
      <c r="AX203" s="47"/>
      <c r="AY203" s="47"/>
      <c r="AZ203" s="47"/>
      <c r="BA203" s="47"/>
    </row>
    <row r="204" spans="3:53"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</row>
    <row r="205" spans="3:53"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/>
    </row>
    <row r="206" spans="3:53"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  <c r="AQ206" s="47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/>
    </row>
    <row r="207" spans="3:53"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</row>
    <row r="208" spans="3:53"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  <c r="AQ208" s="47"/>
      <c r="AR208" s="47"/>
      <c r="AS208" s="47"/>
      <c r="AT208" s="47"/>
      <c r="AU208" s="47"/>
      <c r="AV208" s="47"/>
      <c r="AW208" s="47"/>
      <c r="AX208" s="47"/>
      <c r="AY208" s="47"/>
      <c r="AZ208" s="47"/>
      <c r="BA208" s="47"/>
    </row>
    <row r="209" spans="3:53"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</row>
    <row r="210" spans="3:53"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</row>
    <row r="211" spans="3:53"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/>
    </row>
    <row r="212" spans="3:53"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</row>
    <row r="213" spans="3:53"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  <c r="AQ213" s="47"/>
      <c r="AR213" s="47"/>
      <c r="AS213" s="47"/>
      <c r="AT213" s="47"/>
      <c r="AU213" s="47"/>
      <c r="AV213" s="47"/>
      <c r="AW213" s="47"/>
      <c r="AX213" s="47"/>
      <c r="AY213" s="47"/>
      <c r="AZ213" s="47"/>
      <c r="BA213" s="47"/>
    </row>
    <row r="214" spans="3:53"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</row>
    <row r="215" spans="3:53"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/>
    </row>
    <row r="216" spans="3:53"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</row>
    <row r="217" spans="3:53"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/>
      <c r="BA217" s="47"/>
    </row>
    <row r="218" spans="3:53"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/>
    </row>
    <row r="219" spans="3:53"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  <c r="AQ219" s="47"/>
      <c r="AR219" s="47"/>
      <c r="AS219" s="47"/>
      <c r="AT219" s="47"/>
      <c r="AU219" s="47"/>
      <c r="AV219" s="47"/>
      <c r="AW219" s="47"/>
      <c r="AX219" s="47"/>
      <c r="AY219" s="47"/>
      <c r="AZ219" s="47"/>
      <c r="BA219" s="47"/>
    </row>
    <row r="220" spans="3:53"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  <c r="AQ220" s="47"/>
      <c r="AR220" s="47"/>
      <c r="AS220" s="47"/>
      <c r="AT220" s="47"/>
      <c r="AU220" s="47"/>
      <c r="AV220" s="47"/>
      <c r="AW220" s="47"/>
      <c r="AX220" s="47"/>
      <c r="AY220" s="47"/>
      <c r="AZ220" s="47"/>
      <c r="BA220" s="47"/>
    </row>
    <row r="221" spans="3:53"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 s="47"/>
      <c r="AL221" s="47"/>
      <c r="AM221" s="47"/>
      <c r="AN221" s="47"/>
      <c r="AO221" s="47"/>
      <c r="AP221" s="47"/>
      <c r="AQ221" s="47"/>
      <c r="AR221" s="47"/>
      <c r="AS221" s="47"/>
      <c r="AT221" s="47"/>
      <c r="AU221" s="47"/>
      <c r="AV221" s="47"/>
      <c r="AW221" s="47"/>
      <c r="AX221" s="47"/>
      <c r="AY221" s="47"/>
      <c r="AZ221" s="47"/>
      <c r="BA221" s="47"/>
    </row>
    <row r="222" spans="3:53"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/>
    </row>
    <row r="223" spans="3:53"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/>
    </row>
    <row r="224" spans="3:53"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</row>
    <row r="225" spans="3:53"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  <c r="AQ225" s="47"/>
      <c r="AR225" s="47"/>
      <c r="AS225" s="47"/>
      <c r="AT225" s="47"/>
      <c r="AU225" s="47"/>
      <c r="AV225" s="47"/>
      <c r="AW225" s="47"/>
      <c r="AX225" s="47"/>
      <c r="AY225" s="47"/>
      <c r="AZ225" s="47"/>
      <c r="BA225" s="47"/>
    </row>
    <row r="226" spans="3:53"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</row>
    <row r="227" spans="3:53"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</row>
    <row r="228" spans="3:53"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  <c r="AY228" s="47"/>
      <c r="AZ228" s="47"/>
      <c r="BA228" s="47"/>
    </row>
    <row r="229" spans="3:53"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  <c r="AO229" s="47"/>
      <c r="AP229" s="47"/>
      <c r="AQ229" s="47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/>
    </row>
    <row r="230" spans="3:53"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</row>
    <row r="231" spans="3:53"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</row>
    <row r="232" spans="3:53"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/>
    </row>
    <row r="233" spans="3:53"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/>
    </row>
    <row r="234" spans="3:53"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/>
      <c r="AZ234" s="47"/>
      <c r="BA234" s="47"/>
    </row>
    <row r="235" spans="3:53"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/>
    </row>
    <row r="236" spans="3:53"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/>
    </row>
    <row r="237" spans="3:53"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</row>
    <row r="238" spans="3:53"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</row>
    <row r="239" spans="3:53"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/>
    </row>
    <row r="240" spans="3:53"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  <c r="AQ240" s="47"/>
      <c r="AR240" s="47"/>
      <c r="AS240" s="47"/>
      <c r="AT240" s="47"/>
      <c r="AU240" s="47"/>
      <c r="AV240" s="47"/>
      <c r="AW240" s="47"/>
      <c r="AX240" s="47"/>
      <c r="AY240" s="47"/>
      <c r="AZ240" s="47"/>
      <c r="BA240" s="47"/>
    </row>
    <row r="241" spans="3:53"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</row>
    <row r="242" spans="3:53"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/>
    </row>
    <row r="243" spans="3:53"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/>
    </row>
    <row r="244" spans="3:53"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</row>
    <row r="245" spans="3:53"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/>
    </row>
    <row r="246" spans="3:53"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  <c r="AQ246" s="47"/>
      <c r="AR246" s="47"/>
      <c r="AS246" s="47"/>
      <c r="AT246" s="47"/>
      <c r="AU246" s="47"/>
      <c r="AV246" s="47"/>
      <c r="AW246" s="47"/>
      <c r="AX246" s="47"/>
      <c r="AY246" s="47"/>
      <c r="AZ246" s="47"/>
      <c r="BA246" s="47"/>
    </row>
    <row r="247" spans="3:53"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/>
    </row>
    <row r="248" spans="3:53"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  <c r="AQ248" s="47"/>
      <c r="AR248" s="47"/>
      <c r="AS248" s="47"/>
      <c r="AT248" s="47"/>
      <c r="AU248" s="47"/>
      <c r="AV248" s="47"/>
      <c r="AW248" s="47"/>
      <c r="AX248" s="47"/>
      <c r="AY248" s="47"/>
      <c r="AZ248" s="47"/>
      <c r="BA248" s="47"/>
    </row>
    <row r="249" spans="3:53"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  <c r="AO249" s="47"/>
      <c r="AP249" s="47"/>
      <c r="AQ249" s="47"/>
      <c r="AR249" s="47"/>
      <c r="AS249" s="47"/>
      <c r="AT249" s="47"/>
      <c r="AU249" s="47"/>
      <c r="AV249" s="47"/>
      <c r="AW249" s="47"/>
      <c r="AX249" s="47"/>
      <c r="AY249" s="47"/>
      <c r="AZ249" s="47"/>
      <c r="BA249" s="47"/>
    </row>
    <row r="250" spans="3:53"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/>
    </row>
    <row r="251" spans="3:53"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  <c r="AO251" s="47"/>
      <c r="AP251" s="47"/>
      <c r="AQ251" s="47"/>
      <c r="AR251" s="47"/>
      <c r="AS251" s="47"/>
      <c r="AT251" s="47"/>
      <c r="AU251" s="47"/>
      <c r="AV251" s="47"/>
      <c r="AW251" s="47"/>
      <c r="AX251" s="47"/>
      <c r="AY251" s="47"/>
      <c r="AZ251" s="47"/>
      <c r="BA251" s="47"/>
    </row>
    <row r="252" spans="3:53"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  <c r="AO252" s="47"/>
      <c r="AP252" s="47"/>
      <c r="AQ252" s="47"/>
      <c r="AR252" s="47"/>
      <c r="AS252" s="47"/>
      <c r="AT252" s="47"/>
      <c r="AU252" s="47"/>
      <c r="AV252" s="47"/>
      <c r="AW252" s="47"/>
      <c r="AX252" s="47"/>
      <c r="AY252" s="47"/>
      <c r="AZ252" s="47"/>
      <c r="BA252" s="47"/>
    </row>
    <row r="253" spans="3:53"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  <c r="AE253" s="47"/>
      <c r="AF253" s="47"/>
      <c r="AG253" s="47"/>
      <c r="AH253" s="47"/>
      <c r="AI253" s="47"/>
      <c r="AJ253" s="47"/>
      <c r="AK253" s="47"/>
      <c r="AL253" s="47"/>
      <c r="AM253" s="47"/>
      <c r="AN253" s="47"/>
      <c r="AO253" s="47"/>
      <c r="AP253" s="47"/>
      <c r="AQ253" s="47"/>
      <c r="AR253" s="47"/>
      <c r="AS253" s="47"/>
      <c r="AT253" s="47"/>
      <c r="AU253" s="47"/>
      <c r="AV253" s="47"/>
      <c r="AW253" s="47"/>
      <c r="AX253" s="47"/>
      <c r="AY253" s="47"/>
      <c r="AZ253" s="47"/>
      <c r="BA253" s="47"/>
    </row>
    <row r="254" spans="3:53"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  <c r="AE254" s="47"/>
      <c r="AF254" s="47"/>
      <c r="AG254" s="47"/>
      <c r="AH254" s="47"/>
      <c r="AI254" s="47"/>
      <c r="AJ254" s="47"/>
      <c r="AK254" s="47"/>
      <c r="AL254" s="47"/>
      <c r="AM254" s="47"/>
      <c r="AN254" s="47"/>
      <c r="AO254" s="47"/>
      <c r="AP254" s="47"/>
      <c r="AQ254" s="47"/>
      <c r="AR254" s="47"/>
      <c r="AS254" s="47"/>
      <c r="AT254" s="47"/>
      <c r="AU254" s="47"/>
      <c r="AV254" s="47"/>
      <c r="AW254" s="47"/>
      <c r="AX254" s="47"/>
      <c r="AY254" s="47"/>
      <c r="AZ254" s="47"/>
      <c r="BA254" s="47"/>
    </row>
    <row r="255" spans="3:53"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  <c r="AE255" s="47"/>
      <c r="AF255" s="47"/>
      <c r="AG255" s="47"/>
      <c r="AH255" s="47"/>
      <c r="AI255" s="47"/>
      <c r="AJ255" s="47"/>
      <c r="AK255" s="47"/>
      <c r="AL255" s="47"/>
      <c r="AM255" s="47"/>
      <c r="AN255" s="47"/>
      <c r="AO255" s="47"/>
      <c r="AP255" s="47"/>
      <c r="AQ255" s="47"/>
      <c r="AR255" s="47"/>
      <c r="AS255" s="47"/>
      <c r="AT255" s="47"/>
      <c r="AU255" s="47"/>
      <c r="AV255" s="47"/>
      <c r="AW255" s="47"/>
      <c r="AX255" s="47"/>
      <c r="AY255" s="47"/>
      <c r="AZ255" s="47"/>
      <c r="BA255" s="47"/>
    </row>
    <row r="256" spans="3:53"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  <c r="AE256" s="47"/>
      <c r="AF256" s="47"/>
      <c r="AG256" s="47"/>
      <c r="AH256" s="47"/>
      <c r="AI256" s="47"/>
      <c r="AJ256" s="47"/>
      <c r="AK256" s="47"/>
      <c r="AL256" s="47"/>
      <c r="AM256" s="47"/>
      <c r="AN256" s="47"/>
      <c r="AO256" s="47"/>
      <c r="AP256" s="47"/>
      <c r="AQ256" s="47"/>
      <c r="AR256" s="47"/>
      <c r="AS256" s="47"/>
      <c r="AT256" s="47"/>
      <c r="AU256" s="47"/>
      <c r="AV256" s="47"/>
      <c r="AW256" s="47"/>
      <c r="AX256" s="47"/>
      <c r="AY256" s="47"/>
      <c r="AZ256" s="47"/>
      <c r="BA256" s="47"/>
    </row>
    <row r="257" spans="3:53"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  <c r="AO257" s="47"/>
      <c r="AP257" s="47"/>
      <c r="AQ257" s="47"/>
      <c r="AR257" s="47"/>
      <c r="AS257" s="47"/>
      <c r="AT257" s="47"/>
      <c r="AU257" s="47"/>
      <c r="AV257" s="47"/>
      <c r="AW257" s="47"/>
      <c r="AX257" s="47"/>
      <c r="AY257" s="47"/>
      <c r="AZ257" s="47"/>
      <c r="BA257" s="47"/>
    </row>
    <row r="258" spans="3:53"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  <c r="AE258" s="47"/>
      <c r="AF258" s="47"/>
      <c r="AG258" s="47"/>
      <c r="AH258" s="47"/>
      <c r="AI258" s="47"/>
      <c r="AJ258" s="47"/>
      <c r="AK258" s="47"/>
      <c r="AL258" s="47"/>
      <c r="AM258" s="47"/>
      <c r="AN258" s="47"/>
      <c r="AO258" s="47"/>
      <c r="AP258" s="47"/>
      <c r="AQ258" s="47"/>
      <c r="AR258" s="47"/>
      <c r="AS258" s="47"/>
      <c r="AT258" s="47"/>
      <c r="AU258" s="47"/>
      <c r="AV258" s="47"/>
      <c r="AW258" s="47"/>
      <c r="AX258" s="47"/>
      <c r="AY258" s="47"/>
      <c r="AZ258" s="47"/>
      <c r="BA258" s="47"/>
    </row>
    <row r="259" spans="3:53"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/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  <c r="AO259" s="47"/>
      <c r="AP259" s="47"/>
      <c r="AQ259" s="47"/>
      <c r="AR259" s="47"/>
      <c r="AS259" s="47"/>
      <c r="AT259" s="47"/>
      <c r="AU259" s="47"/>
      <c r="AV259" s="47"/>
      <c r="AW259" s="47"/>
      <c r="AX259" s="47"/>
      <c r="AY259" s="47"/>
      <c r="AZ259" s="47"/>
      <c r="BA259" s="47"/>
    </row>
    <row r="260" spans="3:53"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  <c r="AO260" s="47"/>
      <c r="AP260" s="47"/>
      <c r="AQ260" s="47"/>
      <c r="AR260" s="47"/>
      <c r="AS260" s="47"/>
      <c r="AT260" s="47"/>
      <c r="AU260" s="47"/>
      <c r="AV260" s="47"/>
      <c r="AW260" s="47"/>
      <c r="AX260" s="47"/>
      <c r="AY260" s="47"/>
      <c r="AZ260" s="47"/>
      <c r="BA260" s="47"/>
    </row>
    <row r="261" spans="3:53"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  <c r="AD261" s="47"/>
      <c r="AE261" s="47"/>
      <c r="AF261" s="47"/>
      <c r="AG261" s="47"/>
      <c r="AH261" s="47"/>
      <c r="AI261" s="47"/>
      <c r="AJ261" s="47"/>
      <c r="AK261" s="47"/>
      <c r="AL261" s="47"/>
      <c r="AM261" s="47"/>
      <c r="AN261" s="47"/>
      <c r="AO261" s="47"/>
      <c r="AP261" s="47"/>
      <c r="AQ261" s="47"/>
      <c r="AR261" s="47"/>
      <c r="AS261" s="47"/>
      <c r="AT261" s="47"/>
      <c r="AU261" s="47"/>
      <c r="AV261" s="47"/>
      <c r="AW261" s="47"/>
      <c r="AX261" s="47"/>
      <c r="AY261" s="47"/>
      <c r="AZ261" s="47"/>
      <c r="BA261" s="47"/>
    </row>
    <row r="262" spans="3:53"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  <c r="AE262" s="47"/>
      <c r="AF262" s="47"/>
      <c r="AG262" s="47"/>
      <c r="AH262" s="47"/>
      <c r="AI262" s="47"/>
      <c r="AJ262" s="47"/>
      <c r="AK262" s="47"/>
      <c r="AL262" s="47"/>
      <c r="AM262" s="47"/>
      <c r="AN262" s="47"/>
      <c r="AO262" s="47"/>
      <c r="AP262" s="47"/>
      <c r="AQ262" s="47"/>
      <c r="AR262" s="47"/>
      <c r="AS262" s="47"/>
      <c r="AT262" s="47"/>
      <c r="AU262" s="47"/>
      <c r="AV262" s="47"/>
      <c r="AW262" s="47"/>
      <c r="AX262" s="47"/>
      <c r="AY262" s="47"/>
      <c r="AZ262" s="47"/>
      <c r="BA262" s="47"/>
    </row>
    <row r="263" spans="3:53"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  <c r="AE263" s="47"/>
      <c r="AF263" s="47"/>
      <c r="AG263" s="47"/>
      <c r="AH263" s="47"/>
      <c r="AI263" s="47"/>
      <c r="AJ263" s="47"/>
      <c r="AK263" s="47"/>
      <c r="AL263" s="47"/>
      <c r="AM263" s="47"/>
      <c r="AN263" s="47"/>
      <c r="AO263" s="47"/>
      <c r="AP263" s="47"/>
      <c r="AQ263" s="47"/>
      <c r="AR263" s="47"/>
      <c r="AS263" s="47"/>
      <c r="AT263" s="47"/>
      <c r="AU263" s="47"/>
      <c r="AV263" s="47"/>
      <c r="AW263" s="47"/>
      <c r="AX263" s="47"/>
      <c r="AY263" s="47"/>
      <c r="AZ263" s="47"/>
      <c r="BA263" s="47"/>
    </row>
    <row r="264" spans="3:53"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  <c r="AS264" s="47"/>
      <c r="AT264" s="47"/>
      <c r="AU264" s="47"/>
      <c r="AV264" s="47"/>
      <c r="AW264" s="47"/>
      <c r="AX264" s="47"/>
      <c r="AY264" s="47"/>
      <c r="AZ264" s="47"/>
      <c r="BA264" s="47"/>
    </row>
    <row r="265" spans="3:53"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  <c r="AW265" s="47"/>
      <c r="AX265" s="47"/>
      <c r="AY265" s="47"/>
      <c r="AZ265" s="47"/>
      <c r="BA265" s="47"/>
    </row>
    <row r="266" spans="3:53"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7"/>
      <c r="AS266" s="47"/>
      <c r="AT266" s="47"/>
      <c r="AU266" s="47"/>
      <c r="AV266" s="47"/>
      <c r="AW266" s="47"/>
      <c r="AX266" s="47"/>
      <c r="AY266" s="47"/>
      <c r="AZ266" s="47"/>
      <c r="BA266" s="47"/>
    </row>
    <row r="267" spans="3:53"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  <c r="AQ267" s="47"/>
      <c r="AR267" s="47"/>
      <c r="AS267" s="47"/>
      <c r="AT267" s="47"/>
      <c r="AU267" s="47"/>
      <c r="AV267" s="47"/>
      <c r="AW267" s="47"/>
      <c r="AX267" s="47"/>
      <c r="AY267" s="47"/>
      <c r="AZ267" s="47"/>
      <c r="BA267" s="47"/>
    </row>
    <row r="268" spans="3:53"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  <c r="AS268" s="47"/>
      <c r="AT268" s="47"/>
      <c r="AU268" s="47"/>
      <c r="AV268" s="47"/>
      <c r="AW268" s="47"/>
      <c r="AX268" s="47"/>
      <c r="AY268" s="47"/>
      <c r="AZ268" s="47"/>
      <c r="BA268" s="47"/>
    </row>
    <row r="269" spans="3:53"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/>
    </row>
    <row r="270" spans="3:53"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  <c r="AQ270" s="47"/>
      <c r="AR270" s="47"/>
      <c r="AS270" s="47"/>
      <c r="AT270" s="47"/>
      <c r="AU270" s="47"/>
      <c r="AV270" s="47"/>
      <c r="AW270" s="47"/>
      <c r="AX270" s="47"/>
      <c r="AY270" s="47"/>
      <c r="AZ270" s="47"/>
      <c r="BA270" s="47"/>
    </row>
    <row r="271" spans="3:53"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  <c r="AQ271" s="47"/>
      <c r="AR271" s="47"/>
      <c r="AS271" s="47"/>
      <c r="AT271" s="47"/>
      <c r="AU271" s="47"/>
      <c r="AV271" s="47"/>
      <c r="AW271" s="47"/>
      <c r="AX271" s="47"/>
      <c r="AY271" s="47"/>
      <c r="AZ271" s="47"/>
      <c r="BA271" s="47"/>
    </row>
    <row r="272" spans="3:53"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  <c r="AQ272" s="47"/>
      <c r="AR272" s="47"/>
      <c r="AS272" s="47"/>
      <c r="AT272" s="47"/>
      <c r="AU272" s="47"/>
      <c r="AV272" s="47"/>
      <c r="AW272" s="47"/>
      <c r="AX272" s="47"/>
      <c r="AY272" s="47"/>
      <c r="AZ272" s="47"/>
      <c r="BA272" s="47"/>
    </row>
    <row r="273" spans="3:53"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  <c r="AS273" s="47"/>
      <c r="AT273" s="47"/>
      <c r="AU273" s="47"/>
      <c r="AV273" s="47"/>
      <c r="AW273" s="47"/>
      <c r="AX273" s="47"/>
      <c r="AY273" s="47"/>
      <c r="AZ273" s="47"/>
      <c r="BA273" s="47"/>
    </row>
    <row r="274" spans="3:53"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  <c r="AO274" s="47"/>
      <c r="AP274" s="47"/>
      <c r="AQ274" s="47"/>
      <c r="AR274" s="47"/>
      <c r="AS274" s="47"/>
      <c r="AT274" s="47"/>
      <c r="AU274" s="47"/>
      <c r="AV274" s="47"/>
      <c r="AW274" s="47"/>
      <c r="AX274" s="47"/>
      <c r="AY274" s="47"/>
      <c r="AZ274" s="47"/>
      <c r="BA274" s="47"/>
    </row>
    <row r="275" spans="3:53"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/>
      <c r="AE275" s="47"/>
      <c r="AF275" s="47"/>
      <c r="AG275" s="47"/>
      <c r="AH275" s="47"/>
      <c r="AI275" s="47"/>
      <c r="AJ275" s="47"/>
      <c r="AK275" s="47"/>
      <c r="AL275" s="47"/>
      <c r="AM275" s="47"/>
      <c r="AN275" s="47"/>
      <c r="AO275" s="47"/>
      <c r="AP275" s="47"/>
      <c r="AQ275" s="47"/>
      <c r="AR275" s="47"/>
      <c r="AS275" s="47"/>
      <c r="AT275" s="47"/>
      <c r="AU275" s="47"/>
      <c r="AV275" s="47"/>
      <c r="AW275" s="47"/>
      <c r="AX275" s="47"/>
      <c r="AY275" s="47"/>
      <c r="AZ275" s="47"/>
      <c r="BA275" s="47"/>
    </row>
    <row r="276" spans="3:53"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47"/>
      <c r="AF276" s="47"/>
      <c r="AG276" s="47"/>
      <c r="AH276" s="47"/>
      <c r="AI276" s="47"/>
      <c r="AJ276" s="47"/>
      <c r="AK276" s="47"/>
      <c r="AL276" s="47"/>
      <c r="AM276" s="47"/>
      <c r="AN276" s="47"/>
      <c r="AO276" s="47"/>
      <c r="AP276" s="47"/>
      <c r="AQ276" s="47"/>
      <c r="AR276" s="47"/>
      <c r="AS276" s="47"/>
      <c r="AT276" s="47"/>
      <c r="AU276" s="47"/>
      <c r="AV276" s="47"/>
      <c r="AW276" s="47"/>
      <c r="AX276" s="47"/>
      <c r="AY276" s="47"/>
      <c r="AZ276" s="47"/>
      <c r="BA276" s="47"/>
    </row>
    <row r="277" spans="3:53"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  <c r="AE277" s="47"/>
      <c r="AF277" s="47"/>
      <c r="AG277" s="47"/>
      <c r="AH277" s="47"/>
      <c r="AI277" s="47"/>
      <c r="AJ277" s="47"/>
      <c r="AK277" s="47"/>
      <c r="AL277" s="47"/>
      <c r="AM277" s="47"/>
      <c r="AN277" s="47"/>
      <c r="AO277" s="47"/>
      <c r="AP277" s="47"/>
      <c r="AQ277" s="47"/>
      <c r="AR277" s="47"/>
      <c r="AS277" s="47"/>
      <c r="AT277" s="47"/>
      <c r="AU277" s="47"/>
      <c r="AV277" s="47"/>
      <c r="AW277" s="47"/>
      <c r="AX277" s="47"/>
      <c r="AY277" s="47"/>
      <c r="AZ277" s="47"/>
      <c r="BA277" s="47"/>
    </row>
    <row r="278" spans="3:53"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  <c r="AF278" s="47"/>
      <c r="AG278" s="47"/>
      <c r="AH278" s="47"/>
      <c r="AI278" s="47"/>
      <c r="AJ278" s="47"/>
      <c r="AK278" s="47"/>
      <c r="AL278" s="47"/>
      <c r="AM278" s="47"/>
      <c r="AN278" s="47"/>
      <c r="AO278" s="47"/>
      <c r="AP278" s="47"/>
      <c r="AQ278" s="47"/>
      <c r="AR278" s="47"/>
      <c r="AS278" s="47"/>
      <c r="AT278" s="47"/>
      <c r="AU278" s="47"/>
      <c r="AV278" s="47"/>
      <c r="AW278" s="47"/>
      <c r="AX278" s="47"/>
      <c r="AY278" s="47"/>
      <c r="AZ278" s="47"/>
      <c r="BA278" s="47"/>
    </row>
    <row r="279" spans="3:53"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  <c r="AQ279" s="47"/>
      <c r="AR279" s="47"/>
      <c r="AS279" s="47"/>
      <c r="AT279" s="47"/>
      <c r="AU279" s="47"/>
      <c r="AV279" s="47"/>
      <c r="AW279" s="47"/>
      <c r="AX279" s="47"/>
      <c r="AY279" s="47"/>
      <c r="AZ279" s="47"/>
      <c r="BA279" s="47"/>
    </row>
    <row r="280" spans="3:53"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  <c r="AF280" s="47"/>
      <c r="AG280" s="47"/>
      <c r="AH280" s="47"/>
      <c r="AI280" s="47"/>
      <c r="AJ280" s="47"/>
      <c r="AK280" s="47"/>
      <c r="AL280" s="47"/>
      <c r="AM280" s="47"/>
      <c r="AN280" s="47"/>
      <c r="AO280" s="47"/>
      <c r="AP280" s="47"/>
      <c r="AQ280" s="47"/>
      <c r="AR280" s="47"/>
      <c r="AS280" s="47"/>
      <c r="AT280" s="47"/>
      <c r="AU280" s="47"/>
      <c r="AV280" s="47"/>
      <c r="AW280" s="47"/>
      <c r="AX280" s="47"/>
      <c r="AY280" s="47"/>
      <c r="AZ280" s="47"/>
      <c r="BA280" s="47"/>
    </row>
    <row r="281" spans="3:53"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  <c r="AQ281" s="47"/>
      <c r="AR281" s="47"/>
      <c r="AS281" s="47"/>
      <c r="AT281" s="47"/>
      <c r="AU281" s="47"/>
      <c r="AV281" s="47"/>
      <c r="AW281" s="47"/>
      <c r="AX281" s="47"/>
      <c r="AY281" s="47"/>
      <c r="AZ281" s="47"/>
      <c r="BA281" s="47"/>
    </row>
    <row r="282" spans="3:53"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  <c r="AQ282" s="47"/>
      <c r="AR282" s="47"/>
      <c r="AS282" s="47"/>
      <c r="AT282" s="47"/>
      <c r="AU282" s="47"/>
      <c r="AV282" s="47"/>
      <c r="AW282" s="47"/>
      <c r="AX282" s="47"/>
      <c r="AY282" s="47"/>
      <c r="AZ282" s="47"/>
      <c r="BA282" s="47"/>
    </row>
    <row r="283" spans="3:53"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  <c r="AQ283" s="47"/>
      <c r="AR283" s="47"/>
      <c r="AS283" s="47"/>
      <c r="AT283" s="47"/>
      <c r="AU283" s="47"/>
      <c r="AV283" s="47"/>
      <c r="AW283" s="47"/>
      <c r="AX283" s="47"/>
      <c r="AY283" s="47"/>
      <c r="AZ283" s="47"/>
      <c r="BA283" s="47"/>
    </row>
    <row r="284" spans="3:53"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  <c r="AF284" s="47"/>
      <c r="AG284" s="47"/>
      <c r="AH284" s="47"/>
      <c r="AI284" s="47"/>
      <c r="AJ284" s="47"/>
      <c r="AK284" s="47"/>
      <c r="AL284" s="47"/>
      <c r="AM284" s="47"/>
      <c r="AN284" s="47"/>
      <c r="AO284" s="47"/>
      <c r="AP284" s="47"/>
      <c r="AQ284" s="47"/>
      <c r="AR284" s="47"/>
      <c r="AS284" s="47"/>
      <c r="AT284" s="47"/>
      <c r="AU284" s="47"/>
      <c r="AV284" s="47"/>
      <c r="AW284" s="47"/>
      <c r="AX284" s="47"/>
      <c r="AY284" s="47"/>
      <c r="AZ284" s="47"/>
      <c r="BA284" s="47"/>
    </row>
    <row r="285" spans="3:53"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7"/>
      <c r="AP285" s="47"/>
      <c r="AQ285" s="47"/>
      <c r="AR285" s="47"/>
      <c r="AS285" s="47"/>
      <c r="AT285" s="47"/>
      <c r="AU285" s="47"/>
      <c r="AV285" s="47"/>
      <c r="AW285" s="47"/>
      <c r="AX285" s="47"/>
      <c r="AY285" s="47"/>
      <c r="AZ285" s="47"/>
      <c r="BA285" s="47"/>
    </row>
    <row r="286" spans="3:53"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  <c r="AE286" s="47"/>
      <c r="AF286" s="47"/>
      <c r="AG286" s="47"/>
      <c r="AH286" s="47"/>
      <c r="AI286" s="47"/>
      <c r="AJ286" s="47"/>
      <c r="AK286" s="47"/>
      <c r="AL286" s="47"/>
      <c r="AM286" s="47"/>
      <c r="AN286" s="47"/>
      <c r="AO286" s="47"/>
      <c r="AP286" s="47"/>
      <c r="AQ286" s="47"/>
      <c r="AR286" s="47"/>
      <c r="AS286" s="47"/>
      <c r="AT286" s="47"/>
      <c r="AU286" s="47"/>
      <c r="AV286" s="47"/>
      <c r="AW286" s="47"/>
      <c r="AX286" s="47"/>
      <c r="AY286" s="47"/>
      <c r="AZ286" s="47"/>
      <c r="BA286" s="47"/>
    </row>
    <row r="287" spans="3:53"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  <c r="AQ287" s="47"/>
      <c r="AR287" s="47"/>
      <c r="AS287" s="47"/>
      <c r="AT287" s="47"/>
      <c r="AU287" s="47"/>
      <c r="AV287" s="47"/>
      <c r="AW287" s="47"/>
      <c r="AX287" s="47"/>
      <c r="AY287" s="47"/>
      <c r="AZ287" s="47"/>
      <c r="BA287" s="47"/>
    </row>
    <row r="288" spans="3:53"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  <c r="AO288" s="47"/>
      <c r="AP288" s="47"/>
      <c r="AQ288" s="47"/>
      <c r="AR288" s="47"/>
      <c r="AS288" s="47"/>
      <c r="AT288" s="47"/>
      <c r="AU288" s="47"/>
      <c r="AV288" s="47"/>
      <c r="AW288" s="47"/>
      <c r="AX288" s="47"/>
      <c r="AY288" s="47"/>
      <c r="AZ288" s="47"/>
      <c r="BA288" s="47"/>
    </row>
    <row r="289" spans="3:53"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  <c r="AQ289" s="47"/>
      <c r="AR289" s="47"/>
      <c r="AS289" s="47"/>
      <c r="AT289" s="47"/>
      <c r="AU289" s="47"/>
      <c r="AV289" s="47"/>
      <c r="AW289" s="47"/>
      <c r="AX289" s="47"/>
      <c r="AY289" s="47"/>
      <c r="AZ289" s="47"/>
      <c r="BA289" s="47"/>
    </row>
    <row r="290" spans="3:53"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  <c r="AO290" s="47"/>
      <c r="AP290" s="47"/>
      <c r="AQ290" s="47"/>
      <c r="AR290" s="47"/>
      <c r="AS290" s="47"/>
      <c r="AT290" s="47"/>
      <c r="AU290" s="47"/>
      <c r="AV290" s="47"/>
      <c r="AW290" s="47"/>
      <c r="AX290" s="47"/>
      <c r="AY290" s="47"/>
      <c r="AZ290" s="47"/>
      <c r="BA290" s="47"/>
    </row>
    <row r="291" spans="3:53"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7"/>
      <c r="AE291" s="47"/>
      <c r="AF291" s="47"/>
      <c r="AG291" s="47"/>
      <c r="AH291" s="47"/>
      <c r="AI291" s="47"/>
      <c r="AJ291" s="47"/>
      <c r="AK291" s="47"/>
      <c r="AL291" s="47"/>
      <c r="AM291" s="47"/>
      <c r="AN291" s="47"/>
      <c r="AO291" s="47"/>
      <c r="AP291" s="47"/>
      <c r="AQ291" s="47"/>
      <c r="AR291" s="47"/>
      <c r="AS291" s="47"/>
      <c r="AT291" s="47"/>
      <c r="AU291" s="47"/>
      <c r="AV291" s="47"/>
      <c r="AW291" s="47"/>
      <c r="AX291" s="47"/>
      <c r="AY291" s="47"/>
      <c r="AZ291" s="47"/>
      <c r="BA291" s="47"/>
    </row>
    <row r="292" spans="3:53"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  <c r="AE292" s="47"/>
      <c r="AF292" s="47"/>
      <c r="AG292" s="47"/>
      <c r="AH292" s="47"/>
      <c r="AI292" s="47"/>
      <c r="AJ292" s="47"/>
      <c r="AK292" s="47"/>
      <c r="AL292" s="47"/>
      <c r="AM292" s="47"/>
      <c r="AN292" s="47"/>
      <c r="AO292" s="47"/>
      <c r="AP292" s="47"/>
      <c r="AQ292" s="47"/>
      <c r="AR292" s="47"/>
      <c r="AS292" s="47"/>
      <c r="AT292" s="47"/>
      <c r="AU292" s="47"/>
      <c r="AV292" s="47"/>
      <c r="AW292" s="47"/>
      <c r="AX292" s="47"/>
      <c r="AY292" s="47"/>
      <c r="AZ292" s="47"/>
      <c r="BA292" s="47"/>
    </row>
    <row r="293" spans="3:53"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  <c r="AD293" s="47"/>
      <c r="AE293" s="47"/>
      <c r="AF293" s="47"/>
      <c r="AG293" s="47"/>
      <c r="AH293" s="47"/>
      <c r="AI293" s="47"/>
      <c r="AJ293" s="47"/>
      <c r="AK293" s="47"/>
      <c r="AL293" s="47"/>
      <c r="AM293" s="47"/>
      <c r="AN293" s="47"/>
      <c r="AO293" s="47"/>
      <c r="AP293" s="47"/>
      <c r="AQ293" s="47"/>
      <c r="AR293" s="47"/>
      <c r="AS293" s="47"/>
      <c r="AT293" s="47"/>
      <c r="AU293" s="47"/>
      <c r="AV293" s="47"/>
      <c r="AW293" s="47"/>
      <c r="AX293" s="47"/>
      <c r="AY293" s="47"/>
      <c r="AZ293" s="47"/>
      <c r="BA293" s="47"/>
    </row>
    <row r="294" spans="3:53"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  <c r="AD294" s="47"/>
      <c r="AE294" s="47"/>
      <c r="AF294" s="47"/>
      <c r="AG294" s="47"/>
      <c r="AH294" s="47"/>
      <c r="AI294" s="47"/>
      <c r="AJ294" s="47"/>
      <c r="AK294" s="47"/>
      <c r="AL294" s="47"/>
      <c r="AM294" s="47"/>
      <c r="AN294" s="47"/>
      <c r="AO294" s="47"/>
      <c r="AP294" s="47"/>
      <c r="AQ294" s="47"/>
      <c r="AR294" s="47"/>
      <c r="AS294" s="47"/>
      <c r="AT294" s="47"/>
      <c r="AU294" s="47"/>
      <c r="AV294" s="47"/>
      <c r="AW294" s="47"/>
      <c r="AX294" s="47"/>
      <c r="AY294" s="47"/>
      <c r="AZ294" s="47"/>
      <c r="BA294" s="47"/>
    </row>
    <row r="295" spans="3:53"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  <c r="AD295" s="47"/>
      <c r="AE295" s="47"/>
      <c r="AF295" s="47"/>
      <c r="AG295" s="47"/>
      <c r="AH295" s="47"/>
      <c r="AI295" s="47"/>
      <c r="AJ295" s="47"/>
      <c r="AK295" s="47"/>
      <c r="AL295" s="47"/>
      <c r="AM295" s="47"/>
      <c r="AN295" s="47"/>
      <c r="AO295" s="47"/>
      <c r="AP295" s="47"/>
      <c r="AQ295" s="47"/>
      <c r="AR295" s="47"/>
      <c r="AS295" s="47"/>
      <c r="AT295" s="47"/>
      <c r="AU295" s="47"/>
      <c r="AV295" s="47"/>
      <c r="AW295" s="47"/>
      <c r="AX295" s="47"/>
      <c r="AY295" s="47"/>
      <c r="AZ295" s="47"/>
      <c r="BA295" s="47"/>
    </row>
    <row r="296" spans="3:53"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  <c r="AQ296" s="47"/>
      <c r="AR296" s="47"/>
      <c r="AS296" s="47"/>
      <c r="AT296" s="47"/>
      <c r="AU296" s="47"/>
      <c r="AV296" s="47"/>
      <c r="AW296" s="47"/>
      <c r="AX296" s="47"/>
      <c r="AY296" s="47"/>
      <c r="AZ296" s="47"/>
      <c r="BA296" s="47"/>
    </row>
    <row r="297" spans="3:53"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  <c r="AO297" s="47"/>
      <c r="AP297" s="47"/>
      <c r="AQ297" s="47"/>
      <c r="AR297" s="47"/>
      <c r="AS297" s="47"/>
      <c r="AT297" s="47"/>
      <c r="AU297" s="47"/>
      <c r="AV297" s="47"/>
      <c r="AW297" s="47"/>
      <c r="AX297" s="47"/>
      <c r="AY297" s="47"/>
      <c r="AZ297" s="47"/>
      <c r="BA297" s="47"/>
    </row>
    <row r="298" spans="3:53"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  <c r="AD298" s="47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  <c r="AO298" s="47"/>
      <c r="AP298" s="47"/>
      <c r="AQ298" s="47"/>
      <c r="AR298" s="47"/>
      <c r="AS298" s="47"/>
      <c r="AT298" s="47"/>
      <c r="AU298" s="47"/>
      <c r="AV298" s="47"/>
      <c r="AW298" s="47"/>
      <c r="AX298" s="47"/>
      <c r="AY298" s="47"/>
      <c r="AZ298" s="47"/>
      <c r="BA298" s="47"/>
    </row>
    <row r="299" spans="3:53"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  <c r="AG299" s="47"/>
      <c r="AH299" s="47"/>
      <c r="AI299" s="47"/>
      <c r="AJ299" s="47"/>
      <c r="AK299" s="47"/>
      <c r="AL299" s="47"/>
      <c r="AM299" s="47"/>
      <c r="AN299" s="47"/>
      <c r="AO299" s="47"/>
      <c r="AP299" s="47"/>
      <c r="AQ299" s="47"/>
      <c r="AR299" s="47"/>
      <c r="AS299" s="47"/>
      <c r="AT299" s="47"/>
      <c r="AU299" s="47"/>
      <c r="AV299" s="47"/>
      <c r="AW299" s="47"/>
      <c r="AX299" s="47"/>
      <c r="AY299" s="47"/>
      <c r="AZ299" s="47"/>
      <c r="BA299" s="47"/>
    </row>
    <row r="300" spans="3:53"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  <c r="AF300" s="47"/>
      <c r="AG300" s="47"/>
      <c r="AH300" s="47"/>
      <c r="AI300" s="47"/>
      <c r="AJ300" s="47"/>
      <c r="AK300" s="47"/>
      <c r="AL300" s="47"/>
      <c r="AM300" s="47"/>
      <c r="AN300" s="47"/>
      <c r="AO300" s="47"/>
      <c r="AP300" s="47"/>
      <c r="AQ300" s="47"/>
      <c r="AR300" s="47"/>
      <c r="AS300" s="47"/>
      <c r="AT300" s="47"/>
      <c r="AU300" s="47"/>
      <c r="AV300" s="47"/>
      <c r="AW300" s="47"/>
      <c r="AX300" s="47"/>
      <c r="AY300" s="47"/>
      <c r="AZ300" s="47"/>
      <c r="BA300" s="47"/>
    </row>
    <row r="301" spans="3:53"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7"/>
      <c r="AQ301" s="47"/>
      <c r="AR301" s="47"/>
      <c r="AS301" s="47"/>
      <c r="AT301" s="47"/>
      <c r="AU301" s="47"/>
      <c r="AV301" s="47"/>
      <c r="AW301" s="47"/>
      <c r="AX301" s="47"/>
      <c r="AY301" s="47"/>
      <c r="AZ301" s="47"/>
      <c r="BA301" s="47"/>
    </row>
    <row r="302" spans="3:53"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/>
      <c r="AE302" s="47"/>
      <c r="AF302" s="47"/>
      <c r="AG302" s="47"/>
      <c r="AH302" s="47"/>
      <c r="AI302" s="47"/>
      <c r="AJ302" s="47"/>
      <c r="AK302" s="47"/>
      <c r="AL302" s="47"/>
      <c r="AM302" s="47"/>
      <c r="AN302" s="47"/>
      <c r="AO302" s="47"/>
      <c r="AP302" s="47"/>
      <c r="AQ302" s="47"/>
      <c r="AR302" s="47"/>
      <c r="AS302" s="47"/>
      <c r="AT302" s="47"/>
      <c r="AU302" s="47"/>
      <c r="AV302" s="47"/>
      <c r="AW302" s="47"/>
      <c r="AX302" s="47"/>
      <c r="AY302" s="47"/>
      <c r="AZ302" s="47"/>
      <c r="BA302" s="47"/>
    </row>
    <row r="303" spans="3:53"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  <c r="AE303" s="47"/>
      <c r="AF303" s="47"/>
      <c r="AG303" s="47"/>
      <c r="AH303" s="47"/>
      <c r="AI303" s="47"/>
      <c r="AJ303" s="47"/>
      <c r="AK303" s="47"/>
      <c r="AL303" s="47"/>
      <c r="AM303" s="47"/>
      <c r="AN303" s="47"/>
      <c r="AO303" s="47"/>
      <c r="AP303" s="47"/>
      <c r="AQ303" s="47"/>
      <c r="AR303" s="47"/>
      <c r="AS303" s="47"/>
      <c r="AT303" s="47"/>
      <c r="AU303" s="47"/>
      <c r="AV303" s="47"/>
      <c r="AW303" s="47"/>
      <c r="AX303" s="47"/>
      <c r="AY303" s="47"/>
      <c r="AZ303" s="47"/>
      <c r="BA303" s="47"/>
    </row>
    <row r="304" spans="3:53"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  <c r="AD304" s="47"/>
      <c r="AE304" s="47"/>
      <c r="AF304" s="47"/>
      <c r="AG304" s="47"/>
      <c r="AH304" s="47"/>
      <c r="AI304" s="47"/>
      <c r="AJ304" s="47"/>
      <c r="AK304" s="47"/>
      <c r="AL304" s="47"/>
      <c r="AM304" s="47"/>
      <c r="AN304" s="47"/>
      <c r="AO304" s="47"/>
      <c r="AP304" s="47"/>
      <c r="AQ304" s="47"/>
      <c r="AR304" s="47"/>
      <c r="AS304" s="47"/>
      <c r="AT304" s="47"/>
      <c r="AU304" s="47"/>
      <c r="AV304" s="47"/>
      <c r="AW304" s="47"/>
      <c r="AX304" s="47"/>
      <c r="AY304" s="47"/>
      <c r="AZ304" s="47"/>
      <c r="BA304" s="47"/>
    </row>
    <row r="305" spans="3:53"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  <c r="AD305" s="47"/>
      <c r="AE305" s="47"/>
      <c r="AF305" s="47"/>
      <c r="AG305" s="47"/>
      <c r="AH305" s="47"/>
      <c r="AI305" s="47"/>
      <c r="AJ305" s="47"/>
      <c r="AK305" s="47"/>
      <c r="AL305" s="47"/>
      <c r="AM305" s="47"/>
      <c r="AN305" s="47"/>
      <c r="AO305" s="47"/>
      <c r="AP305" s="47"/>
      <c r="AQ305" s="47"/>
      <c r="AR305" s="47"/>
      <c r="AS305" s="47"/>
      <c r="AT305" s="47"/>
      <c r="AU305" s="47"/>
      <c r="AV305" s="47"/>
      <c r="AW305" s="47"/>
      <c r="AX305" s="47"/>
      <c r="AY305" s="47"/>
      <c r="AZ305" s="47"/>
      <c r="BA305" s="47"/>
    </row>
    <row r="306" spans="3:53"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7"/>
      <c r="AD306" s="47"/>
      <c r="AE306" s="47"/>
      <c r="AF306" s="47"/>
      <c r="AG306" s="47"/>
      <c r="AH306" s="47"/>
      <c r="AI306" s="47"/>
      <c r="AJ306" s="47"/>
      <c r="AK306" s="47"/>
      <c r="AL306" s="47"/>
      <c r="AM306" s="47"/>
      <c r="AN306" s="47"/>
      <c r="AO306" s="47"/>
      <c r="AP306" s="47"/>
      <c r="AQ306" s="47"/>
      <c r="AR306" s="47"/>
      <c r="AS306" s="47"/>
      <c r="AT306" s="47"/>
      <c r="AU306" s="47"/>
      <c r="AV306" s="47"/>
      <c r="AW306" s="47"/>
      <c r="AX306" s="47"/>
      <c r="AY306" s="47"/>
      <c r="AZ306" s="47"/>
      <c r="BA306" s="47"/>
    </row>
    <row r="307" spans="3:53"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  <c r="AD307" s="47"/>
      <c r="AE307" s="47"/>
      <c r="AF307" s="47"/>
      <c r="AG307" s="47"/>
      <c r="AH307" s="47"/>
      <c r="AI307" s="47"/>
      <c r="AJ307" s="47"/>
      <c r="AK307" s="47"/>
      <c r="AL307" s="47"/>
      <c r="AM307" s="47"/>
      <c r="AN307" s="47"/>
      <c r="AO307" s="47"/>
      <c r="AP307" s="47"/>
      <c r="AQ307" s="47"/>
      <c r="AR307" s="47"/>
      <c r="AS307" s="47"/>
      <c r="AT307" s="47"/>
      <c r="AU307" s="47"/>
      <c r="AV307" s="47"/>
      <c r="AW307" s="47"/>
      <c r="AX307" s="47"/>
      <c r="AY307" s="47"/>
      <c r="AZ307" s="47"/>
      <c r="BA307" s="47"/>
    </row>
    <row r="308" spans="3:53"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7"/>
      <c r="AD308" s="47"/>
      <c r="AE308" s="47"/>
      <c r="AF308" s="47"/>
      <c r="AG308" s="47"/>
      <c r="AH308" s="47"/>
      <c r="AI308" s="47"/>
      <c r="AJ308" s="47"/>
      <c r="AK308" s="47"/>
      <c r="AL308" s="47"/>
      <c r="AM308" s="47"/>
      <c r="AN308" s="47"/>
      <c r="AO308" s="47"/>
      <c r="AP308" s="47"/>
      <c r="AQ308" s="47"/>
      <c r="AR308" s="47"/>
      <c r="AS308" s="47"/>
      <c r="AT308" s="47"/>
      <c r="AU308" s="47"/>
      <c r="AV308" s="47"/>
      <c r="AW308" s="47"/>
      <c r="AX308" s="47"/>
      <c r="AY308" s="47"/>
      <c r="AZ308" s="47"/>
      <c r="BA308" s="47"/>
    </row>
    <row r="309" spans="3:53"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47"/>
      <c r="AD309" s="47"/>
      <c r="AE309" s="47"/>
      <c r="AF309" s="47"/>
      <c r="AG309" s="47"/>
      <c r="AH309" s="47"/>
      <c r="AI309" s="47"/>
      <c r="AJ309" s="47"/>
      <c r="AK309" s="47"/>
      <c r="AL309" s="47"/>
      <c r="AM309" s="47"/>
      <c r="AN309" s="47"/>
      <c r="AO309" s="47"/>
      <c r="AP309" s="47"/>
      <c r="AQ309" s="47"/>
      <c r="AR309" s="47"/>
      <c r="AS309" s="47"/>
      <c r="AT309" s="47"/>
      <c r="AU309" s="47"/>
      <c r="AV309" s="47"/>
      <c r="AW309" s="47"/>
      <c r="AX309" s="47"/>
      <c r="AY309" s="47"/>
      <c r="AZ309" s="47"/>
      <c r="BA309" s="47"/>
    </row>
    <row r="310" spans="3:53"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7"/>
      <c r="AD310" s="47"/>
      <c r="AE310" s="47"/>
      <c r="AF310" s="47"/>
      <c r="AG310" s="47"/>
      <c r="AH310" s="47"/>
      <c r="AI310" s="47"/>
      <c r="AJ310" s="47"/>
      <c r="AK310" s="47"/>
      <c r="AL310" s="47"/>
      <c r="AM310" s="47"/>
      <c r="AN310" s="47"/>
      <c r="AO310" s="47"/>
      <c r="AP310" s="47"/>
      <c r="AQ310" s="47"/>
      <c r="AR310" s="47"/>
      <c r="AS310" s="47"/>
      <c r="AT310" s="47"/>
      <c r="AU310" s="47"/>
      <c r="AV310" s="47"/>
      <c r="AW310" s="47"/>
      <c r="AX310" s="47"/>
      <c r="AY310" s="47"/>
      <c r="AZ310" s="47"/>
      <c r="BA310" s="47"/>
    </row>
    <row r="311" spans="3:53"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47"/>
      <c r="AD311" s="47"/>
      <c r="AE311" s="47"/>
      <c r="AF311" s="47"/>
      <c r="AG311" s="47"/>
      <c r="AH311" s="47"/>
      <c r="AI311" s="47"/>
      <c r="AJ311" s="47"/>
      <c r="AK311" s="47"/>
      <c r="AL311" s="47"/>
      <c r="AM311" s="47"/>
      <c r="AN311" s="47"/>
      <c r="AO311" s="47"/>
      <c r="AP311" s="47"/>
      <c r="AQ311" s="47"/>
      <c r="AR311" s="47"/>
      <c r="AS311" s="47"/>
      <c r="AT311" s="47"/>
      <c r="AU311" s="47"/>
      <c r="AV311" s="47"/>
      <c r="AW311" s="47"/>
      <c r="AX311" s="47"/>
      <c r="AY311" s="47"/>
      <c r="AZ311" s="47"/>
      <c r="BA311" s="47"/>
    </row>
    <row r="312" spans="3:53"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/>
      <c r="AD312" s="47"/>
      <c r="AE312" s="47"/>
      <c r="AF312" s="47"/>
      <c r="AG312" s="47"/>
      <c r="AH312" s="47"/>
      <c r="AI312" s="47"/>
      <c r="AJ312" s="47"/>
      <c r="AK312" s="47"/>
      <c r="AL312" s="47"/>
      <c r="AM312" s="47"/>
      <c r="AN312" s="47"/>
      <c r="AO312" s="47"/>
      <c r="AP312" s="47"/>
      <c r="AQ312" s="47"/>
      <c r="AR312" s="47"/>
      <c r="AS312" s="47"/>
      <c r="AT312" s="47"/>
      <c r="AU312" s="47"/>
      <c r="AV312" s="47"/>
      <c r="AW312" s="47"/>
      <c r="AX312" s="47"/>
      <c r="AY312" s="47"/>
      <c r="AZ312" s="47"/>
      <c r="BA312" s="47"/>
    </row>
    <row r="313" spans="3:53"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/>
      <c r="AD313" s="47"/>
      <c r="AE313" s="47"/>
      <c r="AF313" s="47"/>
      <c r="AG313" s="47"/>
      <c r="AH313" s="47"/>
      <c r="AI313" s="47"/>
      <c r="AJ313" s="47"/>
      <c r="AK313" s="47"/>
      <c r="AL313" s="47"/>
      <c r="AM313" s="47"/>
      <c r="AN313" s="47"/>
      <c r="AO313" s="47"/>
      <c r="AP313" s="47"/>
      <c r="AQ313" s="47"/>
      <c r="AR313" s="47"/>
      <c r="AS313" s="47"/>
      <c r="AT313" s="47"/>
      <c r="AU313" s="47"/>
      <c r="AV313" s="47"/>
      <c r="AW313" s="47"/>
      <c r="AX313" s="47"/>
      <c r="AY313" s="47"/>
      <c r="AZ313" s="47"/>
      <c r="BA313" s="47"/>
    </row>
    <row r="314" spans="3:53"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  <c r="AC314" s="47"/>
      <c r="AD314" s="47"/>
      <c r="AE314" s="47"/>
      <c r="AF314" s="47"/>
      <c r="AG314" s="47"/>
      <c r="AH314" s="47"/>
      <c r="AI314" s="47"/>
      <c r="AJ314" s="47"/>
      <c r="AK314" s="47"/>
      <c r="AL314" s="47"/>
      <c r="AM314" s="47"/>
      <c r="AN314" s="47"/>
      <c r="AO314" s="47"/>
      <c r="AP314" s="47"/>
      <c r="AQ314" s="47"/>
      <c r="AR314" s="47"/>
      <c r="AS314" s="47"/>
      <c r="AT314" s="47"/>
      <c r="AU314" s="47"/>
      <c r="AV314" s="47"/>
      <c r="AW314" s="47"/>
      <c r="AX314" s="47"/>
      <c r="AY314" s="47"/>
      <c r="AZ314" s="47"/>
      <c r="BA314" s="47"/>
    </row>
    <row r="315" spans="3:53"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  <c r="AC315" s="47"/>
      <c r="AD315" s="47"/>
      <c r="AE315" s="47"/>
      <c r="AF315" s="47"/>
      <c r="AG315" s="47"/>
      <c r="AH315" s="47"/>
      <c r="AI315" s="47"/>
      <c r="AJ315" s="47"/>
      <c r="AK315" s="47"/>
      <c r="AL315" s="47"/>
      <c r="AM315" s="47"/>
      <c r="AN315" s="47"/>
      <c r="AO315" s="47"/>
      <c r="AP315" s="47"/>
      <c r="AQ315" s="47"/>
      <c r="AR315" s="47"/>
      <c r="AS315" s="47"/>
      <c r="AT315" s="47"/>
      <c r="AU315" s="47"/>
      <c r="AV315" s="47"/>
      <c r="AW315" s="47"/>
      <c r="AX315" s="47"/>
      <c r="AY315" s="47"/>
      <c r="AZ315" s="47"/>
      <c r="BA315" s="47"/>
    </row>
    <row r="316" spans="3:53"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  <c r="AC316" s="47"/>
      <c r="AD316" s="47"/>
      <c r="AE316" s="47"/>
      <c r="AF316" s="47"/>
      <c r="AG316" s="47"/>
      <c r="AH316" s="47"/>
      <c r="AI316" s="47"/>
      <c r="AJ316" s="47"/>
      <c r="AK316" s="47"/>
      <c r="AL316" s="47"/>
      <c r="AM316" s="47"/>
      <c r="AN316" s="47"/>
      <c r="AO316" s="47"/>
      <c r="AP316" s="47"/>
      <c r="AQ316" s="47"/>
      <c r="AR316" s="47"/>
      <c r="AS316" s="47"/>
      <c r="AT316" s="47"/>
      <c r="AU316" s="47"/>
      <c r="AV316" s="47"/>
      <c r="AW316" s="47"/>
      <c r="AX316" s="47"/>
      <c r="AY316" s="47"/>
      <c r="AZ316" s="47"/>
      <c r="BA316" s="47"/>
    </row>
    <row r="317" spans="3:53"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/>
      <c r="AD317" s="47"/>
      <c r="AE317" s="47"/>
      <c r="AF317" s="47"/>
      <c r="AG317" s="47"/>
      <c r="AH317" s="47"/>
      <c r="AI317" s="47"/>
      <c r="AJ317" s="47"/>
      <c r="AK317" s="47"/>
      <c r="AL317" s="47"/>
      <c r="AM317" s="47"/>
      <c r="AN317" s="47"/>
      <c r="AO317" s="47"/>
      <c r="AP317" s="47"/>
      <c r="AQ317" s="47"/>
      <c r="AR317" s="47"/>
      <c r="AS317" s="47"/>
      <c r="AT317" s="47"/>
      <c r="AU317" s="47"/>
      <c r="AV317" s="47"/>
      <c r="AW317" s="47"/>
      <c r="AX317" s="47"/>
      <c r="AY317" s="47"/>
      <c r="AZ317" s="47"/>
      <c r="BA317" s="47"/>
    </row>
    <row r="318" spans="3:53"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47"/>
      <c r="AD318" s="47"/>
      <c r="AE318" s="47"/>
      <c r="AF318" s="47"/>
      <c r="AG318" s="47"/>
      <c r="AH318" s="47"/>
      <c r="AI318" s="47"/>
      <c r="AJ318" s="47"/>
      <c r="AK318" s="47"/>
      <c r="AL318" s="47"/>
      <c r="AM318" s="47"/>
      <c r="AN318" s="47"/>
      <c r="AO318" s="47"/>
      <c r="AP318" s="47"/>
      <c r="AQ318" s="47"/>
      <c r="AR318" s="47"/>
      <c r="AS318" s="47"/>
      <c r="AT318" s="47"/>
      <c r="AU318" s="47"/>
      <c r="AV318" s="47"/>
      <c r="AW318" s="47"/>
      <c r="AX318" s="47"/>
      <c r="AY318" s="47"/>
      <c r="AZ318" s="47"/>
      <c r="BA318" s="47"/>
    </row>
    <row r="319" spans="3:53"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  <c r="AC319" s="47"/>
      <c r="AD319" s="47"/>
      <c r="AE319" s="47"/>
      <c r="AF319" s="47"/>
      <c r="AG319" s="47"/>
      <c r="AH319" s="47"/>
      <c r="AI319" s="47"/>
      <c r="AJ319" s="47"/>
      <c r="AK319" s="47"/>
      <c r="AL319" s="47"/>
      <c r="AM319" s="47"/>
      <c r="AN319" s="47"/>
      <c r="AO319" s="47"/>
      <c r="AP319" s="47"/>
      <c r="AQ319" s="47"/>
      <c r="AR319" s="47"/>
      <c r="AS319" s="47"/>
      <c r="AT319" s="47"/>
      <c r="AU319" s="47"/>
      <c r="AV319" s="47"/>
      <c r="AW319" s="47"/>
      <c r="AX319" s="47"/>
      <c r="AY319" s="47"/>
      <c r="AZ319" s="47"/>
      <c r="BA319" s="47"/>
    </row>
    <row r="320" spans="3:53"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  <c r="AC320" s="47"/>
      <c r="AD320" s="47"/>
      <c r="AE320" s="47"/>
      <c r="AF320" s="47"/>
      <c r="AG320" s="47"/>
      <c r="AH320" s="47"/>
      <c r="AI320" s="47"/>
      <c r="AJ320" s="47"/>
      <c r="AK320" s="47"/>
      <c r="AL320" s="47"/>
      <c r="AM320" s="47"/>
      <c r="AN320" s="47"/>
      <c r="AO320" s="47"/>
      <c r="AP320" s="47"/>
      <c r="AQ320" s="47"/>
      <c r="AR320" s="47"/>
      <c r="AS320" s="47"/>
      <c r="AT320" s="47"/>
      <c r="AU320" s="47"/>
      <c r="AV320" s="47"/>
      <c r="AW320" s="47"/>
      <c r="AX320" s="47"/>
      <c r="AY320" s="47"/>
      <c r="AZ320" s="47"/>
      <c r="BA320" s="47"/>
    </row>
    <row r="321" spans="3:53"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47"/>
      <c r="AD321" s="47"/>
      <c r="AE321" s="47"/>
      <c r="AF321" s="47"/>
      <c r="AG321" s="47"/>
      <c r="AH321" s="47"/>
      <c r="AI321" s="47"/>
      <c r="AJ321" s="47"/>
      <c r="AK321" s="47"/>
      <c r="AL321" s="47"/>
      <c r="AM321" s="47"/>
      <c r="AN321" s="47"/>
      <c r="AO321" s="47"/>
      <c r="AP321" s="47"/>
      <c r="AQ321" s="47"/>
      <c r="AR321" s="47"/>
      <c r="AS321" s="47"/>
      <c r="AT321" s="47"/>
      <c r="AU321" s="47"/>
      <c r="AV321" s="47"/>
      <c r="AW321" s="47"/>
      <c r="AX321" s="47"/>
      <c r="AY321" s="47"/>
      <c r="AZ321" s="47"/>
      <c r="BA321" s="47"/>
    </row>
    <row r="322" spans="3:53"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  <c r="AD322" s="47"/>
      <c r="AE322" s="47"/>
      <c r="AF322" s="47"/>
      <c r="AG322" s="47"/>
      <c r="AH322" s="47"/>
      <c r="AI322" s="47"/>
      <c r="AJ322" s="47"/>
      <c r="AK322" s="47"/>
      <c r="AL322" s="47"/>
      <c r="AM322" s="47"/>
      <c r="AN322" s="47"/>
      <c r="AO322" s="47"/>
      <c r="AP322" s="47"/>
      <c r="AQ322" s="47"/>
      <c r="AR322" s="47"/>
      <c r="AS322" s="47"/>
      <c r="AT322" s="47"/>
      <c r="AU322" s="47"/>
      <c r="AV322" s="47"/>
      <c r="AW322" s="47"/>
      <c r="AX322" s="47"/>
      <c r="AY322" s="47"/>
      <c r="AZ322" s="47"/>
      <c r="BA322" s="47"/>
    </row>
    <row r="323" spans="3:53"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  <c r="AC323" s="47"/>
      <c r="AD323" s="47"/>
      <c r="AE323" s="47"/>
      <c r="AF323" s="47"/>
      <c r="AG323" s="47"/>
      <c r="AH323" s="47"/>
      <c r="AI323" s="47"/>
      <c r="AJ323" s="47"/>
      <c r="AK323" s="47"/>
      <c r="AL323" s="47"/>
      <c r="AM323" s="47"/>
      <c r="AN323" s="47"/>
      <c r="AO323" s="47"/>
      <c r="AP323" s="47"/>
      <c r="AQ323" s="47"/>
      <c r="AR323" s="47"/>
      <c r="AS323" s="47"/>
      <c r="AT323" s="47"/>
      <c r="AU323" s="47"/>
      <c r="AV323" s="47"/>
      <c r="AW323" s="47"/>
      <c r="AX323" s="47"/>
      <c r="AY323" s="47"/>
      <c r="AZ323" s="47"/>
      <c r="BA323" s="47"/>
    </row>
    <row r="324" spans="3:53"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47"/>
      <c r="AD324" s="47"/>
      <c r="AE324" s="47"/>
      <c r="AF324" s="47"/>
      <c r="AG324" s="47"/>
      <c r="AH324" s="47"/>
      <c r="AI324" s="47"/>
      <c r="AJ324" s="47"/>
      <c r="AK324" s="47"/>
      <c r="AL324" s="47"/>
      <c r="AM324" s="47"/>
      <c r="AN324" s="47"/>
      <c r="AO324" s="47"/>
      <c r="AP324" s="47"/>
      <c r="AQ324" s="47"/>
      <c r="AR324" s="47"/>
      <c r="AS324" s="47"/>
      <c r="AT324" s="47"/>
      <c r="AU324" s="47"/>
      <c r="AV324" s="47"/>
      <c r="AW324" s="47"/>
      <c r="AX324" s="47"/>
      <c r="AY324" s="47"/>
      <c r="AZ324" s="47"/>
      <c r="BA324" s="47"/>
    </row>
    <row r="325" spans="3:53"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  <c r="AC325" s="47"/>
      <c r="AD325" s="47"/>
      <c r="AE325" s="47"/>
      <c r="AF325" s="47"/>
      <c r="AG325" s="47"/>
      <c r="AH325" s="47"/>
      <c r="AI325" s="47"/>
      <c r="AJ325" s="47"/>
      <c r="AK325" s="47"/>
      <c r="AL325" s="47"/>
      <c r="AM325" s="47"/>
      <c r="AN325" s="47"/>
      <c r="AO325" s="47"/>
      <c r="AP325" s="47"/>
      <c r="AQ325" s="47"/>
      <c r="AR325" s="47"/>
      <c r="AS325" s="47"/>
      <c r="AT325" s="47"/>
      <c r="AU325" s="47"/>
      <c r="AV325" s="47"/>
      <c r="AW325" s="47"/>
      <c r="AX325" s="47"/>
      <c r="AY325" s="47"/>
      <c r="AZ325" s="47"/>
      <c r="BA325" s="47"/>
    </row>
    <row r="326" spans="3:53"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  <c r="AC326" s="47"/>
      <c r="AD326" s="47"/>
      <c r="AE326" s="47"/>
      <c r="AF326" s="47"/>
      <c r="AG326" s="47"/>
      <c r="AH326" s="47"/>
      <c r="AI326" s="47"/>
      <c r="AJ326" s="47"/>
      <c r="AK326" s="47"/>
      <c r="AL326" s="47"/>
      <c r="AM326" s="47"/>
      <c r="AN326" s="47"/>
      <c r="AO326" s="47"/>
      <c r="AP326" s="47"/>
      <c r="AQ326" s="47"/>
      <c r="AR326" s="47"/>
      <c r="AS326" s="47"/>
      <c r="AT326" s="47"/>
      <c r="AU326" s="47"/>
      <c r="AV326" s="47"/>
      <c r="AW326" s="47"/>
      <c r="AX326" s="47"/>
      <c r="AY326" s="47"/>
      <c r="AZ326" s="47"/>
      <c r="BA326" s="47"/>
    </row>
    <row r="327" spans="3:53"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  <c r="AC327" s="47"/>
      <c r="AD327" s="47"/>
      <c r="AE327" s="47"/>
      <c r="AF327" s="47"/>
      <c r="AG327" s="47"/>
      <c r="AH327" s="47"/>
      <c r="AI327" s="47"/>
      <c r="AJ327" s="47"/>
      <c r="AK327" s="47"/>
      <c r="AL327" s="47"/>
      <c r="AM327" s="47"/>
      <c r="AN327" s="47"/>
      <c r="AO327" s="47"/>
      <c r="AP327" s="47"/>
      <c r="AQ327" s="47"/>
      <c r="AR327" s="47"/>
      <c r="AS327" s="47"/>
      <c r="AT327" s="47"/>
      <c r="AU327" s="47"/>
      <c r="AV327" s="47"/>
      <c r="AW327" s="47"/>
      <c r="AX327" s="47"/>
      <c r="AY327" s="47"/>
      <c r="AZ327" s="47"/>
      <c r="BA327" s="47"/>
    </row>
    <row r="328" spans="3:53"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  <c r="AC328" s="47"/>
      <c r="AD328" s="47"/>
      <c r="AE328" s="47"/>
      <c r="AF328" s="47"/>
      <c r="AG328" s="47"/>
      <c r="AH328" s="47"/>
      <c r="AI328" s="47"/>
      <c r="AJ328" s="47"/>
      <c r="AK328" s="47"/>
      <c r="AL328" s="47"/>
      <c r="AM328" s="47"/>
      <c r="AN328" s="47"/>
      <c r="AO328" s="47"/>
      <c r="AP328" s="47"/>
      <c r="AQ328" s="47"/>
      <c r="AR328" s="47"/>
      <c r="AS328" s="47"/>
      <c r="AT328" s="47"/>
      <c r="AU328" s="47"/>
      <c r="AV328" s="47"/>
      <c r="AW328" s="47"/>
      <c r="AX328" s="47"/>
      <c r="AY328" s="47"/>
      <c r="AZ328" s="47"/>
      <c r="BA328" s="47"/>
    </row>
    <row r="329" spans="3:53"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  <c r="AC329" s="47"/>
      <c r="AD329" s="47"/>
      <c r="AE329" s="47"/>
      <c r="AF329" s="47"/>
      <c r="AG329" s="47"/>
      <c r="AH329" s="47"/>
      <c r="AI329" s="47"/>
      <c r="AJ329" s="47"/>
      <c r="AK329" s="47"/>
      <c r="AL329" s="47"/>
      <c r="AM329" s="47"/>
      <c r="AN329" s="47"/>
      <c r="AO329" s="47"/>
      <c r="AP329" s="47"/>
      <c r="AQ329" s="47"/>
      <c r="AR329" s="47"/>
      <c r="AS329" s="47"/>
      <c r="AT329" s="47"/>
      <c r="AU329" s="47"/>
      <c r="AV329" s="47"/>
      <c r="AW329" s="47"/>
      <c r="AX329" s="47"/>
      <c r="AY329" s="47"/>
      <c r="AZ329" s="47"/>
      <c r="BA329" s="47"/>
    </row>
    <row r="330" spans="3:53"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  <c r="AC330" s="47"/>
      <c r="AD330" s="47"/>
      <c r="AE330" s="47"/>
      <c r="AF330" s="47"/>
      <c r="AG330" s="47"/>
      <c r="AH330" s="47"/>
      <c r="AI330" s="47"/>
      <c r="AJ330" s="47"/>
      <c r="AK330" s="47"/>
      <c r="AL330" s="47"/>
      <c r="AM330" s="47"/>
      <c r="AN330" s="47"/>
      <c r="AO330" s="47"/>
      <c r="AP330" s="47"/>
      <c r="AQ330" s="47"/>
      <c r="AR330" s="47"/>
      <c r="AS330" s="47"/>
      <c r="AT330" s="47"/>
      <c r="AU330" s="47"/>
      <c r="AV330" s="47"/>
      <c r="AW330" s="47"/>
      <c r="AX330" s="47"/>
      <c r="AY330" s="47"/>
      <c r="AZ330" s="47"/>
      <c r="BA330" s="47"/>
    </row>
    <row r="331" spans="3:53"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  <c r="AC331" s="47"/>
      <c r="AD331" s="47"/>
      <c r="AE331" s="47"/>
      <c r="AF331" s="47"/>
      <c r="AG331" s="47"/>
      <c r="AH331" s="47"/>
      <c r="AI331" s="47"/>
      <c r="AJ331" s="47"/>
      <c r="AK331" s="47"/>
      <c r="AL331" s="47"/>
      <c r="AM331" s="47"/>
      <c r="AN331" s="47"/>
      <c r="AO331" s="47"/>
      <c r="AP331" s="47"/>
      <c r="AQ331" s="47"/>
      <c r="AR331" s="47"/>
      <c r="AS331" s="47"/>
      <c r="AT331" s="47"/>
      <c r="AU331" s="47"/>
      <c r="AV331" s="47"/>
      <c r="AW331" s="47"/>
      <c r="AX331" s="47"/>
      <c r="AY331" s="47"/>
      <c r="AZ331" s="47"/>
      <c r="BA331" s="47"/>
    </row>
    <row r="332" spans="3:53"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  <c r="AC332" s="47"/>
      <c r="AD332" s="47"/>
      <c r="AE332" s="47"/>
      <c r="AF332" s="47"/>
      <c r="AG332" s="47"/>
      <c r="AH332" s="47"/>
      <c r="AI332" s="47"/>
      <c r="AJ332" s="47"/>
      <c r="AK332" s="47"/>
      <c r="AL332" s="47"/>
      <c r="AM332" s="47"/>
      <c r="AN332" s="47"/>
      <c r="AO332" s="47"/>
      <c r="AP332" s="47"/>
      <c r="AQ332" s="47"/>
      <c r="AR332" s="47"/>
      <c r="AS332" s="47"/>
      <c r="AT332" s="47"/>
      <c r="AU332" s="47"/>
      <c r="AV332" s="47"/>
      <c r="AW332" s="47"/>
      <c r="AX332" s="47"/>
      <c r="AY332" s="47"/>
      <c r="AZ332" s="47"/>
      <c r="BA332" s="47"/>
    </row>
    <row r="333" spans="3:53"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  <c r="AC333" s="47"/>
      <c r="AD333" s="47"/>
      <c r="AE333" s="47"/>
      <c r="AF333" s="47"/>
      <c r="AG333" s="47"/>
      <c r="AH333" s="47"/>
      <c r="AI333" s="47"/>
      <c r="AJ333" s="47"/>
      <c r="AK333" s="47"/>
      <c r="AL333" s="47"/>
      <c r="AM333" s="47"/>
      <c r="AN333" s="47"/>
      <c r="AO333" s="47"/>
      <c r="AP333" s="47"/>
      <c r="AQ333" s="47"/>
      <c r="AR333" s="47"/>
      <c r="AS333" s="47"/>
      <c r="AT333" s="47"/>
      <c r="AU333" s="47"/>
      <c r="AV333" s="47"/>
      <c r="AW333" s="47"/>
      <c r="AX333" s="47"/>
      <c r="AY333" s="47"/>
      <c r="AZ333" s="47"/>
      <c r="BA333" s="47"/>
    </row>
    <row r="334" spans="3:53"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  <c r="AC334" s="47"/>
      <c r="AD334" s="47"/>
      <c r="AE334" s="47"/>
      <c r="AF334" s="47"/>
      <c r="AG334" s="47"/>
      <c r="AH334" s="47"/>
      <c r="AI334" s="47"/>
      <c r="AJ334" s="47"/>
      <c r="AK334" s="47"/>
      <c r="AL334" s="47"/>
      <c r="AM334" s="47"/>
      <c r="AN334" s="47"/>
      <c r="AO334" s="47"/>
      <c r="AP334" s="47"/>
      <c r="AQ334" s="47"/>
      <c r="AR334" s="47"/>
      <c r="AS334" s="47"/>
      <c r="AT334" s="47"/>
      <c r="AU334" s="47"/>
      <c r="AV334" s="47"/>
      <c r="AW334" s="47"/>
      <c r="AX334" s="47"/>
      <c r="AY334" s="47"/>
      <c r="AZ334" s="47"/>
      <c r="BA334" s="47"/>
    </row>
    <row r="335" spans="3:53"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  <c r="AC335" s="47"/>
      <c r="AD335" s="47"/>
      <c r="AE335" s="47"/>
      <c r="AF335" s="47"/>
      <c r="AG335" s="47"/>
      <c r="AH335" s="47"/>
      <c r="AI335" s="47"/>
      <c r="AJ335" s="47"/>
      <c r="AK335" s="47"/>
      <c r="AL335" s="47"/>
      <c r="AM335" s="47"/>
      <c r="AN335" s="47"/>
      <c r="AO335" s="47"/>
      <c r="AP335" s="47"/>
      <c r="AQ335" s="47"/>
      <c r="AR335" s="47"/>
      <c r="AS335" s="47"/>
      <c r="AT335" s="47"/>
      <c r="AU335" s="47"/>
      <c r="AV335" s="47"/>
      <c r="AW335" s="47"/>
      <c r="AX335" s="47"/>
      <c r="AY335" s="47"/>
      <c r="AZ335" s="47"/>
      <c r="BA335" s="47"/>
    </row>
    <row r="336" spans="3:53"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  <c r="AC336" s="47"/>
      <c r="AD336" s="47"/>
      <c r="AE336" s="47"/>
      <c r="AF336" s="47"/>
      <c r="AG336" s="47"/>
      <c r="AH336" s="47"/>
      <c r="AI336" s="47"/>
      <c r="AJ336" s="47"/>
      <c r="AK336" s="47"/>
      <c r="AL336" s="47"/>
      <c r="AM336" s="47"/>
      <c r="AN336" s="47"/>
      <c r="AO336" s="47"/>
      <c r="AP336" s="47"/>
      <c r="AQ336" s="47"/>
      <c r="AR336" s="47"/>
      <c r="AS336" s="47"/>
      <c r="AT336" s="47"/>
      <c r="AU336" s="47"/>
      <c r="AV336" s="47"/>
      <c r="AW336" s="47"/>
      <c r="AX336" s="47"/>
      <c r="AY336" s="47"/>
      <c r="AZ336" s="47"/>
      <c r="BA336" s="47"/>
    </row>
    <row r="337" spans="3:53"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  <c r="AC337" s="47"/>
      <c r="AD337" s="47"/>
      <c r="AE337" s="47"/>
      <c r="AF337" s="47"/>
      <c r="AG337" s="47"/>
      <c r="AH337" s="47"/>
      <c r="AI337" s="47"/>
      <c r="AJ337" s="47"/>
      <c r="AK337" s="47"/>
      <c r="AL337" s="47"/>
      <c r="AM337" s="47"/>
      <c r="AN337" s="47"/>
      <c r="AO337" s="47"/>
      <c r="AP337" s="47"/>
      <c r="AQ337" s="47"/>
      <c r="AR337" s="47"/>
      <c r="AS337" s="47"/>
      <c r="AT337" s="47"/>
      <c r="AU337" s="47"/>
      <c r="AV337" s="47"/>
      <c r="AW337" s="47"/>
      <c r="AX337" s="47"/>
      <c r="AY337" s="47"/>
      <c r="AZ337" s="47"/>
      <c r="BA337" s="47"/>
    </row>
    <row r="338" spans="3:53"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  <c r="AC338" s="47"/>
      <c r="AD338" s="47"/>
      <c r="AE338" s="47"/>
      <c r="AF338" s="47"/>
      <c r="AG338" s="47"/>
      <c r="AH338" s="47"/>
      <c r="AI338" s="47"/>
      <c r="AJ338" s="47"/>
      <c r="AK338" s="47"/>
      <c r="AL338" s="47"/>
      <c r="AM338" s="47"/>
      <c r="AN338" s="47"/>
      <c r="AO338" s="47"/>
      <c r="AP338" s="47"/>
      <c r="AQ338" s="47"/>
      <c r="AR338" s="47"/>
      <c r="AS338" s="47"/>
      <c r="AT338" s="47"/>
      <c r="AU338" s="47"/>
      <c r="AV338" s="47"/>
      <c r="AW338" s="47"/>
      <c r="AX338" s="47"/>
      <c r="AY338" s="47"/>
      <c r="AZ338" s="47"/>
      <c r="BA338" s="47"/>
    </row>
    <row r="339" spans="3:53"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  <c r="AC339" s="47"/>
      <c r="AD339" s="47"/>
      <c r="AE339" s="47"/>
      <c r="AF339" s="47"/>
      <c r="AG339" s="47"/>
      <c r="AH339" s="47"/>
      <c r="AI339" s="47"/>
      <c r="AJ339" s="47"/>
      <c r="AK339" s="47"/>
      <c r="AL339" s="47"/>
      <c r="AM339" s="47"/>
      <c r="AN339" s="47"/>
      <c r="AO339" s="47"/>
      <c r="AP339" s="47"/>
      <c r="AQ339" s="47"/>
      <c r="AR339" s="47"/>
      <c r="AS339" s="47"/>
      <c r="AT339" s="47"/>
      <c r="AU339" s="47"/>
      <c r="AV339" s="47"/>
      <c r="AW339" s="47"/>
      <c r="AX339" s="47"/>
      <c r="AY339" s="47"/>
      <c r="AZ339" s="47"/>
      <c r="BA339" s="47"/>
    </row>
    <row r="340" spans="3:53"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  <c r="AC340" s="47"/>
      <c r="AD340" s="47"/>
      <c r="AE340" s="47"/>
      <c r="AF340" s="47"/>
      <c r="AG340" s="47"/>
      <c r="AH340" s="47"/>
      <c r="AI340" s="47"/>
      <c r="AJ340" s="47"/>
      <c r="AK340" s="47"/>
      <c r="AL340" s="47"/>
      <c r="AM340" s="47"/>
      <c r="AN340" s="47"/>
      <c r="AO340" s="47"/>
      <c r="AP340" s="47"/>
      <c r="AQ340" s="47"/>
      <c r="AR340" s="47"/>
      <c r="AS340" s="47"/>
      <c r="AT340" s="47"/>
      <c r="AU340" s="47"/>
      <c r="AV340" s="47"/>
      <c r="AW340" s="47"/>
      <c r="AX340" s="47"/>
      <c r="AY340" s="47"/>
      <c r="AZ340" s="47"/>
      <c r="BA340" s="47"/>
    </row>
    <row r="341" spans="3:53"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  <c r="AC341" s="47"/>
      <c r="AD341" s="47"/>
      <c r="AE341" s="47"/>
      <c r="AF341" s="47"/>
      <c r="AG341" s="47"/>
      <c r="AH341" s="47"/>
      <c r="AI341" s="47"/>
      <c r="AJ341" s="47"/>
      <c r="AK341" s="47"/>
      <c r="AL341" s="47"/>
      <c r="AM341" s="47"/>
      <c r="AN341" s="47"/>
      <c r="AO341" s="47"/>
      <c r="AP341" s="47"/>
      <c r="AQ341" s="47"/>
      <c r="AR341" s="47"/>
      <c r="AS341" s="47"/>
      <c r="AT341" s="47"/>
      <c r="AU341" s="47"/>
      <c r="AV341" s="47"/>
      <c r="AW341" s="47"/>
      <c r="AX341" s="47"/>
      <c r="AY341" s="47"/>
      <c r="AZ341" s="47"/>
      <c r="BA341" s="47"/>
    </row>
    <row r="342" spans="3:53"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  <c r="AC342" s="47"/>
      <c r="AD342" s="47"/>
      <c r="AE342" s="47"/>
      <c r="AF342" s="47"/>
      <c r="AG342" s="47"/>
      <c r="AH342" s="47"/>
      <c r="AI342" s="47"/>
      <c r="AJ342" s="47"/>
      <c r="AK342" s="47"/>
      <c r="AL342" s="47"/>
      <c r="AM342" s="47"/>
      <c r="AN342" s="47"/>
      <c r="AO342" s="47"/>
      <c r="AP342" s="47"/>
      <c r="AQ342" s="47"/>
      <c r="AR342" s="47"/>
      <c r="AS342" s="47"/>
      <c r="AT342" s="47"/>
      <c r="AU342" s="47"/>
      <c r="AV342" s="47"/>
      <c r="AW342" s="47"/>
      <c r="AX342" s="47"/>
      <c r="AY342" s="47"/>
      <c r="AZ342" s="47"/>
      <c r="BA342" s="47"/>
    </row>
    <row r="343" spans="3:53"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  <c r="AC343" s="47"/>
      <c r="AD343" s="47"/>
      <c r="AE343" s="47"/>
      <c r="AF343" s="47"/>
      <c r="AG343" s="47"/>
      <c r="AH343" s="47"/>
      <c r="AI343" s="47"/>
      <c r="AJ343" s="47"/>
      <c r="AK343" s="47"/>
      <c r="AL343" s="47"/>
      <c r="AM343" s="47"/>
      <c r="AN343" s="47"/>
      <c r="AO343" s="47"/>
      <c r="AP343" s="47"/>
      <c r="AQ343" s="47"/>
      <c r="AR343" s="47"/>
      <c r="AS343" s="47"/>
      <c r="AT343" s="47"/>
      <c r="AU343" s="47"/>
      <c r="AV343" s="47"/>
      <c r="AW343" s="47"/>
      <c r="AX343" s="47"/>
      <c r="AY343" s="47"/>
      <c r="AZ343" s="47"/>
      <c r="BA343" s="47"/>
    </row>
    <row r="344" spans="3:53"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  <c r="AC344" s="47"/>
      <c r="AD344" s="47"/>
      <c r="AE344" s="47"/>
      <c r="AF344" s="47"/>
      <c r="AG344" s="47"/>
      <c r="AH344" s="47"/>
      <c r="AI344" s="47"/>
      <c r="AJ344" s="47"/>
      <c r="AK344" s="47"/>
      <c r="AL344" s="47"/>
      <c r="AM344" s="47"/>
      <c r="AN344" s="47"/>
      <c r="AO344" s="47"/>
      <c r="AP344" s="47"/>
      <c r="AQ344" s="47"/>
      <c r="AR344" s="47"/>
      <c r="AS344" s="47"/>
      <c r="AT344" s="47"/>
      <c r="AU344" s="47"/>
      <c r="AV344" s="47"/>
      <c r="AW344" s="47"/>
      <c r="AX344" s="47"/>
      <c r="AY344" s="47"/>
      <c r="AZ344" s="47"/>
      <c r="BA344" s="47"/>
    </row>
    <row r="345" spans="3:53"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  <c r="AC345" s="47"/>
      <c r="AD345" s="47"/>
      <c r="AE345" s="47"/>
      <c r="AF345" s="47"/>
      <c r="AG345" s="47"/>
      <c r="AH345" s="47"/>
      <c r="AI345" s="47"/>
      <c r="AJ345" s="47"/>
      <c r="AK345" s="47"/>
      <c r="AL345" s="47"/>
      <c r="AM345" s="47"/>
      <c r="AN345" s="47"/>
      <c r="AO345" s="47"/>
      <c r="AP345" s="47"/>
      <c r="AQ345" s="47"/>
      <c r="AR345" s="47"/>
      <c r="AS345" s="47"/>
      <c r="AT345" s="47"/>
      <c r="AU345" s="47"/>
      <c r="AV345" s="47"/>
      <c r="AW345" s="47"/>
      <c r="AX345" s="47"/>
      <c r="AY345" s="47"/>
      <c r="AZ345" s="47"/>
      <c r="BA345" s="47"/>
    </row>
    <row r="346" spans="3:53"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  <c r="AC346" s="47"/>
      <c r="AD346" s="47"/>
      <c r="AE346" s="47"/>
      <c r="AF346" s="47"/>
      <c r="AG346" s="47"/>
      <c r="AH346" s="47"/>
      <c r="AI346" s="47"/>
      <c r="AJ346" s="47"/>
      <c r="AK346" s="47"/>
      <c r="AL346" s="47"/>
      <c r="AM346" s="47"/>
      <c r="AN346" s="47"/>
      <c r="AO346" s="47"/>
      <c r="AP346" s="47"/>
      <c r="AQ346" s="47"/>
      <c r="AR346" s="47"/>
      <c r="AS346" s="47"/>
      <c r="AT346" s="47"/>
      <c r="AU346" s="47"/>
      <c r="AV346" s="47"/>
      <c r="AW346" s="47"/>
      <c r="AX346" s="47"/>
      <c r="AY346" s="47"/>
      <c r="AZ346" s="47"/>
      <c r="BA346" s="47"/>
    </row>
    <row r="347" spans="3:53"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  <c r="AC347" s="47"/>
      <c r="AD347" s="47"/>
      <c r="AE347" s="47"/>
      <c r="AF347" s="47"/>
      <c r="AG347" s="47"/>
      <c r="AH347" s="47"/>
      <c r="AI347" s="47"/>
      <c r="AJ347" s="47"/>
      <c r="AK347" s="47"/>
      <c r="AL347" s="47"/>
      <c r="AM347" s="47"/>
      <c r="AN347" s="47"/>
      <c r="AO347" s="47"/>
      <c r="AP347" s="47"/>
      <c r="AQ347" s="47"/>
      <c r="AR347" s="47"/>
      <c r="AS347" s="47"/>
      <c r="AT347" s="47"/>
      <c r="AU347" s="47"/>
      <c r="AV347" s="47"/>
      <c r="AW347" s="47"/>
      <c r="AX347" s="47"/>
      <c r="AY347" s="47"/>
      <c r="AZ347" s="47"/>
      <c r="BA347" s="47"/>
    </row>
    <row r="348" spans="3:53"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7"/>
      <c r="AD348" s="47"/>
      <c r="AE348" s="47"/>
      <c r="AF348" s="47"/>
      <c r="AG348" s="47"/>
      <c r="AH348" s="47"/>
      <c r="AI348" s="47"/>
      <c r="AJ348" s="47"/>
      <c r="AK348" s="47"/>
      <c r="AL348" s="47"/>
      <c r="AM348" s="47"/>
      <c r="AN348" s="47"/>
      <c r="AO348" s="47"/>
      <c r="AP348" s="47"/>
      <c r="AQ348" s="47"/>
      <c r="AR348" s="47"/>
      <c r="AS348" s="47"/>
      <c r="AT348" s="47"/>
      <c r="AU348" s="47"/>
      <c r="AV348" s="47"/>
      <c r="AW348" s="47"/>
      <c r="AX348" s="47"/>
      <c r="AY348" s="47"/>
      <c r="AZ348" s="47"/>
      <c r="BA348" s="47"/>
    </row>
    <row r="349" spans="3:53"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  <c r="AC349" s="47"/>
      <c r="AD349" s="47"/>
      <c r="AE349" s="47"/>
      <c r="AF349" s="47"/>
      <c r="AG349" s="47"/>
      <c r="AH349" s="47"/>
      <c r="AI349" s="47"/>
      <c r="AJ349" s="47"/>
      <c r="AK349" s="47"/>
      <c r="AL349" s="47"/>
      <c r="AM349" s="47"/>
      <c r="AN349" s="47"/>
      <c r="AO349" s="47"/>
      <c r="AP349" s="47"/>
      <c r="AQ349" s="47"/>
      <c r="AR349" s="47"/>
      <c r="AS349" s="47"/>
      <c r="AT349" s="47"/>
      <c r="AU349" s="47"/>
      <c r="AV349" s="47"/>
      <c r="AW349" s="47"/>
      <c r="AX349" s="47"/>
      <c r="AY349" s="47"/>
      <c r="AZ349" s="47"/>
      <c r="BA349" s="47"/>
    </row>
    <row r="350" spans="3:53"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  <c r="AC350" s="47"/>
      <c r="AD350" s="47"/>
      <c r="AE350" s="47"/>
      <c r="AF350" s="47"/>
      <c r="AG350" s="47"/>
      <c r="AH350" s="47"/>
      <c r="AI350" s="47"/>
      <c r="AJ350" s="47"/>
      <c r="AK350" s="47"/>
      <c r="AL350" s="47"/>
      <c r="AM350" s="47"/>
      <c r="AN350" s="47"/>
      <c r="AO350" s="47"/>
      <c r="AP350" s="47"/>
      <c r="AQ350" s="47"/>
      <c r="AR350" s="47"/>
      <c r="AS350" s="47"/>
      <c r="AT350" s="47"/>
      <c r="AU350" s="47"/>
      <c r="AV350" s="47"/>
      <c r="AW350" s="47"/>
      <c r="AX350" s="47"/>
      <c r="AY350" s="47"/>
      <c r="AZ350" s="47"/>
      <c r="BA350" s="47"/>
    </row>
    <row r="351" spans="3:53"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  <c r="AC351" s="47"/>
      <c r="AD351" s="47"/>
      <c r="AE351" s="47"/>
      <c r="AF351" s="47"/>
      <c r="AG351" s="47"/>
      <c r="AH351" s="47"/>
      <c r="AI351" s="47"/>
      <c r="AJ351" s="47"/>
      <c r="AK351" s="47"/>
      <c r="AL351" s="47"/>
      <c r="AM351" s="47"/>
      <c r="AN351" s="47"/>
      <c r="AO351" s="47"/>
      <c r="AP351" s="47"/>
      <c r="AQ351" s="47"/>
      <c r="AR351" s="47"/>
      <c r="AS351" s="47"/>
      <c r="AT351" s="47"/>
      <c r="AU351" s="47"/>
      <c r="AV351" s="47"/>
      <c r="AW351" s="47"/>
      <c r="AX351" s="47"/>
      <c r="AY351" s="47"/>
      <c r="AZ351" s="47"/>
      <c r="BA351" s="47"/>
    </row>
    <row r="352" spans="3:53"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  <c r="AC352" s="47"/>
      <c r="AD352" s="47"/>
      <c r="AE352" s="47"/>
      <c r="AF352" s="47"/>
      <c r="AG352" s="47"/>
      <c r="AH352" s="47"/>
      <c r="AI352" s="47"/>
      <c r="AJ352" s="47"/>
      <c r="AK352" s="47"/>
      <c r="AL352" s="47"/>
      <c r="AM352" s="47"/>
      <c r="AN352" s="47"/>
      <c r="AO352" s="47"/>
      <c r="AP352" s="47"/>
      <c r="AQ352" s="47"/>
      <c r="AR352" s="47"/>
      <c r="AS352" s="47"/>
      <c r="AT352" s="47"/>
      <c r="AU352" s="47"/>
      <c r="AV352" s="47"/>
      <c r="AW352" s="47"/>
      <c r="AX352" s="47"/>
      <c r="AY352" s="47"/>
      <c r="AZ352" s="47"/>
      <c r="BA352" s="47"/>
    </row>
    <row r="353" spans="3:53"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/>
      <c r="AD353" s="47"/>
      <c r="AE353" s="47"/>
      <c r="AF353" s="47"/>
      <c r="AG353" s="47"/>
      <c r="AH353" s="47"/>
      <c r="AI353" s="47"/>
      <c r="AJ353" s="47"/>
      <c r="AK353" s="47"/>
      <c r="AL353" s="47"/>
      <c r="AM353" s="47"/>
      <c r="AN353" s="47"/>
      <c r="AO353" s="47"/>
      <c r="AP353" s="47"/>
      <c r="AQ353" s="47"/>
      <c r="AR353" s="47"/>
      <c r="AS353" s="47"/>
      <c r="AT353" s="47"/>
      <c r="AU353" s="47"/>
      <c r="AV353" s="47"/>
      <c r="AW353" s="47"/>
      <c r="AX353" s="47"/>
      <c r="AY353" s="47"/>
      <c r="AZ353" s="47"/>
      <c r="BA353" s="47"/>
    </row>
    <row r="354" spans="3:53"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47"/>
      <c r="AD354" s="47"/>
      <c r="AE354" s="47"/>
      <c r="AF354" s="47"/>
      <c r="AG354" s="47"/>
      <c r="AH354" s="47"/>
      <c r="AI354" s="47"/>
      <c r="AJ354" s="47"/>
      <c r="AK354" s="47"/>
      <c r="AL354" s="47"/>
      <c r="AM354" s="47"/>
      <c r="AN354" s="47"/>
      <c r="AO354" s="47"/>
      <c r="AP354" s="47"/>
      <c r="AQ354" s="47"/>
      <c r="AR354" s="47"/>
      <c r="AS354" s="47"/>
      <c r="AT354" s="47"/>
      <c r="AU354" s="47"/>
      <c r="AV354" s="47"/>
      <c r="AW354" s="47"/>
      <c r="AX354" s="47"/>
      <c r="AY354" s="47"/>
      <c r="AZ354" s="47"/>
      <c r="BA354" s="47"/>
    </row>
    <row r="355" spans="3:53"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  <c r="AC355" s="47"/>
      <c r="AD355" s="47"/>
      <c r="AE355" s="47"/>
      <c r="AF355" s="47"/>
      <c r="AG355" s="47"/>
      <c r="AH355" s="47"/>
      <c r="AI355" s="47"/>
      <c r="AJ355" s="47"/>
      <c r="AK355" s="47"/>
      <c r="AL355" s="47"/>
      <c r="AM355" s="47"/>
      <c r="AN355" s="47"/>
      <c r="AO355" s="47"/>
      <c r="AP355" s="47"/>
      <c r="AQ355" s="47"/>
      <c r="AR355" s="47"/>
      <c r="AS355" s="47"/>
      <c r="AT355" s="47"/>
      <c r="AU355" s="47"/>
      <c r="AV355" s="47"/>
      <c r="AW355" s="47"/>
      <c r="AX355" s="47"/>
      <c r="AY355" s="47"/>
      <c r="AZ355" s="47"/>
      <c r="BA355" s="47"/>
    </row>
    <row r="356" spans="3:53"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  <c r="AC356" s="47"/>
      <c r="AD356" s="47"/>
      <c r="AE356" s="47"/>
      <c r="AF356" s="47"/>
      <c r="AG356" s="47"/>
      <c r="AH356" s="47"/>
      <c r="AI356" s="47"/>
      <c r="AJ356" s="47"/>
      <c r="AK356" s="47"/>
      <c r="AL356" s="47"/>
      <c r="AM356" s="47"/>
      <c r="AN356" s="47"/>
      <c r="AO356" s="47"/>
      <c r="AP356" s="47"/>
      <c r="AQ356" s="47"/>
      <c r="AR356" s="47"/>
      <c r="AS356" s="47"/>
      <c r="AT356" s="47"/>
      <c r="AU356" s="47"/>
      <c r="AV356" s="47"/>
      <c r="AW356" s="47"/>
      <c r="AX356" s="47"/>
      <c r="AY356" s="47"/>
      <c r="AZ356" s="47"/>
      <c r="BA356" s="47"/>
    </row>
    <row r="357" spans="3:53"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  <c r="AC357" s="47"/>
      <c r="AD357" s="47"/>
      <c r="AE357" s="47"/>
      <c r="AF357" s="47"/>
      <c r="AG357" s="47"/>
      <c r="AH357" s="47"/>
      <c r="AI357" s="47"/>
      <c r="AJ357" s="47"/>
      <c r="AK357" s="47"/>
      <c r="AL357" s="47"/>
      <c r="AM357" s="47"/>
      <c r="AN357" s="47"/>
      <c r="AO357" s="47"/>
      <c r="AP357" s="47"/>
      <c r="AQ357" s="47"/>
      <c r="AR357" s="47"/>
      <c r="AS357" s="47"/>
      <c r="AT357" s="47"/>
      <c r="AU357" s="47"/>
      <c r="AV357" s="47"/>
      <c r="AW357" s="47"/>
      <c r="AX357" s="47"/>
      <c r="AY357" s="47"/>
      <c r="AZ357" s="47"/>
      <c r="BA357" s="47"/>
    </row>
    <row r="358" spans="3:53"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  <c r="AD358" s="47"/>
      <c r="AE358" s="47"/>
      <c r="AF358" s="47"/>
      <c r="AG358" s="47"/>
      <c r="AH358" s="47"/>
      <c r="AI358" s="47"/>
      <c r="AJ358" s="47"/>
      <c r="AK358" s="47"/>
      <c r="AL358" s="47"/>
      <c r="AM358" s="47"/>
      <c r="AN358" s="47"/>
      <c r="AO358" s="47"/>
      <c r="AP358" s="47"/>
      <c r="AQ358" s="47"/>
      <c r="AR358" s="47"/>
      <c r="AS358" s="47"/>
      <c r="AT358" s="47"/>
      <c r="AU358" s="47"/>
      <c r="AV358" s="47"/>
      <c r="AW358" s="47"/>
      <c r="AX358" s="47"/>
      <c r="AY358" s="47"/>
      <c r="AZ358" s="47"/>
      <c r="BA358" s="47"/>
    </row>
    <row r="359" spans="3:53"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  <c r="AD359" s="47"/>
      <c r="AE359" s="47"/>
      <c r="AF359" s="47"/>
      <c r="AG359" s="47"/>
      <c r="AH359" s="47"/>
      <c r="AI359" s="47"/>
      <c r="AJ359" s="47"/>
      <c r="AK359" s="47"/>
      <c r="AL359" s="47"/>
      <c r="AM359" s="47"/>
      <c r="AN359" s="47"/>
      <c r="AO359" s="47"/>
      <c r="AP359" s="47"/>
      <c r="AQ359" s="47"/>
      <c r="AR359" s="47"/>
      <c r="AS359" s="47"/>
      <c r="AT359" s="47"/>
      <c r="AU359" s="47"/>
      <c r="AV359" s="47"/>
      <c r="AW359" s="47"/>
      <c r="AX359" s="47"/>
      <c r="AY359" s="47"/>
      <c r="AZ359" s="47"/>
      <c r="BA359" s="47"/>
    </row>
    <row r="360" spans="3:53"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47"/>
      <c r="AD360" s="47"/>
      <c r="AE360" s="47"/>
      <c r="AF360" s="47"/>
      <c r="AG360" s="47"/>
      <c r="AH360" s="47"/>
      <c r="AI360" s="47"/>
      <c r="AJ360" s="47"/>
      <c r="AK360" s="47"/>
      <c r="AL360" s="47"/>
      <c r="AM360" s="47"/>
      <c r="AN360" s="47"/>
      <c r="AO360" s="47"/>
      <c r="AP360" s="47"/>
      <c r="AQ360" s="47"/>
      <c r="AR360" s="47"/>
      <c r="AS360" s="47"/>
      <c r="AT360" s="47"/>
      <c r="AU360" s="47"/>
      <c r="AV360" s="47"/>
      <c r="AW360" s="47"/>
      <c r="AX360" s="47"/>
      <c r="AY360" s="47"/>
      <c r="AZ360" s="47"/>
      <c r="BA360" s="47"/>
    </row>
    <row r="361" spans="3:53"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/>
      <c r="AD361" s="47"/>
      <c r="AE361" s="47"/>
      <c r="AF361" s="47"/>
      <c r="AG361" s="47"/>
      <c r="AH361" s="47"/>
      <c r="AI361" s="47"/>
      <c r="AJ361" s="47"/>
      <c r="AK361" s="47"/>
      <c r="AL361" s="47"/>
      <c r="AM361" s="47"/>
      <c r="AN361" s="47"/>
      <c r="AO361" s="47"/>
      <c r="AP361" s="47"/>
      <c r="AQ361" s="47"/>
      <c r="AR361" s="47"/>
      <c r="AS361" s="47"/>
      <c r="AT361" s="47"/>
      <c r="AU361" s="47"/>
      <c r="AV361" s="47"/>
      <c r="AW361" s="47"/>
      <c r="AX361" s="47"/>
      <c r="AY361" s="47"/>
      <c r="AZ361" s="47"/>
      <c r="BA361" s="47"/>
    </row>
    <row r="362" spans="3:53"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47"/>
      <c r="AD362" s="47"/>
      <c r="AE362" s="47"/>
      <c r="AF362" s="47"/>
      <c r="AG362" s="47"/>
      <c r="AH362" s="47"/>
      <c r="AI362" s="47"/>
      <c r="AJ362" s="47"/>
      <c r="AK362" s="47"/>
      <c r="AL362" s="47"/>
      <c r="AM362" s="47"/>
      <c r="AN362" s="47"/>
      <c r="AO362" s="47"/>
      <c r="AP362" s="47"/>
      <c r="AQ362" s="47"/>
      <c r="AR362" s="47"/>
      <c r="AS362" s="47"/>
      <c r="AT362" s="47"/>
      <c r="AU362" s="47"/>
      <c r="AV362" s="47"/>
      <c r="AW362" s="47"/>
      <c r="AX362" s="47"/>
      <c r="AY362" s="47"/>
      <c r="AZ362" s="47"/>
      <c r="BA362" s="47"/>
    </row>
    <row r="363" spans="3:53"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/>
      <c r="AD363" s="47"/>
      <c r="AE363" s="47"/>
      <c r="AF363" s="47"/>
      <c r="AG363" s="47"/>
      <c r="AH363" s="47"/>
      <c r="AI363" s="47"/>
      <c r="AJ363" s="47"/>
      <c r="AK363" s="47"/>
      <c r="AL363" s="47"/>
      <c r="AM363" s="47"/>
      <c r="AN363" s="47"/>
      <c r="AO363" s="47"/>
      <c r="AP363" s="47"/>
      <c r="AQ363" s="47"/>
      <c r="AR363" s="47"/>
      <c r="AS363" s="47"/>
      <c r="AT363" s="47"/>
      <c r="AU363" s="47"/>
      <c r="AV363" s="47"/>
      <c r="AW363" s="47"/>
      <c r="AX363" s="47"/>
      <c r="AY363" s="47"/>
      <c r="AZ363" s="47"/>
      <c r="BA363" s="47"/>
    </row>
    <row r="364" spans="3:53"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  <c r="AC364" s="47"/>
      <c r="AD364" s="47"/>
      <c r="AE364" s="47"/>
      <c r="AF364" s="47"/>
      <c r="AG364" s="47"/>
      <c r="AH364" s="47"/>
      <c r="AI364" s="47"/>
      <c r="AJ364" s="47"/>
      <c r="AK364" s="47"/>
      <c r="AL364" s="47"/>
      <c r="AM364" s="47"/>
      <c r="AN364" s="47"/>
      <c r="AO364" s="47"/>
      <c r="AP364" s="47"/>
      <c r="AQ364" s="47"/>
      <c r="AR364" s="47"/>
      <c r="AS364" s="47"/>
      <c r="AT364" s="47"/>
      <c r="AU364" s="47"/>
      <c r="AV364" s="47"/>
      <c r="AW364" s="47"/>
      <c r="AX364" s="47"/>
      <c r="AY364" s="47"/>
      <c r="AZ364" s="47"/>
      <c r="BA364" s="47"/>
    </row>
    <row r="365" spans="3:53"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  <c r="AC365" s="47"/>
      <c r="AD365" s="47"/>
      <c r="AE365" s="47"/>
      <c r="AF365" s="47"/>
      <c r="AG365" s="47"/>
      <c r="AH365" s="47"/>
      <c r="AI365" s="47"/>
      <c r="AJ365" s="47"/>
      <c r="AK365" s="47"/>
      <c r="AL365" s="47"/>
      <c r="AM365" s="47"/>
      <c r="AN365" s="47"/>
      <c r="AO365" s="47"/>
      <c r="AP365" s="47"/>
      <c r="AQ365" s="47"/>
      <c r="AR365" s="47"/>
      <c r="AS365" s="47"/>
      <c r="AT365" s="47"/>
      <c r="AU365" s="47"/>
      <c r="AV365" s="47"/>
      <c r="AW365" s="47"/>
      <c r="AX365" s="47"/>
      <c r="AY365" s="47"/>
      <c r="AZ365" s="47"/>
      <c r="BA365" s="47"/>
    </row>
    <row r="366" spans="3:53"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  <c r="AC366" s="47"/>
      <c r="AD366" s="47"/>
      <c r="AE366" s="47"/>
      <c r="AF366" s="47"/>
      <c r="AG366" s="47"/>
      <c r="AH366" s="47"/>
      <c r="AI366" s="47"/>
      <c r="AJ366" s="47"/>
      <c r="AK366" s="47"/>
      <c r="AL366" s="47"/>
      <c r="AM366" s="47"/>
      <c r="AN366" s="47"/>
      <c r="AO366" s="47"/>
      <c r="AP366" s="47"/>
      <c r="AQ366" s="47"/>
      <c r="AR366" s="47"/>
      <c r="AS366" s="47"/>
      <c r="AT366" s="47"/>
      <c r="AU366" s="47"/>
      <c r="AV366" s="47"/>
      <c r="AW366" s="47"/>
      <c r="AX366" s="47"/>
      <c r="AY366" s="47"/>
      <c r="AZ366" s="47"/>
      <c r="BA366" s="47"/>
    </row>
    <row r="367" spans="3:53"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  <c r="AC367" s="47"/>
      <c r="AD367" s="47"/>
      <c r="AE367" s="47"/>
      <c r="AF367" s="47"/>
      <c r="AG367" s="47"/>
      <c r="AH367" s="47"/>
      <c r="AI367" s="47"/>
      <c r="AJ367" s="47"/>
      <c r="AK367" s="47"/>
      <c r="AL367" s="47"/>
      <c r="AM367" s="47"/>
      <c r="AN367" s="47"/>
      <c r="AO367" s="47"/>
      <c r="AP367" s="47"/>
      <c r="AQ367" s="47"/>
      <c r="AR367" s="47"/>
      <c r="AS367" s="47"/>
      <c r="AT367" s="47"/>
      <c r="AU367" s="47"/>
      <c r="AV367" s="47"/>
      <c r="AW367" s="47"/>
      <c r="AX367" s="47"/>
      <c r="AY367" s="47"/>
      <c r="AZ367" s="47"/>
      <c r="BA367" s="47"/>
    </row>
    <row r="368" spans="3:53"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  <c r="AC368" s="47"/>
      <c r="AD368" s="47"/>
      <c r="AE368" s="47"/>
      <c r="AF368" s="47"/>
      <c r="AG368" s="47"/>
      <c r="AH368" s="47"/>
      <c r="AI368" s="47"/>
      <c r="AJ368" s="47"/>
      <c r="AK368" s="47"/>
      <c r="AL368" s="47"/>
      <c r="AM368" s="47"/>
      <c r="AN368" s="47"/>
      <c r="AO368" s="47"/>
      <c r="AP368" s="47"/>
      <c r="AQ368" s="47"/>
      <c r="AR368" s="47"/>
      <c r="AS368" s="47"/>
      <c r="AT368" s="47"/>
      <c r="AU368" s="47"/>
      <c r="AV368" s="47"/>
      <c r="AW368" s="47"/>
      <c r="AX368" s="47"/>
      <c r="AY368" s="47"/>
      <c r="AZ368" s="47"/>
      <c r="BA368" s="47"/>
    </row>
    <row r="369" spans="3:53"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  <c r="AC369" s="47"/>
      <c r="AD369" s="47"/>
      <c r="AE369" s="47"/>
      <c r="AF369" s="47"/>
      <c r="AG369" s="47"/>
      <c r="AH369" s="47"/>
      <c r="AI369" s="47"/>
      <c r="AJ369" s="47"/>
      <c r="AK369" s="47"/>
      <c r="AL369" s="47"/>
      <c r="AM369" s="47"/>
      <c r="AN369" s="47"/>
      <c r="AO369" s="47"/>
      <c r="AP369" s="47"/>
      <c r="AQ369" s="47"/>
      <c r="AR369" s="47"/>
      <c r="AS369" s="47"/>
      <c r="AT369" s="47"/>
      <c r="AU369" s="47"/>
      <c r="AV369" s="47"/>
      <c r="AW369" s="47"/>
      <c r="AX369" s="47"/>
      <c r="AY369" s="47"/>
      <c r="AZ369" s="47"/>
      <c r="BA369" s="47"/>
    </row>
    <row r="370" spans="3:53"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  <c r="AC370" s="47"/>
      <c r="AD370" s="47"/>
      <c r="AE370" s="47"/>
      <c r="AF370" s="47"/>
      <c r="AG370" s="47"/>
      <c r="AH370" s="47"/>
      <c r="AI370" s="47"/>
      <c r="AJ370" s="47"/>
      <c r="AK370" s="47"/>
      <c r="AL370" s="47"/>
      <c r="AM370" s="47"/>
      <c r="AN370" s="47"/>
      <c r="AO370" s="47"/>
      <c r="AP370" s="47"/>
      <c r="AQ370" s="47"/>
      <c r="AR370" s="47"/>
      <c r="AS370" s="47"/>
      <c r="AT370" s="47"/>
      <c r="AU370" s="47"/>
      <c r="AV370" s="47"/>
      <c r="AW370" s="47"/>
      <c r="AX370" s="47"/>
      <c r="AY370" s="47"/>
      <c r="AZ370" s="47"/>
      <c r="BA370" s="47"/>
    </row>
    <row r="371" spans="3:53"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  <c r="AC371" s="47"/>
      <c r="AD371" s="47"/>
      <c r="AE371" s="47"/>
      <c r="AF371" s="47"/>
      <c r="AG371" s="47"/>
      <c r="AH371" s="47"/>
      <c r="AI371" s="47"/>
      <c r="AJ371" s="47"/>
      <c r="AK371" s="47"/>
      <c r="AL371" s="47"/>
      <c r="AM371" s="47"/>
      <c r="AN371" s="47"/>
      <c r="AO371" s="47"/>
      <c r="AP371" s="47"/>
      <c r="AQ371" s="47"/>
      <c r="AR371" s="47"/>
      <c r="AS371" s="47"/>
      <c r="AT371" s="47"/>
      <c r="AU371" s="47"/>
      <c r="AV371" s="47"/>
      <c r="AW371" s="47"/>
      <c r="AX371" s="47"/>
      <c r="AY371" s="47"/>
      <c r="AZ371" s="47"/>
      <c r="BA371" s="47"/>
    </row>
    <row r="372" spans="3:53"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  <c r="AD372" s="47"/>
      <c r="AE372" s="47"/>
      <c r="AF372" s="47"/>
      <c r="AG372" s="47"/>
      <c r="AH372" s="47"/>
      <c r="AI372" s="47"/>
      <c r="AJ372" s="47"/>
      <c r="AK372" s="47"/>
      <c r="AL372" s="47"/>
      <c r="AM372" s="47"/>
      <c r="AN372" s="47"/>
      <c r="AO372" s="47"/>
      <c r="AP372" s="47"/>
      <c r="AQ372" s="47"/>
      <c r="AR372" s="47"/>
      <c r="AS372" s="47"/>
      <c r="AT372" s="47"/>
      <c r="AU372" s="47"/>
      <c r="AV372" s="47"/>
      <c r="AW372" s="47"/>
      <c r="AX372" s="47"/>
      <c r="AY372" s="47"/>
      <c r="AZ372" s="47"/>
      <c r="BA372" s="47"/>
    </row>
    <row r="373" spans="3:53"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  <c r="AC373" s="47"/>
      <c r="AD373" s="47"/>
      <c r="AE373" s="47"/>
      <c r="AF373" s="47"/>
      <c r="AG373" s="47"/>
      <c r="AH373" s="47"/>
      <c r="AI373" s="47"/>
      <c r="AJ373" s="47"/>
      <c r="AK373" s="47"/>
      <c r="AL373" s="47"/>
      <c r="AM373" s="47"/>
      <c r="AN373" s="47"/>
      <c r="AO373" s="47"/>
      <c r="AP373" s="47"/>
      <c r="AQ373" s="47"/>
      <c r="AR373" s="47"/>
      <c r="AS373" s="47"/>
      <c r="AT373" s="47"/>
      <c r="AU373" s="47"/>
      <c r="AV373" s="47"/>
      <c r="AW373" s="47"/>
      <c r="AX373" s="47"/>
      <c r="AY373" s="47"/>
      <c r="AZ373" s="47"/>
      <c r="BA373" s="47"/>
    </row>
    <row r="374" spans="3:53"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  <c r="AC374" s="47"/>
      <c r="AD374" s="47"/>
      <c r="AE374" s="47"/>
      <c r="AF374" s="47"/>
      <c r="AG374" s="47"/>
      <c r="AH374" s="47"/>
      <c r="AI374" s="47"/>
      <c r="AJ374" s="47"/>
      <c r="AK374" s="47"/>
      <c r="AL374" s="47"/>
      <c r="AM374" s="47"/>
      <c r="AN374" s="47"/>
      <c r="AO374" s="47"/>
      <c r="AP374" s="47"/>
      <c r="AQ374" s="47"/>
      <c r="AR374" s="47"/>
      <c r="AS374" s="47"/>
      <c r="AT374" s="47"/>
      <c r="AU374" s="47"/>
      <c r="AV374" s="47"/>
      <c r="AW374" s="47"/>
      <c r="AX374" s="47"/>
      <c r="AY374" s="47"/>
      <c r="AZ374" s="47"/>
      <c r="BA374" s="47"/>
    </row>
    <row r="375" spans="3:53"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  <c r="AC375" s="47"/>
      <c r="AD375" s="47"/>
      <c r="AE375" s="47"/>
      <c r="AF375" s="47"/>
      <c r="AG375" s="47"/>
      <c r="AH375" s="47"/>
      <c r="AI375" s="47"/>
      <c r="AJ375" s="47"/>
      <c r="AK375" s="47"/>
      <c r="AL375" s="47"/>
      <c r="AM375" s="47"/>
      <c r="AN375" s="47"/>
      <c r="AO375" s="47"/>
      <c r="AP375" s="47"/>
      <c r="AQ375" s="47"/>
      <c r="AR375" s="47"/>
      <c r="AS375" s="47"/>
      <c r="AT375" s="47"/>
      <c r="AU375" s="47"/>
      <c r="AV375" s="47"/>
      <c r="AW375" s="47"/>
      <c r="AX375" s="47"/>
      <c r="AY375" s="47"/>
      <c r="AZ375" s="47"/>
      <c r="BA375" s="47"/>
    </row>
    <row r="376" spans="3:53"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  <c r="AC376" s="47"/>
      <c r="AD376" s="47"/>
      <c r="AE376" s="47"/>
      <c r="AF376" s="47"/>
      <c r="AG376" s="47"/>
      <c r="AH376" s="47"/>
      <c r="AI376" s="47"/>
      <c r="AJ376" s="47"/>
      <c r="AK376" s="47"/>
      <c r="AL376" s="47"/>
      <c r="AM376" s="47"/>
      <c r="AN376" s="47"/>
      <c r="AO376" s="47"/>
      <c r="AP376" s="47"/>
      <c r="AQ376" s="47"/>
      <c r="AR376" s="47"/>
      <c r="AS376" s="47"/>
      <c r="AT376" s="47"/>
      <c r="AU376" s="47"/>
      <c r="AV376" s="47"/>
      <c r="AW376" s="47"/>
      <c r="AX376" s="47"/>
      <c r="AY376" s="47"/>
      <c r="AZ376" s="47"/>
      <c r="BA376" s="47"/>
    </row>
    <row r="377" spans="3:53"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  <c r="AC377" s="47"/>
      <c r="AD377" s="47"/>
      <c r="AE377" s="47"/>
      <c r="AF377" s="47"/>
      <c r="AG377" s="47"/>
      <c r="AH377" s="47"/>
      <c r="AI377" s="47"/>
      <c r="AJ377" s="47"/>
      <c r="AK377" s="47"/>
      <c r="AL377" s="47"/>
      <c r="AM377" s="47"/>
      <c r="AN377" s="47"/>
      <c r="AO377" s="47"/>
      <c r="AP377" s="47"/>
      <c r="AQ377" s="47"/>
      <c r="AR377" s="47"/>
      <c r="AS377" s="47"/>
      <c r="AT377" s="47"/>
      <c r="AU377" s="47"/>
      <c r="AV377" s="47"/>
      <c r="AW377" s="47"/>
      <c r="AX377" s="47"/>
      <c r="AY377" s="47"/>
      <c r="AZ377" s="47"/>
      <c r="BA377" s="47"/>
    </row>
    <row r="378" spans="3:53"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  <c r="AC378" s="47"/>
      <c r="AD378" s="47"/>
      <c r="AE378" s="47"/>
      <c r="AF378" s="47"/>
      <c r="AG378" s="47"/>
      <c r="AH378" s="47"/>
      <c r="AI378" s="47"/>
      <c r="AJ378" s="47"/>
      <c r="AK378" s="47"/>
      <c r="AL378" s="47"/>
      <c r="AM378" s="47"/>
      <c r="AN378" s="47"/>
      <c r="AO378" s="47"/>
      <c r="AP378" s="47"/>
      <c r="AQ378" s="47"/>
      <c r="AR378" s="47"/>
      <c r="AS378" s="47"/>
      <c r="AT378" s="47"/>
      <c r="AU378" s="47"/>
      <c r="AV378" s="47"/>
      <c r="AW378" s="47"/>
      <c r="AX378" s="47"/>
      <c r="AY378" s="47"/>
      <c r="AZ378" s="47"/>
      <c r="BA378" s="47"/>
    </row>
    <row r="379" spans="3:53"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  <c r="AC379" s="47"/>
      <c r="AD379" s="47"/>
      <c r="AE379" s="47"/>
      <c r="AF379" s="47"/>
      <c r="AG379" s="47"/>
      <c r="AH379" s="47"/>
      <c r="AI379" s="47"/>
      <c r="AJ379" s="47"/>
      <c r="AK379" s="47"/>
      <c r="AL379" s="47"/>
      <c r="AM379" s="47"/>
      <c r="AN379" s="47"/>
      <c r="AO379" s="47"/>
      <c r="AP379" s="47"/>
      <c r="AQ379" s="47"/>
      <c r="AR379" s="47"/>
      <c r="AS379" s="47"/>
      <c r="AT379" s="47"/>
      <c r="AU379" s="47"/>
      <c r="AV379" s="47"/>
      <c r="AW379" s="47"/>
      <c r="AX379" s="47"/>
      <c r="AY379" s="47"/>
      <c r="AZ379" s="47"/>
      <c r="BA379" s="47"/>
    </row>
    <row r="380" spans="3:53"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  <c r="AC380" s="47"/>
      <c r="AD380" s="47"/>
      <c r="AE380" s="47"/>
      <c r="AF380" s="47"/>
      <c r="AG380" s="47"/>
      <c r="AH380" s="47"/>
      <c r="AI380" s="47"/>
      <c r="AJ380" s="47"/>
      <c r="AK380" s="47"/>
      <c r="AL380" s="47"/>
      <c r="AM380" s="47"/>
      <c r="AN380" s="47"/>
      <c r="AO380" s="47"/>
      <c r="AP380" s="47"/>
      <c r="AQ380" s="47"/>
      <c r="AR380" s="47"/>
      <c r="AS380" s="47"/>
      <c r="AT380" s="47"/>
      <c r="AU380" s="47"/>
      <c r="AV380" s="47"/>
      <c r="AW380" s="47"/>
      <c r="AX380" s="47"/>
      <c r="AY380" s="47"/>
      <c r="AZ380" s="47"/>
      <c r="BA380" s="47"/>
    </row>
    <row r="381" spans="3:53"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  <c r="AC381" s="47"/>
      <c r="AD381" s="47"/>
      <c r="AE381" s="47"/>
      <c r="AF381" s="47"/>
      <c r="AG381" s="47"/>
      <c r="AH381" s="47"/>
      <c r="AI381" s="47"/>
      <c r="AJ381" s="47"/>
      <c r="AK381" s="47"/>
      <c r="AL381" s="47"/>
      <c r="AM381" s="47"/>
      <c r="AN381" s="47"/>
      <c r="AO381" s="47"/>
      <c r="AP381" s="47"/>
      <c r="AQ381" s="47"/>
      <c r="AR381" s="47"/>
      <c r="AS381" s="47"/>
      <c r="AT381" s="47"/>
      <c r="AU381" s="47"/>
      <c r="AV381" s="47"/>
      <c r="AW381" s="47"/>
      <c r="AX381" s="47"/>
      <c r="AY381" s="47"/>
      <c r="AZ381" s="47"/>
      <c r="BA381" s="47"/>
    </row>
    <row r="382" spans="3:53"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  <c r="AC382" s="47"/>
      <c r="AD382" s="47"/>
      <c r="AE382" s="47"/>
      <c r="AF382" s="47"/>
      <c r="AG382" s="47"/>
      <c r="AH382" s="47"/>
      <c r="AI382" s="47"/>
      <c r="AJ382" s="47"/>
      <c r="AK382" s="47"/>
      <c r="AL382" s="47"/>
      <c r="AM382" s="47"/>
      <c r="AN382" s="47"/>
      <c r="AO382" s="47"/>
      <c r="AP382" s="47"/>
      <c r="AQ382" s="47"/>
      <c r="AR382" s="47"/>
      <c r="AS382" s="47"/>
      <c r="AT382" s="47"/>
      <c r="AU382" s="47"/>
      <c r="AV382" s="47"/>
      <c r="AW382" s="47"/>
      <c r="AX382" s="47"/>
      <c r="AY382" s="47"/>
      <c r="AZ382" s="47"/>
      <c r="BA382" s="47"/>
    </row>
    <row r="383" spans="3:53"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  <c r="AC383" s="47"/>
      <c r="AD383" s="47"/>
      <c r="AE383" s="47"/>
      <c r="AF383" s="47"/>
      <c r="AG383" s="47"/>
      <c r="AH383" s="47"/>
      <c r="AI383" s="47"/>
      <c r="AJ383" s="47"/>
      <c r="AK383" s="47"/>
      <c r="AL383" s="47"/>
      <c r="AM383" s="47"/>
      <c r="AN383" s="47"/>
      <c r="AO383" s="47"/>
      <c r="AP383" s="47"/>
      <c r="AQ383" s="47"/>
      <c r="AR383" s="47"/>
      <c r="AS383" s="47"/>
      <c r="AT383" s="47"/>
      <c r="AU383" s="47"/>
      <c r="AV383" s="47"/>
      <c r="AW383" s="47"/>
      <c r="AX383" s="47"/>
      <c r="AY383" s="47"/>
      <c r="AZ383" s="47"/>
      <c r="BA383" s="47"/>
    </row>
    <row r="384" spans="3:53"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  <c r="AC384" s="47"/>
      <c r="AD384" s="47"/>
      <c r="AE384" s="47"/>
      <c r="AF384" s="47"/>
      <c r="AG384" s="47"/>
      <c r="AH384" s="47"/>
      <c r="AI384" s="47"/>
      <c r="AJ384" s="47"/>
      <c r="AK384" s="47"/>
      <c r="AL384" s="47"/>
      <c r="AM384" s="47"/>
      <c r="AN384" s="47"/>
      <c r="AO384" s="47"/>
      <c r="AP384" s="47"/>
      <c r="AQ384" s="47"/>
      <c r="AR384" s="47"/>
      <c r="AS384" s="47"/>
      <c r="AT384" s="47"/>
      <c r="AU384" s="47"/>
      <c r="AV384" s="47"/>
      <c r="AW384" s="47"/>
      <c r="AX384" s="47"/>
      <c r="AY384" s="47"/>
      <c r="AZ384" s="47"/>
      <c r="BA384" s="47"/>
    </row>
    <row r="385" spans="3:53"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  <c r="AC385" s="47"/>
      <c r="AD385" s="47"/>
      <c r="AE385" s="47"/>
      <c r="AF385" s="47"/>
      <c r="AG385" s="47"/>
      <c r="AH385" s="47"/>
      <c r="AI385" s="47"/>
      <c r="AJ385" s="47"/>
      <c r="AK385" s="47"/>
      <c r="AL385" s="47"/>
      <c r="AM385" s="47"/>
      <c r="AN385" s="47"/>
      <c r="AO385" s="47"/>
      <c r="AP385" s="47"/>
      <c r="AQ385" s="47"/>
      <c r="AR385" s="47"/>
      <c r="AS385" s="47"/>
      <c r="AT385" s="47"/>
      <c r="AU385" s="47"/>
      <c r="AV385" s="47"/>
      <c r="AW385" s="47"/>
      <c r="AX385" s="47"/>
      <c r="AY385" s="47"/>
      <c r="AZ385" s="47"/>
      <c r="BA385" s="47"/>
    </row>
    <row r="386" spans="3:53"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  <c r="AC386" s="47"/>
      <c r="AD386" s="47"/>
      <c r="AE386" s="47"/>
      <c r="AF386" s="47"/>
      <c r="AG386" s="47"/>
      <c r="AH386" s="47"/>
      <c r="AI386" s="47"/>
      <c r="AJ386" s="47"/>
      <c r="AK386" s="47"/>
      <c r="AL386" s="47"/>
      <c r="AM386" s="47"/>
      <c r="AN386" s="47"/>
      <c r="AO386" s="47"/>
      <c r="AP386" s="47"/>
      <c r="AQ386" s="47"/>
      <c r="AR386" s="47"/>
      <c r="AS386" s="47"/>
      <c r="AT386" s="47"/>
      <c r="AU386" s="47"/>
      <c r="AV386" s="47"/>
      <c r="AW386" s="47"/>
      <c r="AX386" s="47"/>
      <c r="AY386" s="47"/>
      <c r="AZ386" s="47"/>
      <c r="BA386" s="47"/>
    </row>
    <row r="387" spans="3:53"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47"/>
      <c r="AD387" s="47"/>
      <c r="AE387" s="47"/>
      <c r="AF387" s="47"/>
      <c r="AG387" s="47"/>
      <c r="AH387" s="47"/>
      <c r="AI387" s="47"/>
      <c r="AJ387" s="47"/>
      <c r="AK387" s="47"/>
      <c r="AL387" s="47"/>
      <c r="AM387" s="47"/>
      <c r="AN387" s="47"/>
      <c r="AO387" s="47"/>
      <c r="AP387" s="47"/>
      <c r="AQ387" s="47"/>
      <c r="AR387" s="47"/>
      <c r="AS387" s="47"/>
      <c r="AT387" s="47"/>
      <c r="AU387" s="47"/>
      <c r="AV387" s="47"/>
      <c r="AW387" s="47"/>
      <c r="AX387" s="47"/>
      <c r="AY387" s="47"/>
      <c r="AZ387" s="47"/>
      <c r="BA387" s="47"/>
    </row>
    <row r="388" spans="3:53"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  <c r="AC388" s="47"/>
      <c r="AD388" s="47"/>
      <c r="AE388" s="47"/>
      <c r="AF388" s="47"/>
      <c r="AG388" s="47"/>
      <c r="AH388" s="47"/>
      <c r="AI388" s="47"/>
      <c r="AJ388" s="47"/>
      <c r="AK388" s="47"/>
      <c r="AL388" s="47"/>
      <c r="AM388" s="47"/>
      <c r="AN388" s="47"/>
      <c r="AO388" s="47"/>
      <c r="AP388" s="47"/>
      <c r="AQ388" s="47"/>
      <c r="AR388" s="47"/>
      <c r="AS388" s="47"/>
      <c r="AT388" s="47"/>
      <c r="AU388" s="47"/>
      <c r="AV388" s="47"/>
      <c r="AW388" s="47"/>
      <c r="AX388" s="47"/>
      <c r="AY388" s="47"/>
      <c r="AZ388" s="47"/>
      <c r="BA388" s="47"/>
    </row>
    <row r="389" spans="3:53"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  <c r="AC389" s="47"/>
      <c r="AD389" s="47"/>
      <c r="AE389" s="47"/>
      <c r="AF389" s="47"/>
      <c r="AG389" s="47"/>
      <c r="AH389" s="47"/>
      <c r="AI389" s="47"/>
      <c r="AJ389" s="47"/>
      <c r="AK389" s="47"/>
      <c r="AL389" s="47"/>
      <c r="AM389" s="47"/>
      <c r="AN389" s="47"/>
      <c r="AO389" s="47"/>
      <c r="AP389" s="47"/>
      <c r="AQ389" s="47"/>
      <c r="AR389" s="47"/>
      <c r="AS389" s="47"/>
      <c r="AT389" s="47"/>
      <c r="AU389" s="47"/>
      <c r="AV389" s="47"/>
      <c r="AW389" s="47"/>
      <c r="AX389" s="47"/>
      <c r="AY389" s="47"/>
      <c r="AZ389" s="47"/>
      <c r="BA389" s="47"/>
    </row>
    <row r="390" spans="3:53"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  <c r="AC390" s="47"/>
      <c r="AD390" s="47"/>
      <c r="AE390" s="47"/>
      <c r="AF390" s="47"/>
      <c r="AG390" s="47"/>
      <c r="AH390" s="47"/>
      <c r="AI390" s="47"/>
      <c r="AJ390" s="47"/>
      <c r="AK390" s="47"/>
      <c r="AL390" s="47"/>
      <c r="AM390" s="47"/>
      <c r="AN390" s="47"/>
      <c r="AO390" s="47"/>
      <c r="AP390" s="47"/>
      <c r="AQ390" s="47"/>
      <c r="AR390" s="47"/>
      <c r="AS390" s="47"/>
      <c r="AT390" s="47"/>
      <c r="AU390" s="47"/>
      <c r="AV390" s="47"/>
      <c r="AW390" s="47"/>
      <c r="AX390" s="47"/>
      <c r="AY390" s="47"/>
      <c r="AZ390" s="47"/>
      <c r="BA390" s="47"/>
    </row>
    <row r="391" spans="3:53"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  <c r="AC391" s="47"/>
      <c r="AD391" s="47"/>
      <c r="AE391" s="47"/>
      <c r="AF391" s="47"/>
      <c r="AG391" s="47"/>
      <c r="AH391" s="47"/>
      <c r="AI391" s="47"/>
      <c r="AJ391" s="47"/>
      <c r="AK391" s="47"/>
      <c r="AL391" s="47"/>
      <c r="AM391" s="47"/>
      <c r="AN391" s="47"/>
      <c r="AO391" s="47"/>
      <c r="AP391" s="47"/>
      <c r="AQ391" s="47"/>
      <c r="AR391" s="47"/>
      <c r="AS391" s="47"/>
      <c r="AT391" s="47"/>
      <c r="AU391" s="47"/>
      <c r="AV391" s="47"/>
      <c r="AW391" s="47"/>
      <c r="AX391" s="47"/>
      <c r="AY391" s="47"/>
      <c r="AZ391" s="47"/>
      <c r="BA391" s="47"/>
    </row>
    <row r="392" spans="3:53"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  <c r="AC392" s="47"/>
      <c r="AD392" s="47"/>
      <c r="AE392" s="47"/>
      <c r="AF392" s="47"/>
      <c r="AG392" s="47"/>
      <c r="AH392" s="47"/>
      <c r="AI392" s="47"/>
      <c r="AJ392" s="47"/>
      <c r="AK392" s="47"/>
      <c r="AL392" s="47"/>
      <c r="AM392" s="47"/>
      <c r="AN392" s="47"/>
      <c r="AO392" s="47"/>
      <c r="AP392" s="47"/>
      <c r="AQ392" s="47"/>
      <c r="AR392" s="47"/>
      <c r="AS392" s="47"/>
      <c r="AT392" s="47"/>
      <c r="AU392" s="47"/>
      <c r="AV392" s="47"/>
      <c r="AW392" s="47"/>
      <c r="AX392" s="47"/>
      <c r="AY392" s="47"/>
      <c r="AZ392" s="47"/>
      <c r="BA392" s="47"/>
    </row>
    <row r="393" spans="3:53"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  <c r="AC393" s="47"/>
      <c r="AD393" s="47"/>
      <c r="AE393" s="47"/>
      <c r="AF393" s="47"/>
      <c r="AG393" s="47"/>
      <c r="AH393" s="47"/>
      <c r="AI393" s="47"/>
      <c r="AJ393" s="47"/>
      <c r="AK393" s="47"/>
      <c r="AL393" s="47"/>
      <c r="AM393" s="47"/>
      <c r="AN393" s="47"/>
      <c r="AO393" s="47"/>
      <c r="AP393" s="47"/>
      <c r="AQ393" s="47"/>
      <c r="AR393" s="47"/>
      <c r="AS393" s="47"/>
      <c r="AT393" s="47"/>
      <c r="AU393" s="47"/>
      <c r="AV393" s="47"/>
      <c r="AW393" s="47"/>
      <c r="AX393" s="47"/>
      <c r="AY393" s="47"/>
      <c r="AZ393" s="47"/>
      <c r="BA393" s="47"/>
    </row>
    <row r="394" spans="3:53"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  <c r="AC394" s="47"/>
      <c r="AD394" s="47"/>
      <c r="AE394" s="47"/>
      <c r="AF394" s="47"/>
      <c r="AG394" s="47"/>
      <c r="AH394" s="47"/>
      <c r="AI394" s="47"/>
      <c r="AJ394" s="47"/>
      <c r="AK394" s="47"/>
      <c r="AL394" s="47"/>
      <c r="AM394" s="47"/>
      <c r="AN394" s="47"/>
      <c r="AO394" s="47"/>
      <c r="AP394" s="47"/>
      <c r="AQ394" s="47"/>
      <c r="AR394" s="47"/>
      <c r="AS394" s="47"/>
      <c r="AT394" s="47"/>
      <c r="AU394" s="47"/>
      <c r="AV394" s="47"/>
      <c r="AW394" s="47"/>
      <c r="AX394" s="47"/>
      <c r="AY394" s="47"/>
      <c r="AZ394" s="47"/>
      <c r="BA394" s="47"/>
    </row>
    <row r="395" spans="3:53"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  <c r="AC395" s="47"/>
      <c r="AD395" s="47"/>
      <c r="AE395" s="47"/>
      <c r="AF395" s="47"/>
      <c r="AG395" s="47"/>
      <c r="AH395" s="47"/>
      <c r="AI395" s="47"/>
      <c r="AJ395" s="47"/>
      <c r="AK395" s="47"/>
      <c r="AL395" s="47"/>
      <c r="AM395" s="47"/>
      <c r="AN395" s="47"/>
      <c r="AO395" s="47"/>
      <c r="AP395" s="47"/>
      <c r="AQ395" s="47"/>
      <c r="AR395" s="47"/>
      <c r="AS395" s="47"/>
      <c r="AT395" s="47"/>
      <c r="AU395" s="47"/>
      <c r="AV395" s="47"/>
      <c r="AW395" s="47"/>
      <c r="AX395" s="47"/>
      <c r="AY395" s="47"/>
      <c r="AZ395" s="47"/>
      <c r="BA395" s="47"/>
    </row>
    <row r="396" spans="3:53"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  <c r="AC396" s="47"/>
      <c r="AD396" s="47"/>
      <c r="AE396" s="47"/>
      <c r="AF396" s="47"/>
      <c r="AG396" s="47"/>
      <c r="AH396" s="47"/>
      <c r="AI396" s="47"/>
      <c r="AJ396" s="47"/>
      <c r="AK396" s="47"/>
      <c r="AL396" s="47"/>
      <c r="AM396" s="47"/>
      <c r="AN396" s="47"/>
      <c r="AO396" s="47"/>
      <c r="AP396" s="47"/>
      <c r="AQ396" s="47"/>
      <c r="AR396" s="47"/>
      <c r="AS396" s="47"/>
      <c r="AT396" s="47"/>
      <c r="AU396" s="47"/>
      <c r="AV396" s="47"/>
      <c r="AW396" s="47"/>
      <c r="AX396" s="47"/>
      <c r="AY396" s="47"/>
      <c r="AZ396" s="47"/>
      <c r="BA396" s="47"/>
    </row>
    <row r="397" spans="3:53"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47"/>
      <c r="AD397" s="47"/>
      <c r="AE397" s="47"/>
      <c r="AF397" s="47"/>
      <c r="AG397" s="47"/>
      <c r="AH397" s="47"/>
      <c r="AI397" s="47"/>
      <c r="AJ397" s="47"/>
      <c r="AK397" s="47"/>
      <c r="AL397" s="47"/>
      <c r="AM397" s="47"/>
      <c r="AN397" s="47"/>
      <c r="AO397" s="47"/>
      <c r="AP397" s="47"/>
      <c r="AQ397" s="47"/>
      <c r="AR397" s="47"/>
      <c r="AS397" s="47"/>
      <c r="AT397" s="47"/>
      <c r="AU397" s="47"/>
      <c r="AV397" s="47"/>
      <c r="AW397" s="47"/>
      <c r="AX397" s="47"/>
      <c r="AY397" s="47"/>
      <c r="AZ397" s="47"/>
      <c r="BA397" s="47"/>
    </row>
    <row r="398" spans="3:53"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  <c r="AC398" s="47"/>
      <c r="AD398" s="47"/>
      <c r="AE398" s="47"/>
      <c r="AF398" s="47"/>
      <c r="AG398" s="47"/>
      <c r="AH398" s="47"/>
      <c r="AI398" s="47"/>
      <c r="AJ398" s="47"/>
      <c r="AK398" s="47"/>
      <c r="AL398" s="47"/>
      <c r="AM398" s="47"/>
      <c r="AN398" s="47"/>
      <c r="AO398" s="47"/>
      <c r="AP398" s="47"/>
      <c r="AQ398" s="47"/>
      <c r="AR398" s="47"/>
      <c r="AS398" s="47"/>
      <c r="AT398" s="47"/>
      <c r="AU398" s="47"/>
      <c r="AV398" s="47"/>
      <c r="AW398" s="47"/>
      <c r="AX398" s="47"/>
      <c r="AY398" s="47"/>
      <c r="AZ398" s="47"/>
      <c r="BA398" s="47"/>
    </row>
    <row r="399" spans="3:53"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  <c r="AC399" s="47"/>
      <c r="AD399" s="47"/>
      <c r="AE399" s="47"/>
      <c r="AF399" s="47"/>
      <c r="AG399" s="47"/>
      <c r="AH399" s="47"/>
      <c r="AI399" s="47"/>
      <c r="AJ399" s="47"/>
      <c r="AK399" s="47"/>
      <c r="AL399" s="47"/>
      <c r="AM399" s="47"/>
      <c r="AN399" s="47"/>
      <c r="AO399" s="47"/>
      <c r="AP399" s="47"/>
      <c r="AQ399" s="47"/>
      <c r="AR399" s="47"/>
      <c r="AS399" s="47"/>
      <c r="AT399" s="47"/>
      <c r="AU399" s="47"/>
      <c r="AV399" s="47"/>
      <c r="AW399" s="47"/>
      <c r="AX399" s="47"/>
      <c r="AY399" s="47"/>
      <c r="AZ399" s="47"/>
      <c r="BA399" s="47"/>
    </row>
    <row r="400" spans="3:53"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  <c r="AC400" s="47"/>
      <c r="AD400" s="47"/>
      <c r="AE400" s="47"/>
      <c r="AF400" s="47"/>
      <c r="AG400" s="47"/>
      <c r="AH400" s="47"/>
      <c r="AI400" s="47"/>
      <c r="AJ400" s="47"/>
      <c r="AK400" s="47"/>
      <c r="AL400" s="47"/>
      <c r="AM400" s="47"/>
      <c r="AN400" s="47"/>
      <c r="AO400" s="47"/>
      <c r="AP400" s="47"/>
      <c r="AQ400" s="47"/>
      <c r="AR400" s="47"/>
      <c r="AS400" s="47"/>
      <c r="AT400" s="47"/>
      <c r="AU400" s="47"/>
      <c r="AV400" s="47"/>
      <c r="AW400" s="47"/>
      <c r="AX400" s="47"/>
      <c r="AY400" s="47"/>
      <c r="AZ400" s="47"/>
      <c r="BA400" s="47"/>
    </row>
    <row r="401" spans="3:53"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  <c r="AC401" s="47"/>
      <c r="AD401" s="47"/>
      <c r="AE401" s="47"/>
      <c r="AF401" s="47"/>
      <c r="AG401" s="47"/>
      <c r="AH401" s="47"/>
      <c r="AI401" s="47"/>
      <c r="AJ401" s="47"/>
      <c r="AK401" s="47"/>
      <c r="AL401" s="47"/>
      <c r="AM401" s="47"/>
      <c r="AN401" s="47"/>
      <c r="AO401" s="47"/>
      <c r="AP401" s="47"/>
      <c r="AQ401" s="47"/>
      <c r="AR401" s="47"/>
      <c r="AS401" s="47"/>
      <c r="AT401" s="47"/>
      <c r="AU401" s="47"/>
      <c r="AV401" s="47"/>
      <c r="AW401" s="47"/>
      <c r="AX401" s="47"/>
      <c r="AY401" s="47"/>
      <c r="AZ401" s="47"/>
      <c r="BA401" s="47"/>
    </row>
    <row r="402" spans="3:53"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  <c r="AC402" s="47"/>
      <c r="AD402" s="47"/>
      <c r="AE402" s="47"/>
      <c r="AF402" s="47"/>
      <c r="AG402" s="47"/>
      <c r="AH402" s="47"/>
      <c r="AI402" s="47"/>
      <c r="AJ402" s="47"/>
      <c r="AK402" s="47"/>
      <c r="AL402" s="47"/>
      <c r="AM402" s="47"/>
      <c r="AN402" s="47"/>
      <c r="AO402" s="47"/>
      <c r="AP402" s="47"/>
      <c r="AQ402" s="47"/>
      <c r="AR402" s="47"/>
      <c r="AS402" s="47"/>
      <c r="AT402" s="47"/>
      <c r="AU402" s="47"/>
      <c r="AV402" s="47"/>
      <c r="AW402" s="47"/>
      <c r="AX402" s="47"/>
      <c r="AY402" s="47"/>
      <c r="AZ402" s="47"/>
      <c r="BA402" s="47"/>
    </row>
    <row r="403" spans="3:53"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  <c r="AC403" s="47"/>
      <c r="AD403" s="47"/>
      <c r="AE403" s="47"/>
      <c r="AF403" s="47"/>
      <c r="AG403" s="47"/>
      <c r="AH403" s="47"/>
      <c r="AI403" s="47"/>
      <c r="AJ403" s="47"/>
      <c r="AK403" s="47"/>
      <c r="AL403" s="47"/>
      <c r="AM403" s="47"/>
      <c r="AN403" s="47"/>
      <c r="AO403" s="47"/>
      <c r="AP403" s="47"/>
      <c r="AQ403" s="47"/>
      <c r="AR403" s="47"/>
      <c r="AS403" s="47"/>
      <c r="AT403" s="47"/>
      <c r="AU403" s="47"/>
      <c r="AV403" s="47"/>
      <c r="AW403" s="47"/>
      <c r="AX403" s="47"/>
      <c r="AY403" s="47"/>
      <c r="AZ403" s="47"/>
      <c r="BA403" s="47"/>
    </row>
    <row r="404" spans="3:53"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  <c r="AC404" s="47"/>
      <c r="AD404" s="47"/>
      <c r="AE404" s="47"/>
      <c r="AF404" s="47"/>
      <c r="AG404" s="47"/>
      <c r="AH404" s="47"/>
      <c r="AI404" s="47"/>
      <c r="AJ404" s="47"/>
      <c r="AK404" s="47"/>
      <c r="AL404" s="47"/>
      <c r="AM404" s="47"/>
      <c r="AN404" s="47"/>
      <c r="AO404" s="47"/>
      <c r="AP404" s="47"/>
      <c r="AQ404" s="47"/>
      <c r="AR404" s="47"/>
      <c r="AS404" s="47"/>
      <c r="AT404" s="47"/>
      <c r="AU404" s="47"/>
      <c r="AV404" s="47"/>
      <c r="AW404" s="47"/>
      <c r="AX404" s="47"/>
      <c r="AY404" s="47"/>
      <c r="AZ404" s="47"/>
      <c r="BA404" s="47"/>
    </row>
    <row r="405" spans="3:53"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  <c r="AC405" s="47"/>
      <c r="AD405" s="47"/>
      <c r="AE405" s="47"/>
      <c r="AF405" s="47"/>
      <c r="AG405" s="47"/>
      <c r="AH405" s="47"/>
      <c r="AI405" s="47"/>
      <c r="AJ405" s="47"/>
      <c r="AK405" s="47"/>
      <c r="AL405" s="47"/>
      <c r="AM405" s="47"/>
      <c r="AN405" s="47"/>
      <c r="AO405" s="47"/>
      <c r="AP405" s="47"/>
      <c r="AQ405" s="47"/>
      <c r="AR405" s="47"/>
      <c r="AS405" s="47"/>
      <c r="AT405" s="47"/>
      <c r="AU405" s="47"/>
      <c r="AV405" s="47"/>
      <c r="AW405" s="47"/>
      <c r="AX405" s="47"/>
      <c r="AY405" s="47"/>
      <c r="AZ405" s="47"/>
      <c r="BA405" s="47"/>
    </row>
    <row r="406" spans="3:53"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  <c r="AC406" s="47"/>
      <c r="AD406" s="47"/>
      <c r="AE406" s="47"/>
      <c r="AF406" s="47"/>
      <c r="AG406" s="47"/>
      <c r="AH406" s="47"/>
      <c r="AI406" s="47"/>
      <c r="AJ406" s="47"/>
      <c r="AK406" s="47"/>
      <c r="AL406" s="47"/>
      <c r="AM406" s="47"/>
      <c r="AN406" s="47"/>
      <c r="AO406" s="47"/>
      <c r="AP406" s="47"/>
      <c r="AQ406" s="47"/>
      <c r="AR406" s="47"/>
      <c r="AS406" s="47"/>
      <c r="AT406" s="47"/>
      <c r="AU406" s="47"/>
      <c r="AV406" s="47"/>
      <c r="AW406" s="47"/>
      <c r="AX406" s="47"/>
      <c r="AY406" s="47"/>
      <c r="AZ406" s="47"/>
      <c r="BA406" s="47"/>
    </row>
    <row r="407" spans="3:53"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  <c r="AC407" s="47"/>
      <c r="AD407" s="47"/>
      <c r="AE407" s="47"/>
      <c r="AF407" s="47"/>
      <c r="AG407" s="47"/>
      <c r="AH407" s="47"/>
      <c r="AI407" s="47"/>
      <c r="AJ407" s="47"/>
      <c r="AK407" s="47"/>
      <c r="AL407" s="47"/>
      <c r="AM407" s="47"/>
      <c r="AN407" s="47"/>
      <c r="AO407" s="47"/>
      <c r="AP407" s="47"/>
      <c r="AQ407" s="47"/>
      <c r="AR407" s="47"/>
      <c r="AS407" s="47"/>
      <c r="AT407" s="47"/>
      <c r="AU407" s="47"/>
      <c r="AV407" s="47"/>
      <c r="AW407" s="47"/>
      <c r="AX407" s="47"/>
      <c r="AY407" s="47"/>
      <c r="AZ407" s="47"/>
      <c r="BA407" s="47"/>
    </row>
    <row r="408" spans="3:53"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  <c r="AC408" s="47"/>
      <c r="AD408" s="47"/>
      <c r="AE408" s="47"/>
      <c r="AF408" s="47"/>
      <c r="AG408" s="47"/>
      <c r="AH408" s="47"/>
      <c r="AI408" s="47"/>
      <c r="AJ408" s="47"/>
      <c r="AK408" s="47"/>
      <c r="AL408" s="47"/>
      <c r="AM408" s="47"/>
      <c r="AN408" s="47"/>
      <c r="AO408" s="47"/>
      <c r="AP408" s="47"/>
      <c r="AQ408" s="47"/>
      <c r="AR408" s="47"/>
      <c r="AS408" s="47"/>
      <c r="AT408" s="47"/>
      <c r="AU408" s="47"/>
      <c r="AV408" s="47"/>
      <c r="AW408" s="47"/>
      <c r="AX408" s="47"/>
      <c r="AY408" s="47"/>
      <c r="AZ408" s="47"/>
      <c r="BA408" s="47"/>
    </row>
    <row r="409" spans="3:53"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  <c r="AC409" s="47"/>
      <c r="AD409" s="47"/>
      <c r="AE409" s="47"/>
      <c r="AF409" s="47"/>
      <c r="AG409" s="47"/>
      <c r="AH409" s="47"/>
      <c r="AI409" s="47"/>
      <c r="AJ409" s="47"/>
      <c r="AK409" s="47"/>
      <c r="AL409" s="47"/>
      <c r="AM409" s="47"/>
      <c r="AN409" s="47"/>
      <c r="AO409" s="47"/>
      <c r="AP409" s="47"/>
      <c r="AQ409" s="47"/>
      <c r="AR409" s="47"/>
      <c r="AS409" s="47"/>
      <c r="AT409" s="47"/>
      <c r="AU409" s="47"/>
      <c r="AV409" s="47"/>
      <c r="AW409" s="47"/>
      <c r="AX409" s="47"/>
      <c r="AY409" s="47"/>
      <c r="AZ409" s="47"/>
      <c r="BA409" s="47"/>
    </row>
    <row r="410" spans="3:53"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  <c r="AC410" s="47"/>
      <c r="AD410" s="47"/>
      <c r="AE410" s="47"/>
      <c r="AF410" s="47"/>
      <c r="AG410" s="47"/>
      <c r="AH410" s="47"/>
      <c r="AI410" s="47"/>
      <c r="AJ410" s="47"/>
      <c r="AK410" s="47"/>
      <c r="AL410" s="47"/>
      <c r="AM410" s="47"/>
      <c r="AN410" s="47"/>
      <c r="AO410" s="47"/>
      <c r="AP410" s="47"/>
      <c r="AQ410" s="47"/>
      <c r="AR410" s="47"/>
      <c r="AS410" s="47"/>
      <c r="AT410" s="47"/>
      <c r="AU410" s="47"/>
      <c r="AV410" s="47"/>
      <c r="AW410" s="47"/>
      <c r="AX410" s="47"/>
      <c r="AY410" s="47"/>
      <c r="AZ410" s="47"/>
      <c r="BA410" s="47"/>
    </row>
    <row r="411" spans="3:53"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  <c r="AC411" s="47"/>
      <c r="AD411" s="47"/>
      <c r="AE411" s="47"/>
      <c r="AF411" s="47"/>
      <c r="AG411" s="47"/>
      <c r="AH411" s="47"/>
      <c r="AI411" s="47"/>
      <c r="AJ411" s="47"/>
      <c r="AK411" s="47"/>
      <c r="AL411" s="47"/>
      <c r="AM411" s="47"/>
      <c r="AN411" s="47"/>
      <c r="AO411" s="47"/>
      <c r="AP411" s="47"/>
      <c r="AQ411" s="47"/>
      <c r="AR411" s="47"/>
      <c r="AS411" s="47"/>
      <c r="AT411" s="47"/>
      <c r="AU411" s="47"/>
      <c r="AV411" s="47"/>
      <c r="AW411" s="47"/>
      <c r="AX411" s="47"/>
      <c r="AY411" s="47"/>
      <c r="AZ411" s="47"/>
      <c r="BA411" s="47"/>
    </row>
    <row r="412" spans="3:53"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  <c r="AC412" s="47"/>
      <c r="AD412" s="47"/>
      <c r="AE412" s="47"/>
      <c r="AF412" s="47"/>
      <c r="AG412" s="47"/>
      <c r="AH412" s="47"/>
      <c r="AI412" s="47"/>
      <c r="AJ412" s="47"/>
      <c r="AK412" s="47"/>
      <c r="AL412" s="47"/>
      <c r="AM412" s="47"/>
      <c r="AN412" s="47"/>
      <c r="AO412" s="47"/>
      <c r="AP412" s="47"/>
      <c r="AQ412" s="47"/>
      <c r="AR412" s="47"/>
      <c r="AS412" s="47"/>
      <c r="AT412" s="47"/>
      <c r="AU412" s="47"/>
      <c r="AV412" s="47"/>
      <c r="AW412" s="47"/>
      <c r="AX412" s="47"/>
      <c r="AY412" s="47"/>
      <c r="AZ412" s="47"/>
      <c r="BA412" s="47"/>
    </row>
    <row r="413" spans="3:53"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  <c r="AC413" s="47"/>
      <c r="AD413" s="47"/>
      <c r="AE413" s="47"/>
      <c r="AF413" s="47"/>
      <c r="AG413" s="47"/>
      <c r="AH413" s="47"/>
      <c r="AI413" s="47"/>
      <c r="AJ413" s="47"/>
      <c r="AK413" s="47"/>
      <c r="AL413" s="47"/>
      <c r="AM413" s="47"/>
      <c r="AN413" s="47"/>
      <c r="AO413" s="47"/>
      <c r="AP413" s="47"/>
      <c r="AQ413" s="47"/>
      <c r="AR413" s="47"/>
      <c r="AS413" s="47"/>
      <c r="AT413" s="47"/>
      <c r="AU413" s="47"/>
      <c r="AV413" s="47"/>
      <c r="AW413" s="47"/>
      <c r="AX413" s="47"/>
      <c r="AY413" s="47"/>
      <c r="AZ413" s="47"/>
      <c r="BA413" s="47"/>
    </row>
    <row r="414" spans="3:53"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  <c r="AC414" s="47"/>
      <c r="AD414" s="47"/>
      <c r="AE414" s="47"/>
      <c r="AF414" s="47"/>
      <c r="AG414" s="47"/>
      <c r="AH414" s="47"/>
      <c r="AI414" s="47"/>
      <c r="AJ414" s="47"/>
      <c r="AK414" s="47"/>
      <c r="AL414" s="47"/>
      <c r="AM414" s="47"/>
      <c r="AN414" s="47"/>
      <c r="AO414" s="47"/>
      <c r="AP414" s="47"/>
      <c r="AQ414" s="47"/>
      <c r="AR414" s="47"/>
      <c r="AS414" s="47"/>
      <c r="AT414" s="47"/>
      <c r="AU414" s="47"/>
      <c r="AV414" s="47"/>
      <c r="AW414" s="47"/>
      <c r="AX414" s="47"/>
      <c r="AY414" s="47"/>
      <c r="AZ414" s="47"/>
      <c r="BA414" s="47"/>
    </row>
    <row r="415" spans="3:53"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  <c r="AC415" s="47"/>
      <c r="AD415" s="47"/>
      <c r="AE415" s="47"/>
      <c r="AF415" s="47"/>
      <c r="AG415" s="47"/>
      <c r="AH415" s="47"/>
      <c r="AI415" s="47"/>
      <c r="AJ415" s="47"/>
      <c r="AK415" s="47"/>
      <c r="AL415" s="47"/>
      <c r="AM415" s="47"/>
      <c r="AN415" s="47"/>
      <c r="AO415" s="47"/>
      <c r="AP415" s="47"/>
      <c r="AQ415" s="47"/>
      <c r="AR415" s="47"/>
      <c r="AS415" s="47"/>
      <c r="AT415" s="47"/>
      <c r="AU415" s="47"/>
      <c r="AV415" s="47"/>
      <c r="AW415" s="47"/>
      <c r="AX415" s="47"/>
      <c r="AY415" s="47"/>
      <c r="AZ415" s="47"/>
      <c r="BA415" s="47"/>
    </row>
    <row r="416" spans="3:53"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  <c r="AC416" s="47"/>
      <c r="AD416" s="47"/>
      <c r="AE416" s="47"/>
      <c r="AF416" s="47"/>
      <c r="AG416" s="47"/>
      <c r="AH416" s="47"/>
      <c r="AI416" s="47"/>
      <c r="AJ416" s="47"/>
      <c r="AK416" s="47"/>
      <c r="AL416" s="47"/>
      <c r="AM416" s="47"/>
      <c r="AN416" s="47"/>
      <c r="AO416" s="47"/>
      <c r="AP416" s="47"/>
      <c r="AQ416" s="47"/>
      <c r="AR416" s="47"/>
      <c r="AS416" s="47"/>
      <c r="AT416" s="47"/>
      <c r="AU416" s="47"/>
      <c r="AV416" s="47"/>
      <c r="AW416" s="47"/>
      <c r="AX416" s="47"/>
      <c r="AY416" s="47"/>
      <c r="AZ416" s="47"/>
      <c r="BA416" s="47"/>
    </row>
    <row r="417" spans="3:53"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  <c r="AC417" s="47"/>
      <c r="AD417" s="47"/>
      <c r="AE417" s="47"/>
      <c r="AF417" s="47"/>
      <c r="AG417" s="47"/>
      <c r="AH417" s="47"/>
      <c r="AI417" s="47"/>
      <c r="AJ417" s="47"/>
      <c r="AK417" s="47"/>
      <c r="AL417" s="47"/>
      <c r="AM417" s="47"/>
      <c r="AN417" s="47"/>
      <c r="AO417" s="47"/>
      <c r="AP417" s="47"/>
      <c r="AQ417" s="47"/>
      <c r="AR417" s="47"/>
      <c r="AS417" s="47"/>
      <c r="AT417" s="47"/>
      <c r="AU417" s="47"/>
      <c r="AV417" s="47"/>
      <c r="AW417" s="47"/>
      <c r="AX417" s="47"/>
      <c r="AY417" s="47"/>
      <c r="AZ417" s="47"/>
      <c r="BA417" s="47"/>
    </row>
    <row r="418" spans="3:53"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  <c r="AC418" s="47"/>
      <c r="AD418" s="47"/>
      <c r="AE418" s="47"/>
      <c r="AF418" s="47"/>
      <c r="AG418" s="47"/>
      <c r="AH418" s="47"/>
      <c r="AI418" s="47"/>
      <c r="AJ418" s="47"/>
      <c r="AK418" s="47"/>
      <c r="AL418" s="47"/>
      <c r="AM418" s="47"/>
      <c r="AN418" s="47"/>
      <c r="AO418" s="47"/>
      <c r="AP418" s="47"/>
      <c r="AQ418" s="47"/>
      <c r="AR418" s="47"/>
      <c r="AS418" s="47"/>
      <c r="AT418" s="47"/>
      <c r="AU418" s="47"/>
      <c r="AV418" s="47"/>
      <c r="AW418" s="47"/>
      <c r="AX418" s="47"/>
      <c r="AY418" s="47"/>
      <c r="AZ418" s="47"/>
      <c r="BA418" s="47"/>
    </row>
    <row r="419" spans="3:53"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  <c r="AC419" s="47"/>
      <c r="AD419" s="47"/>
      <c r="AE419" s="47"/>
      <c r="AF419" s="47"/>
      <c r="AG419" s="47"/>
      <c r="AH419" s="47"/>
      <c r="AI419" s="47"/>
      <c r="AJ419" s="47"/>
      <c r="AK419" s="47"/>
      <c r="AL419" s="47"/>
      <c r="AM419" s="47"/>
      <c r="AN419" s="47"/>
      <c r="AO419" s="47"/>
      <c r="AP419" s="47"/>
      <c r="AQ419" s="47"/>
      <c r="AR419" s="47"/>
      <c r="AS419" s="47"/>
      <c r="AT419" s="47"/>
      <c r="AU419" s="47"/>
      <c r="AV419" s="47"/>
      <c r="AW419" s="47"/>
      <c r="AX419" s="47"/>
      <c r="AY419" s="47"/>
      <c r="AZ419" s="47"/>
      <c r="BA419" s="47"/>
    </row>
    <row r="420" spans="3:53"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  <c r="AC420" s="47"/>
      <c r="AD420" s="47"/>
      <c r="AE420" s="47"/>
      <c r="AF420" s="47"/>
      <c r="AG420" s="47"/>
      <c r="AH420" s="47"/>
      <c r="AI420" s="47"/>
      <c r="AJ420" s="47"/>
      <c r="AK420" s="47"/>
      <c r="AL420" s="47"/>
      <c r="AM420" s="47"/>
      <c r="AN420" s="47"/>
      <c r="AO420" s="47"/>
      <c r="AP420" s="47"/>
      <c r="AQ420" s="47"/>
      <c r="AR420" s="47"/>
      <c r="AS420" s="47"/>
      <c r="AT420" s="47"/>
      <c r="AU420" s="47"/>
      <c r="AV420" s="47"/>
      <c r="AW420" s="47"/>
      <c r="AX420" s="47"/>
      <c r="AY420" s="47"/>
      <c r="AZ420" s="47"/>
      <c r="BA420" s="47"/>
    </row>
    <row r="421" spans="3:53"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  <c r="AC421" s="47"/>
      <c r="AD421" s="47"/>
      <c r="AE421" s="47"/>
      <c r="AF421" s="47"/>
      <c r="AG421" s="47"/>
      <c r="AH421" s="47"/>
      <c r="AI421" s="47"/>
      <c r="AJ421" s="47"/>
      <c r="AK421" s="47"/>
      <c r="AL421" s="47"/>
      <c r="AM421" s="47"/>
      <c r="AN421" s="47"/>
      <c r="AO421" s="47"/>
      <c r="AP421" s="47"/>
      <c r="AQ421" s="47"/>
      <c r="AR421" s="47"/>
      <c r="AS421" s="47"/>
      <c r="AT421" s="47"/>
      <c r="AU421" s="47"/>
      <c r="AV421" s="47"/>
      <c r="AW421" s="47"/>
      <c r="AX421" s="47"/>
      <c r="AY421" s="47"/>
      <c r="AZ421" s="47"/>
      <c r="BA421" s="47"/>
    </row>
    <row r="422" spans="3:53"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47"/>
      <c r="AD422" s="47"/>
      <c r="AE422" s="47"/>
      <c r="AF422" s="47"/>
      <c r="AG422" s="47"/>
      <c r="AH422" s="47"/>
      <c r="AI422" s="47"/>
      <c r="AJ422" s="47"/>
      <c r="AK422" s="47"/>
      <c r="AL422" s="47"/>
      <c r="AM422" s="47"/>
      <c r="AN422" s="47"/>
      <c r="AO422" s="47"/>
      <c r="AP422" s="47"/>
      <c r="AQ422" s="47"/>
      <c r="AR422" s="47"/>
      <c r="AS422" s="47"/>
      <c r="AT422" s="47"/>
      <c r="AU422" s="47"/>
      <c r="AV422" s="47"/>
      <c r="AW422" s="47"/>
      <c r="AX422" s="47"/>
      <c r="AY422" s="47"/>
      <c r="AZ422" s="47"/>
      <c r="BA422" s="47"/>
    </row>
    <row r="423" spans="3:53"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  <c r="AC423" s="47"/>
      <c r="AD423" s="47"/>
      <c r="AE423" s="47"/>
      <c r="AF423" s="47"/>
      <c r="AG423" s="47"/>
      <c r="AH423" s="47"/>
      <c r="AI423" s="47"/>
      <c r="AJ423" s="47"/>
      <c r="AK423" s="47"/>
      <c r="AL423" s="47"/>
      <c r="AM423" s="47"/>
      <c r="AN423" s="47"/>
      <c r="AO423" s="47"/>
      <c r="AP423" s="47"/>
      <c r="AQ423" s="47"/>
      <c r="AR423" s="47"/>
      <c r="AS423" s="47"/>
      <c r="AT423" s="47"/>
      <c r="AU423" s="47"/>
      <c r="AV423" s="47"/>
      <c r="AW423" s="47"/>
      <c r="AX423" s="47"/>
      <c r="AY423" s="47"/>
      <c r="AZ423" s="47"/>
      <c r="BA423" s="47"/>
    </row>
    <row r="424" spans="3:53"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  <c r="AC424" s="47"/>
      <c r="AD424" s="47"/>
      <c r="AE424" s="47"/>
      <c r="AF424" s="47"/>
      <c r="AG424" s="47"/>
      <c r="AH424" s="47"/>
      <c r="AI424" s="47"/>
      <c r="AJ424" s="47"/>
      <c r="AK424" s="47"/>
      <c r="AL424" s="47"/>
      <c r="AM424" s="47"/>
      <c r="AN424" s="47"/>
      <c r="AO424" s="47"/>
      <c r="AP424" s="47"/>
      <c r="AQ424" s="47"/>
      <c r="AR424" s="47"/>
      <c r="AS424" s="47"/>
      <c r="AT424" s="47"/>
      <c r="AU424" s="47"/>
      <c r="AV424" s="47"/>
      <c r="AW424" s="47"/>
      <c r="AX424" s="47"/>
      <c r="AY424" s="47"/>
      <c r="AZ424" s="47"/>
      <c r="BA424" s="47"/>
    </row>
    <row r="425" spans="3:53"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  <c r="AC425" s="47"/>
      <c r="AD425" s="47"/>
      <c r="AE425" s="47"/>
      <c r="AF425" s="47"/>
      <c r="AG425" s="47"/>
      <c r="AH425" s="47"/>
      <c r="AI425" s="47"/>
      <c r="AJ425" s="47"/>
      <c r="AK425" s="47"/>
      <c r="AL425" s="47"/>
      <c r="AM425" s="47"/>
      <c r="AN425" s="47"/>
      <c r="AO425" s="47"/>
      <c r="AP425" s="47"/>
      <c r="AQ425" s="47"/>
      <c r="AR425" s="47"/>
      <c r="AS425" s="47"/>
      <c r="AT425" s="47"/>
      <c r="AU425" s="47"/>
      <c r="AV425" s="47"/>
      <c r="AW425" s="47"/>
      <c r="AX425" s="47"/>
      <c r="AY425" s="47"/>
      <c r="AZ425" s="47"/>
      <c r="BA425" s="47"/>
    </row>
    <row r="426" spans="3:53"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  <c r="AC426" s="47"/>
      <c r="AD426" s="47"/>
      <c r="AE426" s="47"/>
      <c r="AF426" s="47"/>
      <c r="AG426" s="47"/>
      <c r="AH426" s="47"/>
      <c r="AI426" s="47"/>
      <c r="AJ426" s="47"/>
      <c r="AK426" s="47"/>
      <c r="AL426" s="47"/>
      <c r="AM426" s="47"/>
      <c r="AN426" s="47"/>
      <c r="AO426" s="47"/>
      <c r="AP426" s="47"/>
      <c r="AQ426" s="47"/>
      <c r="AR426" s="47"/>
      <c r="AS426" s="47"/>
      <c r="AT426" s="47"/>
      <c r="AU426" s="47"/>
      <c r="AV426" s="47"/>
      <c r="AW426" s="47"/>
      <c r="AX426" s="47"/>
      <c r="AY426" s="47"/>
      <c r="AZ426" s="47"/>
      <c r="BA426" s="47"/>
    </row>
    <row r="427" spans="3:53"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  <c r="AC427" s="47"/>
      <c r="AD427" s="47"/>
      <c r="AE427" s="47"/>
      <c r="AF427" s="47"/>
      <c r="AG427" s="47"/>
      <c r="AH427" s="47"/>
      <c r="AI427" s="47"/>
      <c r="AJ427" s="47"/>
      <c r="AK427" s="47"/>
      <c r="AL427" s="47"/>
      <c r="AM427" s="47"/>
      <c r="AN427" s="47"/>
      <c r="AO427" s="47"/>
      <c r="AP427" s="47"/>
      <c r="AQ427" s="47"/>
      <c r="AR427" s="47"/>
      <c r="AS427" s="47"/>
      <c r="AT427" s="47"/>
      <c r="AU427" s="47"/>
      <c r="AV427" s="47"/>
      <c r="AW427" s="47"/>
      <c r="AX427" s="47"/>
      <c r="AY427" s="47"/>
      <c r="AZ427" s="47"/>
      <c r="BA427" s="47"/>
    </row>
    <row r="428" spans="3:53"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  <c r="AC428" s="47"/>
      <c r="AD428" s="47"/>
      <c r="AE428" s="47"/>
      <c r="AF428" s="47"/>
      <c r="AG428" s="47"/>
      <c r="AH428" s="47"/>
      <c r="AI428" s="47"/>
      <c r="AJ428" s="47"/>
      <c r="AK428" s="47"/>
      <c r="AL428" s="47"/>
      <c r="AM428" s="47"/>
      <c r="AN428" s="47"/>
      <c r="AO428" s="47"/>
      <c r="AP428" s="47"/>
      <c r="AQ428" s="47"/>
      <c r="AR428" s="47"/>
      <c r="AS428" s="47"/>
      <c r="AT428" s="47"/>
      <c r="AU428" s="47"/>
      <c r="AV428" s="47"/>
      <c r="AW428" s="47"/>
      <c r="AX428" s="47"/>
      <c r="AY428" s="47"/>
      <c r="AZ428" s="47"/>
      <c r="BA428" s="47"/>
    </row>
    <row r="429" spans="3:53"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  <c r="AC429" s="47"/>
      <c r="AD429" s="47"/>
      <c r="AE429" s="47"/>
      <c r="AF429" s="47"/>
      <c r="AG429" s="47"/>
      <c r="AH429" s="47"/>
      <c r="AI429" s="47"/>
      <c r="AJ429" s="47"/>
      <c r="AK429" s="47"/>
      <c r="AL429" s="47"/>
      <c r="AM429" s="47"/>
      <c r="AN429" s="47"/>
      <c r="AO429" s="47"/>
      <c r="AP429" s="47"/>
      <c r="AQ429" s="47"/>
      <c r="AR429" s="47"/>
      <c r="AS429" s="47"/>
      <c r="AT429" s="47"/>
      <c r="AU429" s="47"/>
      <c r="AV429" s="47"/>
      <c r="AW429" s="47"/>
      <c r="AX429" s="47"/>
      <c r="AY429" s="47"/>
      <c r="AZ429" s="47"/>
      <c r="BA429" s="47"/>
    </row>
    <row r="430" spans="3:53"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47"/>
      <c r="AD430" s="47"/>
      <c r="AE430" s="47"/>
      <c r="AF430" s="47"/>
      <c r="AG430" s="47"/>
      <c r="AH430" s="47"/>
      <c r="AI430" s="47"/>
      <c r="AJ430" s="47"/>
      <c r="AK430" s="47"/>
      <c r="AL430" s="47"/>
      <c r="AM430" s="47"/>
      <c r="AN430" s="47"/>
      <c r="AO430" s="47"/>
      <c r="AP430" s="47"/>
      <c r="AQ430" s="47"/>
      <c r="AR430" s="47"/>
      <c r="AS430" s="47"/>
      <c r="AT430" s="47"/>
      <c r="AU430" s="47"/>
      <c r="AV430" s="47"/>
      <c r="AW430" s="47"/>
      <c r="AX430" s="47"/>
      <c r="AY430" s="47"/>
      <c r="AZ430" s="47"/>
      <c r="BA430" s="47"/>
    </row>
    <row r="431" spans="3:53"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  <c r="AC431" s="47"/>
      <c r="AD431" s="47"/>
      <c r="AE431" s="47"/>
      <c r="AF431" s="47"/>
      <c r="AG431" s="47"/>
      <c r="AH431" s="47"/>
      <c r="AI431" s="47"/>
      <c r="AJ431" s="47"/>
      <c r="AK431" s="47"/>
      <c r="AL431" s="47"/>
      <c r="AM431" s="47"/>
      <c r="AN431" s="47"/>
      <c r="AO431" s="47"/>
      <c r="AP431" s="47"/>
      <c r="AQ431" s="47"/>
      <c r="AR431" s="47"/>
      <c r="AS431" s="47"/>
      <c r="AT431" s="47"/>
      <c r="AU431" s="47"/>
      <c r="AV431" s="47"/>
      <c r="AW431" s="47"/>
      <c r="AX431" s="47"/>
      <c r="AY431" s="47"/>
      <c r="AZ431" s="47"/>
      <c r="BA431" s="47"/>
    </row>
    <row r="432" spans="3:53"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  <c r="AC432" s="47"/>
      <c r="AD432" s="47"/>
      <c r="AE432" s="47"/>
      <c r="AF432" s="47"/>
      <c r="AG432" s="47"/>
      <c r="AH432" s="47"/>
      <c r="AI432" s="47"/>
      <c r="AJ432" s="47"/>
      <c r="AK432" s="47"/>
      <c r="AL432" s="47"/>
      <c r="AM432" s="47"/>
      <c r="AN432" s="47"/>
      <c r="AO432" s="47"/>
      <c r="AP432" s="47"/>
      <c r="AQ432" s="47"/>
      <c r="AR432" s="47"/>
      <c r="AS432" s="47"/>
      <c r="AT432" s="47"/>
      <c r="AU432" s="47"/>
      <c r="AV432" s="47"/>
      <c r="AW432" s="47"/>
      <c r="AX432" s="47"/>
      <c r="AY432" s="47"/>
      <c r="AZ432" s="47"/>
      <c r="BA432" s="47"/>
    </row>
    <row r="433" spans="3:53"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  <c r="AC433" s="47"/>
      <c r="AD433" s="47"/>
      <c r="AE433" s="47"/>
      <c r="AF433" s="47"/>
      <c r="AG433" s="47"/>
      <c r="AH433" s="47"/>
      <c r="AI433" s="47"/>
      <c r="AJ433" s="47"/>
      <c r="AK433" s="47"/>
      <c r="AL433" s="47"/>
      <c r="AM433" s="47"/>
      <c r="AN433" s="47"/>
      <c r="AO433" s="47"/>
      <c r="AP433" s="47"/>
      <c r="AQ433" s="47"/>
      <c r="AR433" s="47"/>
      <c r="AS433" s="47"/>
      <c r="AT433" s="47"/>
      <c r="AU433" s="47"/>
      <c r="AV433" s="47"/>
      <c r="AW433" s="47"/>
      <c r="AX433" s="47"/>
      <c r="AY433" s="47"/>
      <c r="AZ433" s="47"/>
      <c r="BA433" s="47"/>
    </row>
    <row r="434" spans="3:53"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  <c r="AC434" s="47"/>
      <c r="AD434" s="47"/>
      <c r="AE434" s="47"/>
      <c r="AF434" s="47"/>
      <c r="AG434" s="47"/>
      <c r="AH434" s="47"/>
      <c r="AI434" s="47"/>
      <c r="AJ434" s="47"/>
      <c r="AK434" s="47"/>
      <c r="AL434" s="47"/>
      <c r="AM434" s="47"/>
      <c r="AN434" s="47"/>
      <c r="AO434" s="47"/>
      <c r="AP434" s="47"/>
      <c r="AQ434" s="47"/>
      <c r="AR434" s="47"/>
      <c r="AS434" s="47"/>
      <c r="AT434" s="47"/>
      <c r="AU434" s="47"/>
      <c r="AV434" s="47"/>
      <c r="AW434" s="47"/>
      <c r="AX434" s="47"/>
      <c r="AY434" s="47"/>
      <c r="AZ434" s="47"/>
      <c r="BA434" s="47"/>
    </row>
    <row r="435" spans="3:53"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47"/>
      <c r="AD435" s="47"/>
      <c r="AE435" s="47"/>
      <c r="AF435" s="47"/>
      <c r="AG435" s="47"/>
      <c r="AH435" s="47"/>
      <c r="AI435" s="47"/>
      <c r="AJ435" s="47"/>
      <c r="AK435" s="47"/>
      <c r="AL435" s="47"/>
      <c r="AM435" s="47"/>
      <c r="AN435" s="47"/>
      <c r="AO435" s="47"/>
      <c r="AP435" s="47"/>
      <c r="AQ435" s="47"/>
      <c r="AR435" s="47"/>
      <c r="AS435" s="47"/>
      <c r="AT435" s="47"/>
      <c r="AU435" s="47"/>
      <c r="AV435" s="47"/>
      <c r="AW435" s="47"/>
      <c r="AX435" s="47"/>
      <c r="AY435" s="47"/>
      <c r="AZ435" s="47"/>
      <c r="BA435" s="47"/>
    </row>
    <row r="436" spans="3:53"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  <c r="AC436" s="47"/>
      <c r="AD436" s="47"/>
      <c r="AE436" s="47"/>
      <c r="AF436" s="47"/>
      <c r="AG436" s="47"/>
      <c r="AH436" s="47"/>
      <c r="AI436" s="47"/>
      <c r="AJ436" s="47"/>
      <c r="AK436" s="47"/>
      <c r="AL436" s="47"/>
      <c r="AM436" s="47"/>
      <c r="AN436" s="47"/>
      <c r="AO436" s="47"/>
      <c r="AP436" s="47"/>
      <c r="AQ436" s="47"/>
      <c r="AR436" s="47"/>
      <c r="AS436" s="47"/>
      <c r="AT436" s="47"/>
      <c r="AU436" s="47"/>
      <c r="AV436" s="47"/>
      <c r="AW436" s="47"/>
      <c r="AX436" s="47"/>
      <c r="AY436" s="47"/>
      <c r="AZ436" s="47"/>
      <c r="BA436" s="47"/>
    </row>
    <row r="437" spans="3:53"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  <c r="AC437" s="47"/>
      <c r="AD437" s="47"/>
      <c r="AE437" s="47"/>
      <c r="AF437" s="47"/>
      <c r="AG437" s="47"/>
      <c r="AH437" s="47"/>
      <c r="AI437" s="47"/>
      <c r="AJ437" s="47"/>
      <c r="AK437" s="47"/>
      <c r="AL437" s="47"/>
      <c r="AM437" s="47"/>
      <c r="AN437" s="47"/>
      <c r="AO437" s="47"/>
      <c r="AP437" s="47"/>
      <c r="AQ437" s="47"/>
      <c r="AR437" s="47"/>
      <c r="AS437" s="47"/>
      <c r="AT437" s="47"/>
      <c r="AU437" s="47"/>
      <c r="AV437" s="47"/>
      <c r="AW437" s="47"/>
      <c r="AX437" s="47"/>
      <c r="AY437" s="47"/>
      <c r="AZ437" s="47"/>
      <c r="BA437" s="47"/>
    </row>
    <row r="438" spans="3:53"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  <c r="AC438" s="47"/>
      <c r="AD438" s="47"/>
      <c r="AE438" s="47"/>
      <c r="AF438" s="47"/>
      <c r="AG438" s="47"/>
      <c r="AH438" s="47"/>
      <c r="AI438" s="47"/>
      <c r="AJ438" s="47"/>
      <c r="AK438" s="47"/>
      <c r="AL438" s="47"/>
      <c r="AM438" s="47"/>
      <c r="AN438" s="47"/>
      <c r="AO438" s="47"/>
      <c r="AP438" s="47"/>
      <c r="AQ438" s="47"/>
      <c r="AR438" s="47"/>
      <c r="AS438" s="47"/>
      <c r="AT438" s="47"/>
      <c r="AU438" s="47"/>
      <c r="AV438" s="47"/>
      <c r="AW438" s="47"/>
      <c r="AX438" s="47"/>
      <c r="AY438" s="47"/>
      <c r="AZ438" s="47"/>
      <c r="BA438" s="47"/>
    </row>
    <row r="439" spans="3:53"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  <c r="AC439" s="47"/>
      <c r="AD439" s="47"/>
      <c r="AE439" s="47"/>
      <c r="AF439" s="47"/>
      <c r="AG439" s="47"/>
      <c r="AH439" s="47"/>
      <c r="AI439" s="47"/>
      <c r="AJ439" s="47"/>
      <c r="AK439" s="47"/>
      <c r="AL439" s="47"/>
      <c r="AM439" s="47"/>
      <c r="AN439" s="47"/>
      <c r="AO439" s="47"/>
      <c r="AP439" s="47"/>
      <c r="AQ439" s="47"/>
      <c r="AR439" s="47"/>
      <c r="AS439" s="47"/>
      <c r="AT439" s="47"/>
      <c r="AU439" s="47"/>
      <c r="AV439" s="47"/>
      <c r="AW439" s="47"/>
      <c r="AX439" s="47"/>
      <c r="AY439" s="47"/>
      <c r="AZ439" s="47"/>
      <c r="BA439" s="47"/>
    </row>
    <row r="440" spans="3:53"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  <c r="AC440" s="47"/>
      <c r="AD440" s="47"/>
      <c r="AE440" s="47"/>
      <c r="AF440" s="47"/>
      <c r="AG440" s="47"/>
      <c r="AH440" s="47"/>
      <c r="AI440" s="47"/>
      <c r="AJ440" s="47"/>
      <c r="AK440" s="47"/>
      <c r="AL440" s="47"/>
      <c r="AM440" s="47"/>
      <c r="AN440" s="47"/>
      <c r="AO440" s="47"/>
      <c r="AP440" s="47"/>
      <c r="AQ440" s="47"/>
      <c r="AR440" s="47"/>
      <c r="AS440" s="47"/>
      <c r="AT440" s="47"/>
      <c r="AU440" s="47"/>
      <c r="AV440" s="47"/>
      <c r="AW440" s="47"/>
      <c r="AX440" s="47"/>
      <c r="AY440" s="47"/>
      <c r="AZ440" s="47"/>
      <c r="BA440" s="47"/>
    </row>
    <row r="441" spans="3:53"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47"/>
      <c r="AD441" s="47"/>
      <c r="AE441" s="47"/>
      <c r="AF441" s="47"/>
      <c r="AG441" s="47"/>
      <c r="AH441" s="47"/>
      <c r="AI441" s="47"/>
      <c r="AJ441" s="47"/>
      <c r="AK441" s="47"/>
      <c r="AL441" s="47"/>
      <c r="AM441" s="47"/>
      <c r="AN441" s="47"/>
      <c r="AO441" s="47"/>
      <c r="AP441" s="47"/>
      <c r="AQ441" s="47"/>
      <c r="AR441" s="47"/>
      <c r="AS441" s="47"/>
      <c r="AT441" s="47"/>
      <c r="AU441" s="47"/>
      <c r="AV441" s="47"/>
      <c r="AW441" s="47"/>
      <c r="AX441" s="47"/>
      <c r="AY441" s="47"/>
      <c r="AZ441" s="47"/>
      <c r="BA441" s="47"/>
    </row>
    <row r="442" spans="3:53"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  <c r="AC442" s="47"/>
      <c r="AD442" s="47"/>
      <c r="AE442" s="47"/>
      <c r="AF442" s="47"/>
      <c r="AG442" s="47"/>
      <c r="AH442" s="47"/>
      <c r="AI442" s="47"/>
      <c r="AJ442" s="47"/>
      <c r="AK442" s="47"/>
      <c r="AL442" s="47"/>
      <c r="AM442" s="47"/>
      <c r="AN442" s="47"/>
      <c r="AO442" s="47"/>
      <c r="AP442" s="47"/>
      <c r="AQ442" s="47"/>
      <c r="AR442" s="47"/>
      <c r="AS442" s="47"/>
      <c r="AT442" s="47"/>
      <c r="AU442" s="47"/>
      <c r="AV442" s="47"/>
      <c r="AW442" s="47"/>
      <c r="AX442" s="47"/>
      <c r="AY442" s="47"/>
      <c r="AZ442" s="47"/>
      <c r="BA442" s="47"/>
    </row>
    <row r="443" spans="3:53"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  <c r="AC443" s="47"/>
      <c r="AD443" s="47"/>
      <c r="AE443" s="47"/>
      <c r="AF443" s="47"/>
      <c r="AG443" s="47"/>
      <c r="AH443" s="47"/>
      <c r="AI443" s="47"/>
      <c r="AJ443" s="47"/>
      <c r="AK443" s="47"/>
      <c r="AL443" s="47"/>
      <c r="AM443" s="47"/>
      <c r="AN443" s="47"/>
      <c r="AO443" s="47"/>
      <c r="AP443" s="47"/>
      <c r="AQ443" s="47"/>
      <c r="AR443" s="47"/>
      <c r="AS443" s="47"/>
      <c r="AT443" s="47"/>
      <c r="AU443" s="47"/>
      <c r="AV443" s="47"/>
      <c r="AW443" s="47"/>
      <c r="AX443" s="47"/>
      <c r="AY443" s="47"/>
      <c r="AZ443" s="47"/>
      <c r="BA443" s="47"/>
    </row>
    <row r="444" spans="3:53"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  <c r="AC444" s="47"/>
      <c r="AD444" s="47"/>
      <c r="AE444" s="47"/>
      <c r="AF444" s="47"/>
      <c r="AG444" s="47"/>
      <c r="AH444" s="47"/>
      <c r="AI444" s="47"/>
      <c r="AJ444" s="47"/>
      <c r="AK444" s="47"/>
      <c r="AL444" s="47"/>
      <c r="AM444" s="47"/>
      <c r="AN444" s="47"/>
      <c r="AO444" s="47"/>
      <c r="AP444" s="47"/>
      <c r="AQ444" s="47"/>
      <c r="AR444" s="47"/>
      <c r="AS444" s="47"/>
      <c r="AT444" s="47"/>
      <c r="AU444" s="47"/>
      <c r="AV444" s="47"/>
      <c r="AW444" s="47"/>
      <c r="AX444" s="47"/>
      <c r="AY444" s="47"/>
      <c r="AZ444" s="47"/>
      <c r="BA444" s="47"/>
    </row>
    <row r="445" spans="3:53"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  <c r="AC445" s="47"/>
      <c r="AD445" s="47"/>
      <c r="AE445" s="47"/>
      <c r="AF445" s="47"/>
      <c r="AG445" s="47"/>
      <c r="AH445" s="47"/>
      <c r="AI445" s="47"/>
      <c r="AJ445" s="47"/>
      <c r="AK445" s="47"/>
      <c r="AL445" s="47"/>
      <c r="AM445" s="47"/>
      <c r="AN445" s="47"/>
      <c r="AO445" s="47"/>
      <c r="AP445" s="47"/>
      <c r="AQ445" s="47"/>
      <c r="AR445" s="47"/>
      <c r="AS445" s="47"/>
      <c r="AT445" s="47"/>
      <c r="AU445" s="47"/>
      <c r="AV445" s="47"/>
      <c r="AW445" s="47"/>
      <c r="AX445" s="47"/>
      <c r="AY445" s="47"/>
      <c r="AZ445" s="47"/>
      <c r="BA445" s="47"/>
    </row>
    <row r="446" spans="3:53"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47"/>
      <c r="AD446" s="47"/>
      <c r="AE446" s="47"/>
      <c r="AF446" s="47"/>
      <c r="AG446" s="47"/>
      <c r="AH446" s="47"/>
      <c r="AI446" s="47"/>
      <c r="AJ446" s="47"/>
      <c r="AK446" s="47"/>
      <c r="AL446" s="47"/>
      <c r="AM446" s="47"/>
      <c r="AN446" s="47"/>
      <c r="AO446" s="47"/>
      <c r="AP446" s="47"/>
      <c r="AQ446" s="47"/>
      <c r="AR446" s="47"/>
      <c r="AS446" s="47"/>
      <c r="AT446" s="47"/>
      <c r="AU446" s="47"/>
      <c r="AV446" s="47"/>
      <c r="AW446" s="47"/>
      <c r="AX446" s="47"/>
      <c r="AY446" s="47"/>
      <c r="AZ446" s="47"/>
      <c r="BA446" s="47"/>
    </row>
    <row r="447" spans="3:53"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  <c r="AC447" s="47"/>
      <c r="AD447" s="47"/>
      <c r="AE447" s="47"/>
      <c r="AF447" s="47"/>
      <c r="AG447" s="47"/>
      <c r="AH447" s="47"/>
      <c r="AI447" s="47"/>
      <c r="AJ447" s="47"/>
      <c r="AK447" s="47"/>
      <c r="AL447" s="47"/>
      <c r="AM447" s="47"/>
      <c r="AN447" s="47"/>
      <c r="AO447" s="47"/>
      <c r="AP447" s="47"/>
      <c r="AQ447" s="47"/>
      <c r="AR447" s="47"/>
      <c r="AS447" s="47"/>
      <c r="AT447" s="47"/>
      <c r="AU447" s="47"/>
      <c r="AV447" s="47"/>
      <c r="AW447" s="47"/>
      <c r="AX447" s="47"/>
      <c r="AY447" s="47"/>
      <c r="AZ447" s="47"/>
      <c r="BA447" s="47"/>
    </row>
    <row r="448" spans="3:53"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47"/>
      <c r="AD448" s="47"/>
      <c r="AE448" s="47"/>
      <c r="AF448" s="47"/>
      <c r="AG448" s="47"/>
      <c r="AH448" s="47"/>
      <c r="AI448" s="47"/>
      <c r="AJ448" s="47"/>
      <c r="AK448" s="47"/>
      <c r="AL448" s="47"/>
      <c r="AM448" s="47"/>
      <c r="AN448" s="47"/>
      <c r="AO448" s="47"/>
      <c r="AP448" s="47"/>
      <c r="AQ448" s="47"/>
      <c r="AR448" s="47"/>
      <c r="AS448" s="47"/>
      <c r="AT448" s="47"/>
      <c r="AU448" s="47"/>
      <c r="AV448" s="47"/>
      <c r="AW448" s="47"/>
      <c r="AX448" s="47"/>
      <c r="AY448" s="47"/>
      <c r="AZ448" s="47"/>
      <c r="BA448" s="47"/>
    </row>
    <row r="449" spans="3:53"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47"/>
      <c r="AD449" s="47"/>
      <c r="AE449" s="47"/>
      <c r="AF449" s="47"/>
      <c r="AG449" s="47"/>
      <c r="AH449" s="47"/>
      <c r="AI449" s="47"/>
      <c r="AJ449" s="47"/>
      <c r="AK449" s="47"/>
      <c r="AL449" s="47"/>
      <c r="AM449" s="47"/>
      <c r="AN449" s="47"/>
      <c r="AO449" s="47"/>
      <c r="AP449" s="47"/>
      <c r="AQ449" s="47"/>
      <c r="AR449" s="47"/>
      <c r="AS449" s="47"/>
      <c r="AT449" s="47"/>
      <c r="AU449" s="47"/>
      <c r="AV449" s="47"/>
      <c r="AW449" s="47"/>
      <c r="AX449" s="47"/>
      <c r="AY449" s="47"/>
      <c r="AZ449" s="47"/>
      <c r="BA449" s="47"/>
    </row>
    <row r="450" spans="3:53"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  <c r="AC450" s="47"/>
      <c r="AD450" s="47"/>
      <c r="AE450" s="47"/>
      <c r="AF450" s="47"/>
      <c r="AG450" s="47"/>
      <c r="AH450" s="47"/>
      <c r="AI450" s="47"/>
      <c r="AJ450" s="47"/>
      <c r="AK450" s="47"/>
      <c r="AL450" s="47"/>
      <c r="AM450" s="47"/>
      <c r="AN450" s="47"/>
      <c r="AO450" s="47"/>
      <c r="AP450" s="47"/>
      <c r="AQ450" s="47"/>
      <c r="AR450" s="47"/>
      <c r="AS450" s="47"/>
      <c r="AT450" s="47"/>
      <c r="AU450" s="47"/>
      <c r="AV450" s="47"/>
      <c r="AW450" s="47"/>
      <c r="AX450" s="47"/>
      <c r="AY450" s="47"/>
      <c r="AZ450" s="47"/>
      <c r="BA450" s="47"/>
    </row>
    <row r="451" spans="3:53"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47"/>
      <c r="AD451" s="47"/>
      <c r="AE451" s="47"/>
      <c r="AF451" s="47"/>
      <c r="AG451" s="47"/>
      <c r="AH451" s="47"/>
      <c r="AI451" s="47"/>
      <c r="AJ451" s="47"/>
      <c r="AK451" s="47"/>
      <c r="AL451" s="47"/>
      <c r="AM451" s="47"/>
      <c r="AN451" s="47"/>
      <c r="AO451" s="47"/>
      <c r="AP451" s="47"/>
      <c r="AQ451" s="47"/>
      <c r="AR451" s="47"/>
      <c r="AS451" s="47"/>
      <c r="AT451" s="47"/>
      <c r="AU451" s="47"/>
      <c r="AV451" s="47"/>
      <c r="AW451" s="47"/>
      <c r="AX451" s="47"/>
      <c r="AY451" s="47"/>
      <c r="AZ451" s="47"/>
      <c r="BA451" s="47"/>
    </row>
    <row r="452" spans="3:53"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47"/>
      <c r="AD452" s="47"/>
      <c r="AE452" s="47"/>
      <c r="AF452" s="47"/>
      <c r="AG452" s="47"/>
      <c r="AH452" s="47"/>
      <c r="AI452" s="47"/>
      <c r="AJ452" s="47"/>
      <c r="AK452" s="47"/>
      <c r="AL452" s="47"/>
      <c r="AM452" s="47"/>
      <c r="AN452" s="47"/>
      <c r="AO452" s="47"/>
      <c r="AP452" s="47"/>
      <c r="AQ452" s="47"/>
      <c r="AR452" s="47"/>
      <c r="AS452" s="47"/>
      <c r="AT452" s="47"/>
      <c r="AU452" s="47"/>
      <c r="AV452" s="47"/>
      <c r="AW452" s="47"/>
      <c r="AX452" s="47"/>
      <c r="AY452" s="47"/>
      <c r="AZ452" s="47"/>
      <c r="BA452" s="47"/>
    </row>
    <row r="453" spans="3:53"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47"/>
      <c r="AD453" s="47"/>
      <c r="AE453" s="47"/>
      <c r="AF453" s="47"/>
      <c r="AG453" s="47"/>
      <c r="AH453" s="47"/>
      <c r="AI453" s="47"/>
      <c r="AJ453" s="47"/>
      <c r="AK453" s="47"/>
      <c r="AL453" s="47"/>
      <c r="AM453" s="47"/>
      <c r="AN453" s="47"/>
      <c r="AO453" s="47"/>
      <c r="AP453" s="47"/>
      <c r="AQ453" s="47"/>
      <c r="AR453" s="47"/>
      <c r="AS453" s="47"/>
      <c r="AT453" s="47"/>
      <c r="AU453" s="47"/>
      <c r="AV453" s="47"/>
      <c r="AW453" s="47"/>
      <c r="AX453" s="47"/>
      <c r="AY453" s="47"/>
      <c r="AZ453" s="47"/>
      <c r="BA453" s="47"/>
    </row>
    <row r="454" spans="3:53"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  <c r="AC454" s="47"/>
      <c r="AD454" s="47"/>
      <c r="AE454" s="47"/>
      <c r="AF454" s="47"/>
      <c r="AG454" s="47"/>
      <c r="AH454" s="47"/>
      <c r="AI454" s="47"/>
      <c r="AJ454" s="47"/>
      <c r="AK454" s="47"/>
      <c r="AL454" s="47"/>
      <c r="AM454" s="47"/>
      <c r="AN454" s="47"/>
      <c r="AO454" s="47"/>
      <c r="AP454" s="47"/>
      <c r="AQ454" s="47"/>
      <c r="AR454" s="47"/>
      <c r="AS454" s="47"/>
      <c r="AT454" s="47"/>
      <c r="AU454" s="47"/>
      <c r="AV454" s="47"/>
      <c r="AW454" s="47"/>
      <c r="AX454" s="47"/>
      <c r="AY454" s="47"/>
      <c r="AZ454" s="47"/>
      <c r="BA454" s="47"/>
    </row>
    <row r="455" spans="3:53"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  <c r="AC455" s="47"/>
      <c r="AD455" s="47"/>
      <c r="AE455" s="47"/>
      <c r="AF455" s="47"/>
      <c r="AG455" s="47"/>
      <c r="AH455" s="47"/>
      <c r="AI455" s="47"/>
      <c r="AJ455" s="47"/>
      <c r="AK455" s="47"/>
      <c r="AL455" s="47"/>
      <c r="AM455" s="47"/>
      <c r="AN455" s="47"/>
      <c r="AO455" s="47"/>
      <c r="AP455" s="47"/>
      <c r="AQ455" s="47"/>
      <c r="AR455" s="47"/>
      <c r="AS455" s="47"/>
      <c r="AT455" s="47"/>
      <c r="AU455" s="47"/>
      <c r="AV455" s="47"/>
      <c r="AW455" s="47"/>
      <c r="AX455" s="47"/>
      <c r="AY455" s="47"/>
      <c r="AZ455" s="47"/>
      <c r="BA455" s="47"/>
    </row>
    <row r="456" spans="3:53"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  <c r="AC456" s="47"/>
      <c r="AD456" s="47"/>
      <c r="AE456" s="47"/>
      <c r="AF456" s="47"/>
      <c r="AG456" s="47"/>
      <c r="AH456" s="47"/>
      <c r="AI456" s="47"/>
      <c r="AJ456" s="47"/>
      <c r="AK456" s="47"/>
      <c r="AL456" s="47"/>
      <c r="AM456" s="47"/>
      <c r="AN456" s="47"/>
      <c r="AO456" s="47"/>
      <c r="AP456" s="47"/>
      <c r="AQ456" s="47"/>
      <c r="AR456" s="47"/>
      <c r="AS456" s="47"/>
      <c r="AT456" s="47"/>
      <c r="AU456" s="47"/>
      <c r="AV456" s="47"/>
      <c r="AW456" s="47"/>
      <c r="AX456" s="47"/>
      <c r="AY456" s="47"/>
      <c r="AZ456" s="47"/>
      <c r="BA456" s="47"/>
    </row>
    <row r="457" spans="3:53"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  <c r="AC457" s="47"/>
      <c r="AD457" s="47"/>
      <c r="AE457" s="47"/>
      <c r="AF457" s="47"/>
      <c r="AG457" s="47"/>
      <c r="AH457" s="47"/>
      <c r="AI457" s="47"/>
      <c r="AJ457" s="47"/>
      <c r="AK457" s="47"/>
      <c r="AL457" s="47"/>
      <c r="AM457" s="47"/>
      <c r="AN457" s="47"/>
      <c r="AO457" s="47"/>
      <c r="AP457" s="47"/>
      <c r="AQ457" s="47"/>
      <c r="AR457" s="47"/>
      <c r="AS457" s="47"/>
      <c r="AT457" s="47"/>
      <c r="AU457" s="47"/>
      <c r="AV457" s="47"/>
      <c r="AW457" s="47"/>
      <c r="AX457" s="47"/>
      <c r="AY457" s="47"/>
      <c r="AZ457" s="47"/>
      <c r="BA457" s="47"/>
    </row>
    <row r="458" spans="3:53"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  <c r="AC458" s="47"/>
      <c r="AD458" s="47"/>
      <c r="AE458" s="47"/>
      <c r="AF458" s="47"/>
      <c r="AG458" s="47"/>
      <c r="AH458" s="47"/>
      <c r="AI458" s="47"/>
      <c r="AJ458" s="47"/>
      <c r="AK458" s="47"/>
      <c r="AL458" s="47"/>
      <c r="AM458" s="47"/>
      <c r="AN458" s="47"/>
      <c r="AO458" s="47"/>
      <c r="AP458" s="47"/>
      <c r="AQ458" s="47"/>
      <c r="AR458" s="47"/>
      <c r="AS458" s="47"/>
      <c r="AT458" s="47"/>
      <c r="AU458" s="47"/>
      <c r="AV458" s="47"/>
      <c r="AW458" s="47"/>
      <c r="AX458" s="47"/>
      <c r="AY458" s="47"/>
      <c r="AZ458" s="47"/>
      <c r="BA458" s="47"/>
    </row>
    <row r="459" spans="3:53"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  <c r="AC459" s="47"/>
      <c r="AD459" s="47"/>
      <c r="AE459" s="47"/>
      <c r="AF459" s="47"/>
      <c r="AG459" s="47"/>
      <c r="AH459" s="47"/>
      <c r="AI459" s="47"/>
      <c r="AJ459" s="47"/>
      <c r="AK459" s="47"/>
      <c r="AL459" s="47"/>
      <c r="AM459" s="47"/>
      <c r="AN459" s="47"/>
      <c r="AO459" s="47"/>
      <c r="AP459" s="47"/>
      <c r="AQ459" s="47"/>
      <c r="AR459" s="47"/>
      <c r="AS459" s="47"/>
      <c r="AT459" s="47"/>
      <c r="AU459" s="47"/>
      <c r="AV459" s="47"/>
      <c r="AW459" s="47"/>
      <c r="AX459" s="47"/>
      <c r="AY459" s="47"/>
      <c r="AZ459" s="47"/>
      <c r="BA459" s="47"/>
    </row>
    <row r="460" spans="3:53"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47"/>
      <c r="AD460" s="47"/>
      <c r="AE460" s="47"/>
      <c r="AF460" s="47"/>
      <c r="AG460" s="47"/>
      <c r="AH460" s="47"/>
      <c r="AI460" s="47"/>
      <c r="AJ460" s="47"/>
      <c r="AK460" s="47"/>
      <c r="AL460" s="47"/>
      <c r="AM460" s="47"/>
      <c r="AN460" s="47"/>
      <c r="AO460" s="47"/>
      <c r="AP460" s="47"/>
      <c r="AQ460" s="47"/>
      <c r="AR460" s="47"/>
      <c r="AS460" s="47"/>
      <c r="AT460" s="47"/>
      <c r="AU460" s="47"/>
      <c r="AV460" s="47"/>
      <c r="AW460" s="47"/>
      <c r="AX460" s="47"/>
      <c r="AY460" s="47"/>
      <c r="AZ460" s="47"/>
      <c r="BA460" s="47"/>
    </row>
    <row r="461" spans="3:53"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  <c r="AC461" s="47"/>
      <c r="AD461" s="47"/>
      <c r="AE461" s="47"/>
      <c r="AF461" s="47"/>
      <c r="AG461" s="47"/>
      <c r="AH461" s="47"/>
      <c r="AI461" s="47"/>
      <c r="AJ461" s="47"/>
      <c r="AK461" s="47"/>
      <c r="AL461" s="47"/>
      <c r="AM461" s="47"/>
      <c r="AN461" s="47"/>
      <c r="AO461" s="47"/>
      <c r="AP461" s="47"/>
      <c r="AQ461" s="47"/>
      <c r="AR461" s="47"/>
      <c r="AS461" s="47"/>
      <c r="AT461" s="47"/>
      <c r="AU461" s="47"/>
      <c r="AV461" s="47"/>
      <c r="AW461" s="47"/>
      <c r="AX461" s="47"/>
      <c r="AY461" s="47"/>
      <c r="AZ461" s="47"/>
      <c r="BA461" s="47"/>
    </row>
    <row r="462" spans="3:53"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  <c r="AC462" s="47"/>
      <c r="AD462" s="47"/>
      <c r="AE462" s="47"/>
      <c r="AF462" s="47"/>
      <c r="AG462" s="47"/>
      <c r="AH462" s="47"/>
      <c r="AI462" s="47"/>
      <c r="AJ462" s="47"/>
      <c r="AK462" s="47"/>
      <c r="AL462" s="47"/>
      <c r="AM462" s="47"/>
      <c r="AN462" s="47"/>
      <c r="AO462" s="47"/>
      <c r="AP462" s="47"/>
      <c r="AQ462" s="47"/>
      <c r="AR462" s="47"/>
      <c r="AS462" s="47"/>
      <c r="AT462" s="47"/>
      <c r="AU462" s="47"/>
      <c r="AV462" s="47"/>
      <c r="AW462" s="47"/>
      <c r="AX462" s="47"/>
      <c r="AY462" s="47"/>
      <c r="AZ462" s="47"/>
      <c r="BA462" s="47"/>
    </row>
    <row r="463" spans="3:53"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  <c r="AC463" s="47"/>
      <c r="AD463" s="47"/>
      <c r="AE463" s="47"/>
      <c r="AF463" s="47"/>
      <c r="AG463" s="47"/>
      <c r="AH463" s="47"/>
      <c r="AI463" s="47"/>
      <c r="AJ463" s="47"/>
      <c r="AK463" s="47"/>
      <c r="AL463" s="47"/>
      <c r="AM463" s="47"/>
      <c r="AN463" s="47"/>
      <c r="AO463" s="47"/>
      <c r="AP463" s="47"/>
      <c r="AQ463" s="47"/>
      <c r="AR463" s="47"/>
      <c r="AS463" s="47"/>
      <c r="AT463" s="47"/>
      <c r="AU463" s="47"/>
      <c r="AV463" s="47"/>
      <c r="AW463" s="47"/>
      <c r="AX463" s="47"/>
      <c r="AY463" s="47"/>
      <c r="AZ463" s="47"/>
      <c r="BA463" s="47"/>
    </row>
    <row r="464" spans="3:53"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  <c r="AC464" s="47"/>
      <c r="AD464" s="47"/>
      <c r="AE464" s="47"/>
      <c r="AF464" s="47"/>
      <c r="AG464" s="47"/>
      <c r="AH464" s="47"/>
      <c r="AI464" s="47"/>
      <c r="AJ464" s="47"/>
      <c r="AK464" s="47"/>
      <c r="AL464" s="47"/>
      <c r="AM464" s="47"/>
      <c r="AN464" s="47"/>
      <c r="AO464" s="47"/>
      <c r="AP464" s="47"/>
      <c r="AQ464" s="47"/>
      <c r="AR464" s="47"/>
      <c r="AS464" s="47"/>
      <c r="AT464" s="47"/>
      <c r="AU464" s="47"/>
      <c r="AV464" s="47"/>
      <c r="AW464" s="47"/>
      <c r="AX464" s="47"/>
      <c r="AY464" s="47"/>
      <c r="AZ464" s="47"/>
      <c r="BA464" s="47"/>
    </row>
    <row r="465" spans="3:53"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  <c r="AC465" s="47"/>
      <c r="AD465" s="47"/>
      <c r="AE465" s="47"/>
      <c r="AF465" s="47"/>
      <c r="AG465" s="47"/>
      <c r="AH465" s="47"/>
      <c r="AI465" s="47"/>
      <c r="AJ465" s="47"/>
      <c r="AK465" s="47"/>
      <c r="AL465" s="47"/>
      <c r="AM465" s="47"/>
      <c r="AN465" s="47"/>
      <c r="AO465" s="47"/>
      <c r="AP465" s="47"/>
      <c r="AQ465" s="47"/>
      <c r="AR465" s="47"/>
      <c r="AS465" s="47"/>
      <c r="AT465" s="47"/>
      <c r="AU465" s="47"/>
      <c r="AV465" s="47"/>
      <c r="AW465" s="47"/>
      <c r="AX465" s="47"/>
      <c r="AY465" s="47"/>
      <c r="AZ465" s="47"/>
      <c r="BA465" s="47"/>
    </row>
    <row r="466" spans="3:53"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  <c r="AC466" s="47"/>
      <c r="AD466" s="47"/>
      <c r="AE466" s="47"/>
      <c r="AF466" s="47"/>
      <c r="AG466" s="47"/>
      <c r="AH466" s="47"/>
      <c r="AI466" s="47"/>
      <c r="AJ466" s="47"/>
      <c r="AK466" s="47"/>
      <c r="AL466" s="47"/>
      <c r="AM466" s="47"/>
      <c r="AN466" s="47"/>
      <c r="AO466" s="47"/>
      <c r="AP466" s="47"/>
      <c r="AQ466" s="47"/>
      <c r="AR466" s="47"/>
      <c r="AS466" s="47"/>
      <c r="AT466" s="47"/>
      <c r="AU466" s="47"/>
      <c r="AV466" s="47"/>
      <c r="AW466" s="47"/>
      <c r="AX466" s="47"/>
      <c r="AY466" s="47"/>
      <c r="AZ466" s="47"/>
      <c r="BA466" s="47"/>
    </row>
    <row r="467" spans="3:53"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  <c r="AC467" s="47"/>
      <c r="AD467" s="47"/>
      <c r="AE467" s="47"/>
      <c r="AF467" s="47"/>
      <c r="AG467" s="47"/>
      <c r="AH467" s="47"/>
      <c r="AI467" s="47"/>
      <c r="AJ467" s="47"/>
      <c r="AK467" s="47"/>
      <c r="AL467" s="47"/>
      <c r="AM467" s="47"/>
      <c r="AN467" s="47"/>
      <c r="AO467" s="47"/>
      <c r="AP467" s="47"/>
      <c r="AQ467" s="47"/>
      <c r="AR467" s="47"/>
      <c r="AS467" s="47"/>
      <c r="AT467" s="47"/>
      <c r="AU467" s="47"/>
      <c r="AV467" s="47"/>
      <c r="AW467" s="47"/>
      <c r="AX467" s="47"/>
      <c r="AY467" s="47"/>
      <c r="AZ467" s="47"/>
      <c r="BA467" s="47"/>
    </row>
    <row r="468" spans="3:53"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  <c r="AC468" s="47"/>
      <c r="AD468" s="47"/>
      <c r="AE468" s="47"/>
      <c r="AF468" s="47"/>
      <c r="AG468" s="47"/>
      <c r="AH468" s="47"/>
      <c r="AI468" s="47"/>
      <c r="AJ468" s="47"/>
      <c r="AK468" s="47"/>
      <c r="AL468" s="47"/>
      <c r="AM468" s="47"/>
      <c r="AN468" s="47"/>
      <c r="AO468" s="47"/>
      <c r="AP468" s="47"/>
      <c r="AQ468" s="47"/>
      <c r="AR468" s="47"/>
      <c r="AS468" s="47"/>
      <c r="AT468" s="47"/>
      <c r="AU468" s="47"/>
      <c r="AV468" s="47"/>
      <c r="AW468" s="47"/>
      <c r="AX468" s="47"/>
      <c r="AY468" s="47"/>
      <c r="AZ468" s="47"/>
      <c r="BA468" s="47"/>
    </row>
    <row r="469" spans="3:53"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  <c r="AC469" s="47"/>
      <c r="AD469" s="47"/>
      <c r="AE469" s="47"/>
      <c r="AF469" s="47"/>
      <c r="AG469" s="47"/>
      <c r="AH469" s="47"/>
      <c r="AI469" s="47"/>
      <c r="AJ469" s="47"/>
      <c r="AK469" s="47"/>
      <c r="AL469" s="47"/>
      <c r="AM469" s="47"/>
      <c r="AN469" s="47"/>
      <c r="AO469" s="47"/>
      <c r="AP469" s="47"/>
      <c r="AQ469" s="47"/>
      <c r="AR469" s="47"/>
      <c r="AS469" s="47"/>
      <c r="AT469" s="47"/>
      <c r="AU469" s="47"/>
      <c r="AV469" s="47"/>
      <c r="AW469" s="47"/>
      <c r="AX469" s="47"/>
      <c r="AY469" s="47"/>
      <c r="AZ469" s="47"/>
      <c r="BA469" s="47"/>
    </row>
    <row r="470" spans="3:53"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  <c r="AC470" s="47"/>
      <c r="AD470" s="47"/>
      <c r="AE470" s="47"/>
      <c r="AF470" s="47"/>
      <c r="AG470" s="47"/>
      <c r="AH470" s="47"/>
      <c r="AI470" s="47"/>
      <c r="AJ470" s="47"/>
      <c r="AK470" s="47"/>
      <c r="AL470" s="47"/>
      <c r="AM470" s="47"/>
      <c r="AN470" s="47"/>
      <c r="AO470" s="47"/>
      <c r="AP470" s="47"/>
      <c r="AQ470" s="47"/>
      <c r="AR470" s="47"/>
      <c r="AS470" s="47"/>
      <c r="AT470" s="47"/>
      <c r="AU470" s="47"/>
      <c r="AV470" s="47"/>
      <c r="AW470" s="47"/>
      <c r="AX470" s="47"/>
      <c r="AY470" s="47"/>
      <c r="AZ470" s="47"/>
      <c r="BA470" s="47"/>
    </row>
    <row r="471" spans="3:53"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  <c r="AC471" s="47"/>
      <c r="AD471" s="47"/>
      <c r="AE471" s="47"/>
      <c r="AF471" s="47"/>
      <c r="AG471" s="47"/>
      <c r="AH471" s="47"/>
      <c r="AI471" s="47"/>
      <c r="AJ471" s="47"/>
      <c r="AK471" s="47"/>
      <c r="AL471" s="47"/>
      <c r="AM471" s="47"/>
      <c r="AN471" s="47"/>
      <c r="AO471" s="47"/>
      <c r="AP471" s="47"/>
      <c r="AQ471" s="47"/>
      <c r="AR471" s="47"/>
      <c r="AS471" s="47"/>
      <c r="AT471" s="47"/>
      <c r="AU471" s="47"/>
      <c r="AV471" s="47"/>
      <c r="AW471" s="47"/>
      <c r="AX471" s="47"/>
      <c r="AY471" s="47"/>
      <c r="AZ471" s="47"/>
      <c r="BA471" s="47"/>
    </row>
    <row r="472" spans="3:53"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47"/>
      <c r="AD472" s="47"/>
      <c r="AE472" s="47"/>
      <c r="AF472" s="47"/>
      <c r="AG472" s="47"/>
      <c r="AH472" s="47"/>
      <c r="AI472" s="47"/>
      <c r="AJ472" s="47"/>
      <c r="AK472" s="47"/>
      <c r="AL472" s="47"/>
      <c r="AM472" s="47"/>
      <c r="AN472" s="47"/>
      <c r="AO472" s="47"/>
      <c r="AP472" s="47"/>
      <c r="AQ472" s="47"/>
      <c r="AR472" s="47"/>
      <c r="AS472" s="47"/>
      <c r="AT472" s="47"/>
      <c r="AU472" s="47"/>
      <c r="AV472" s="47"/>
      <c r="AW472" s="47"/>
      <c r="AX472" s="47"/>
      <c r="AY472" s="47"/>
      <c r="AZ472" s="47"/>
      <c r="BA472" s="47"/>
    </row>
    <row r="473" spans="3:53"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47"/>
      <c r="AD473" s="47"/>
      <c r="AE473" s="47"/>
      <c r="AF473" s="47"/>
      <c r="AG473" s="47"/>
      <c r="AH473" s="47"/>
      <c r="AI473" s="47"/>
      <c r="AJ473" s="47"/>
      <c r="AK473" s="47"/>
      <c r="AL473" s="47"/>
      <c r="AM473" s="47"/>
      <c r="AN473" s="47"/>
      <c r="AO473" s="47"/>
      <c r="AP473" s="47"/>
      <c r="AQ473" s="47"/>
      <c r="AR473" s="47"/>
      <c r="AS473" s="47"/>
      <c r="AT473" s="47"/>
      <c r="AU473" s="47"/>
      <c r="AV473" s="47"/>
      <c r="AW473" s="47"/>
      <c r="AX473" s="47"/>
      <c r="AY473" s="47"/>
      <c r="AZ473" s="47"/>
      <c r="BA473" s="47"/>
    </row>
    <row r="474" spans="3:53"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  <c r="AC474" s="47"/>
      <c r="AD474" s="47"/>
      <c r="AE474" s="47"/>
      <c r="AF474" s="47"/>
      <c r="AG474" s="47"/>
      <c r="AH474" s="47"/>
      <c r="AI474" s="47"/>
      <c r="AJ474" s="47"/>
      <c r="AK474" s="47"/>
      <c r="AL474" s="47"/>
      <c r="AM474" s="47"/>
      <c r="AN474" s="47"/>
      <c r="AO474" s="47"/>
      <c r="AP474" s="47"/>
      <c r="AQ474" s="47"/>
      <c r="AR474" s="47"/>
      <c r="AS474" s="47"/>
      <c r="AT474" s="47"/>
      <c r="AU474" s="47"/>
      <c r="AV474" s="47"/>
      <c r="AW474" s="47"/>
      <c r="AX474" s="47"/>
      <c r="AY474" s="47"/>
      <c r="AZ474" s="47"/>
      <c r="BA474" s="47"/>
    </row>
    <row r="475" spans="3:53"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  <c r="AC475" s="47"/>
      <c r="AD475" s="47"/>
      <c r="AE475" s="47"/>
      <c r="AF475" s="47"/>
      <c r="AG475" s="47"/>
      <c r="AH475" s="47"/>
      <c r="AI475" s="47"/>
      <c r="AJ475" s="47"/>
      <c r="AK475" s="47"/>
      <c r="AL475" s="47"/>
      <c r="AM475" s="47"/>
      <c r="AN475" s="47"/>
      <c r="AO475" s="47"/>
      <c r="AP475" s="47"/>
      <c r="AQ475" s="47"/>
      <c r="AR475" s="47"/>
      <c r="AS475" s="47"/>
      <c r="AT475" s="47"/>
      <c r="AU475" s="47"/>
      <c r="AV475" s="47"/>
      <c r="AW475" s="47"/>
      <c r="AX475" s="47"/>
      <c r="AY475" s="47"/>
      <c r="AZ475" s="47"/>
      <c r="BA475" s="47"/>
    </row>
    <row r="476" spans="3:53"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47"/>
      <c r="AD476" s="47"/>
      <c r="AE476" s="47"/>
      <c r="AF476" s="47"/>
      <c r="AG476" s="47"/>
      <c r="AH476" s="47"/>
      <c r="AI476" s="47"/>
      <c r="AJ476" s="47"/>
      <c r="AK476" s="47"/>
      <c r="AL476" s="47"/>
      <c r="AM476" s="47"/>
      <c r="AN476" s="47"/>
      <c r="AO476" s="47"/>
      <c r="AP476" s="47"/>
      <c r="AQ476" s="47"/>
      <c r="AR476" s="47"/>
      <c r="AS476" s="47"/>
      <c r="AT476" s="47"/>
      <c r="AU476" s="47"/>
      <c r="AV476" s="47"/>
      <c r="AW476" s="47"/>
      <c r="AX476" s="47"/>
      <c r="AY476" s="47"/>
      <c r="AZ476" s="47"/>
      <c r="BA476" s="47"/>
    </row>
    <row r="477" spans="3:53"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47"/>
      <c r="AD477" s="47"/>
      <c r="AE477" s="47"/>
      <c r="AF477" s="47"/>
      <c r="AG477" s="47"/>
      <c r="AH477" s="47"/>
      <c r="AI477" s="47"/>
      <c r="AJ477" s="47"/>
      <c r="AK477" s="47"/>
      <c r="AL477" s="47"/>
      <c r="AM477" s="47"/>
      <c r="AN477" s="47"/>
      <c r="AO477" s="47"/>
      <c r="AP477" s="47"/>
      <c r="AQ477" s="47"/>
      <c r="AR477" s="47"/>
      <c r="AS477" s="47"/>
      <c r="AT477" s="47"/>
      <c r="AU477" s="47"/>
      <c r="AV477" s="47"/>
      <c r="AW477" s="47"/>
      <c r="AX477" s="47"/>
      <c r="AY477" s="47"/>
      <c r="AZ477" s="47"/>
      <c r="BA477" s="47"/>
    </row>
    <row r="478" spans="3:53"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47"/>
      <c r="AD478" s="47"/>
      <c r="AE478" s="47"/>
      <c r="AF478" s="47"/>
      <c r="AG478" s="47"/>
      <c r="AH478" s="47"/>
      <c r="AI478" s="47"/>
      <c r="AJ478" s="47"/>
      <c r="AK478" s="47"/>
      <c r="AL478" s="47"/>
      <c r="AM478" s="47"/>
      <c r="AN478" s="47"/>
      <c r="AO478" s="47"/>
      <c r="AP478" s="47"/>
      <c r="AQ478" s="47"/>
      <c r="AR478" s="47"/>
      <c r="AS478" s="47"/>
      <c r="AT478" s="47"/>
      <c r="AU478" s="47"/>
      <c r="AV478" s="47"/>
      <c r="AW478" s="47"/>
      <c r="AX478" s="47"/>
      <c r="AY478" s="47"/>
      <c r="AZ478" s="47"/>
      <c r="BA478" s="47"/>
    </row>
    <row r="479" spans="3:53"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  <c r="AC479" s="47"/>
      <c r="AD479" s="47"/>
      <c r="AE479" s="47"/>
      <c r="AF479" s="47"/>
      <c r="AG479" s="47"/>
      <c r="AH479" s="47"/>
      <c r="AI479" s="47"/>
      <c r="AJ479" s="47"/>
      <c r="AK479" s="47"/>
      <c r="AL479" s="47"/>
      <c r="AM479" s="47"/>
      <c r="AN479" s="47"/>
      <c r="AO479" s="47"/>
      <c r="AP479" s="47"/>
      <c r="AQ479" s="47"/>
      <c r="AR479" s="47"/>
      <c r="AS479" s="47"/>
      <c r="AT479" s="47"/>
      <c r="AU479" s="47"/>
      <c r="AV479" s="47"/>
      <c r="AW479" s="47"/>
      <c r="AX479" s="47"/>
      <c r="AY479" s="47"/>
      <c r="AZ479" s="47"/>
      <c r="BA479" s="47"/>
    </row>
    <row r="480" spans="3:53"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  <c r="AC480" s="47"/>
      <c r="AD480" s="47"/>
      <c r="AE480" s="47"/>
      <c r="AF480" s="47"/>
      <c r="AG480" s="47"/>
      <c r="AH480" s="47"/>
      <c r="AI480" s="47"/>
      <c r="AJ480" s="47"/>
      <c r="AK480" s="47"/>
      <c r="AL480" s="47"/>
      <c r="AM480" s="47"/>
      <c r="AN480" s="47"/>
      <c r="AO480" s="47"/>
      <c r="AP480" s="47"/>
      <c r="AQ480" s="47"/>
      <c r="AR480" s="47"/>
      <c r="AS480" s="47"/>
      <c r="AT480" s="47"/>
      <c r="AU480" s="47"/>
      <c r="AV480" s="47"/>
      <c r="AW480" s="47"/>
      <c r="AX480" s="47"/>
      <c r="AY480" s="47"/>
      <c r="AZ480" s="47"/>
      <c r="BA480" s="47"/>
    </row>
    <row r="481" spans="3:53"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  <c r="AC481" s="47"/>
      <c r="AD481" s="47"/>
      <c r="AE481" s="47"/>
      <c r="AF481" s="47"/>
      <c r="AG481" s="47"/>
      <c r="AH481" s="47"/>
      <c r="AI481" s="47"/>
      <c r="AJ481" s="47"/>
      <c r="AK481" s="47"/>
      <c r="AL481" s="47"/>
      <c r="AM481" s="47"/>
      <c r="AN481" s="47"/>
      <c r="AO481" s="47"/>
      <c r="AP481" s="47"/>
      <c r="AQ481" s="47"/>
      <c r="AR481" s="47"/>
      <c r="AS481" s="47"/>
      <c r="AT481" s="47"/>
      <c r="AU481" s="47"/>
      <c r="AV481" s="47"/>
      <c r="AW481" s="47"/>
      <c r="AX481" s="47"/>
      <c r="AY481" s="47"/>
      <c r="AZ481" s="47"/>
      <c r="BA481" s="47"/>
    </row>
    <row r="482" spans="3:53"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47"/>
      <c r="AD482" s="47"/>
      <c r="AE482" s="47"/>
      <c r="AF482" s="47"/>
      <c r="AG482" s="47"/>
      <c r="AH482" s="47"/>
      <c r="AI482" s="47"/>
      <c r="AJ482" s="47"/>
      <c r="AK482" s="47"/>
      <c r="AL482" s="47"/>
      <c r="AM482" s="47"/>
      <c r="AN482" s="47"/>
      <c r="AO482" s="47"/>
      <c r="AP482" s="47"/>
      <c r="AQ482" s="47"/>
      <c r="AR482" s="47"/>
      <c r="AS482" s="47"/>
      <c r="AT482" s="47"/>
      <c r="AU482" s="47"/>
      <c r="AV482" s="47"/>
      <c r="AW482" s="47"/>
      <c r="AX482" s="47"/>
      <c r="AY482" s="47"/>
      <c r="AZ482" s="47"/>
      <c r="BA482" s="47"/>
    </row>
    <row r="483" spans="3:53"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47"/>
      <c r="AD483" s="47"/>
      <c r="AE483" s="47"/>
      <c r="AF483" s="47"/>
      <c r="AG483" s="47"/>
      <c r="AH483" s="47"/>
      <c r="AI483" s="47"/>
      <c r="AJ483" s="47"/>
      <c r="AK483" s="47"/>
      <c r="AL483" s="47"/>
      <c r="AM483" s="47"/>
      <c r="AN483" s="47"/>
      <c r="AO483" s="47"/>
      <c r="AP483" s="47"/>
      <c r="AQ483" s="47"/>
      <c r="AR483" s="47"/>
      <c r="AS483" s="47"/>
      <c r="AT483" s="47"/>
      <c r="AU483" s="47"/>
      <c r="AV483" s="47"/>
      <c r="AW483" s="47"/>
      <c r="AX483" s="47"/>
      <c r="AY483" s="47"/>
      <c r="AZ483" s="47"/>
      <c r="BA483" s="47"/>
    </row>
    <row r="484" spans="3:53"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  <c r="AC484" s="47"/>
      <c r="AD484" s="47"/>
      <c r="AE484" s="47"/>
      <c r="AF484" s="47"/>
      <c r="AG484" s="47"/>
      <c r="AH484" s="47"/>
      <c r="AI484" s="47"/>
      <c r="AJ484" s="47"/>
      <c r="AK484" s="47"/>
      <c r="AL484" s="47"/>
      <c r="AM484" s="47"/>
      <c r="AN484" s="47"/>
      <c r="AO484" s="47"/>
      <c r="AP484" s="47"/>
      <c r="AQ484" s="47"/>
      <c r="AR484" s="47"/>
      <c r="AS484" s="47"/>
      <c r="AT484" s="47"/>
      <c r="AU484" s="47"/>
      <c r="AV484" s="47"/>
      <c r="AW484" s="47"/>
      <c r="AX484" s="47"/>
      <c r="AY484" s="47"/>
      <c r="AZ484" s="47"/>
      <c r="BA484" s="47"/>
    </row>
    <row r="485" spans="3:53"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  <c r="AC485" s="47"/>
      <c r="AD485" s="47"/>
      <c r="AE485" s="47"/>
      <c r="AF485" s="47"/>
      <c r="AG485" s="47"/>
      <c r="AH485" s="47"/>
      <c r="AI485" s="47"/>
      <c r="AJ485" s="47"/>
      <c r="AK485" s="47"/>
      <c r="AL485" s="47"/>
      <c r="AM485" s="47"/>
      <c r="AN485" s="47"/>
      <c r="AO485" s="47"/>
      <c r="AP485" s="47"/>
      <c r="AQ485" s="47"/>
      <c r="AR485" s="47"/>
      <c r="AS485" s="47"/>
      <c r="AT485" s="47"/>
      <c r="AU485" s="47"/>
      <c r="AV485" s="47"/>
      <c r="AW485" s="47"/>
      <c r="AX485" s="47"/>
      <c r="AY485" s="47"/>
      <c r="AZ485" s="47"/>
      <c r="BA485" s="47"/>
    </row>
    <row r="486" spans="3:53"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47"/>
      <c r="AD486" s="47"/>
      <c r="AE486" s="47"/>
      <c r="AF486" s="47"/>
      <c r="AG486" s="47"/>
      <c r="AH486" s="47"/>
      <c r="AI486" s="47"/>
      <c r="AJ486" s="47"/>
      <c r="AK486" s="47"/>
      <c r="AL486" s="47"/>
      <c r="AM486" s="47"/>
      <c r="AN486" s="47"/>
      <c r="AO486" s="47"/>
      <c r="AP486" s="47"/>
      <c r="AQ486" s="47"/>
      <c r="AR486" s="47"/>
      <c r="AS486" s="47"/>
      <c r="AT486" s="47"/>
      <c r="AU486" s="47"/>
      <c r="AV486" s="47"/>
      <c r="AW486" s="47"/>
      <c r="AX486" s="47"/>
      <c r="AY486" s="47"/>
      <c r="AZ486" s="47"/>
      <c r="BA486" s="47"/>
    </row>
    <row r="487" spans="3:53"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  <c r="AC487" s="47"/>
      <c r="AD487" s="47"/>
      <c r="AE487" s="47"/>
      <c r="AF487" s="47"/>
      <c r="AG487" s="47"/>
      <c r="AH487" s="47"/>
      <c r="AI487" s="47"/>
      <c r="AJ487" s="47"/>
      <c r="AK487" s="47"/>
      <c r="AL487" s="47"/>
      <c r="AM487" s="47"/>
      <c r="AN487" s="47"/>
      <c r="AO487" s="47"/>
      <c r="AP487" s="47"/>
      <c r="AQ487" s="47"/>
      <c r="AR487" s="47"/>
      <c r="AS487" s="47"/>
      <c r="AT487" s="47"/>
      <c r="AU487" s="47"/>
      <c r="AV487" s="47"/>
      <c r="AW487" s="47"/>
      <c r="AX487" s="47"/>
      <c r="AY487" s="47"/>
      <c r="AZ487" s="47"/>
      <c r="BA487" s="47"/>
    </row>
    <row r="488" spans="3:53"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  <c r="AC488" s="47"/>
      <c r="AD488" s="47"/>
      <c r="AE488" s="47"/>
      <c r="AF488" s="47"/>
      <c r="AG488" s="47"/>
      <c r="AH488" s="47"/>
      <c r="AI488" s="47"/>
      <c r="AJ488" s="47"/>
      <c r="AK488" s="47"/>
      <c r="AL488" s="47"/>
      <c r="AM488" s="47"/>
      <c r="AN488" s="47"/>
      <c r="AO488" s="47"/>
      <c r="AP488" s="47"/>
      <c r="AQ488" s="47"/>
      <c r="AR488" s="47"/>
      <c r="AS488" s="47"/>
      <c r="AT488" s="47"/>
      <c r="AU488" s="47"/>
      <c r="AV488" s="47"/>
      <c r="AW488" s="47"/>
      <c r="AX488" s="47"/>
      <c r="AY488" s="47"/>
      <c r="AZ488" s="47"/>
      <c r="BA488" s="47"/>
    </row>
    <row r="489" spans="3:53"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47"/>
      <c r="AC489" s="47"/>
      <c r="AD489" s="47"/>
      <c r="AE489" s="47"/>
      <c r="AF489" s="47"/>
      <c r="AG489" s="47"/>
      <c r="AH489" s="47"/>
      <c r="AI489" s="47"/>
      <c r="AJ489" s="47"/>
      <c r="AK489" s="47"/>
      <c r="AL489" s="47"/>
      <c r="AM489" s="47"/>
      <c r="AN489" s="47"/>
      <c r="AO489" s="47"/>
      <c r="AP489" s="47"/>
      <c r="AQ489" s="47"/>
      <c r="AR489" s="47"/>
      <c r="AS489" s="47"/>
      <c r="AT489" s="47"/>
      <c r="AU489" s="47"/>
      <c r="AV489" s="47"/>
      <c r="AW489" s="47"/>
      <c r="AX489" s="47"/>
      <c r="AY489" s="47"/>
      <c r="AZ489" s="47"/>
      <c r="BA489" s="47"/>
    </row>
    <row r="490" spans="3:53"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47"/>
      <c r="AC490" s="47"/>
      <c r="AD490" s="47"/>
      <c r="AE490" s="47"/>
      <c r="AF490" s="47"/>
      <c r="AG490" s="47"/>
      <c r="AH490" s="47"/>
      <c r="AI490" s="47"/>
      <c r="AJ490" s="47"/>
      <c r="AK490" s="47"/>
      <c r="AL490" s="47"/>
      <c r="AM490" s="47"/>
      <c r="AN490" s="47"/>
      <c r="AO490" s="47"/>
      <c r="AP490" s="47"/>
      <c r="AQ490" s="47"/>
      <c r="AR490" s="47"/>
      <c r="AS490" s="47"/>
      <c r="AT490" s="47"/>
      <c r="AU490" s="47"/>
      <c r="AV490" s="47"/>
      <c r="AW490" s="47"/>
      <c r="AX490" s="47"/>
      <c r="AY490" s="47"/>
      <c r="AZ490" s="47"/>
      <c r="BA490" s="47"/>
    </row>
    <row r="491" spans="3:53"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  <c r="AC491" s="47"/>
      <c r="AD491" s="47"/>
      <c r="AE491" s="47"/>
      <c r="AF491" s="47"/>
      <c r="AG491" s="47"/>
      <c r="AH491" s="47"/>
      <c r="AI491" s="47"/>
      <c r="AJ491" s="47"/>
      <c r="AK491" s="47"/>
      <c r="AL491" s="47"/>
      <c r="AM491" s="47"/>
      <c r="AN491" s="47"/>
      <c r="AO491" s="47"/>
      <c r="AP491" s="47"/>
      <c r="AQ491" s="47"/>
      <c r="AR491" s="47"/>
      <c r="AS491" s="47"/>
      <c r="AT491" s="47"/>
      <c r="AU491" s="47"/>
      <c r="AV491" s="47"/>
      <c r="AW491" s="47"/>
      <c r="AX491" s="47"/>
      <c r="AY491" s="47"/>
      <c r="AZ491" s="47"/>
      <c r="BA491" s="47"/>
    </row>
    <row r="492" spans="3:53"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  <c r="AC492" s="47"/>
      <c r="AD492" s="47"/>
      <c r="AE492" s="47"/>
      <c r="AF492" s="47"/>
      <c r="AG492" s="47"/>
      <c r="AH492" s="47"/>
      <c r="AI492" s="47"/>
      <c r="AJ492" s="47"/>
      <c r="AK492" s="47"/>
      <c r="AL492" s="47"/>
      <c r="AM492" s="47"/>
      <c r="AN492" s="47"/>
      <c r="AO492" s="47"/>
      <c r="AP492" s="47"/>
      <c r="AQ492" s="47"/>
      <c r="AR492" s="47"/>
      <c r="AS492" s="47"/>
      <c r="AT492" s="47"/>
      <c r="AU492" s="47"/>
      <c r="AV492" s="47"/>
      <c r="AW492" s="47"/>
      <c r="AX492" s="47"/>
      <c r="AY492" s="47"/>
      <c r="AZ492" s="47"/>
      <c r="BA492" s="47"/>
    </row>
    <row r="493" spans="3:53"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  <c r="AC493" s="47"/>
      <c r="AD493" s="47"/>
      <c r="AE493" s="47"/>
      <c r="AF493" s="47"/>
      <c r="AG493" s="47"/>
      <c r="AH493" s="47"/>
      <c r="AI493" s="47"/>
      <c r="AJ493" s="47"/>
      <c r="AK493" s="47"/>
      <c r="AL493" s="47"/>
      <c r="AM493" s="47"/>
      <c r="AN493" s="47"/>
      <c r="AO493" s="47"/>
      <c r="AP493" s="47"/>
      <c r="AQ493" s="47"/>
      <c r="AR493" s="47"/>
      <c r="AS493" s="47"/>
      <c r="AT493" s="47"/>
      <c r="AU493" s="47"/>
      <c r="AV493" s="47"/>
      <c r="AW493" s="47"/>
      <c r="AX493" s="47"/>
      <c r="AY493" s="47"/>
      <c r="AZ493" s="47"/>
      <c r="BA493" s="47"/>
    </row>
    <row r="494" spans="3:53"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  <c r="AC494" s="47"/>
      <c r="AD494" s="47"/>
      <c r="AE494" s="47"/>
      <c r="AF494" s="47"/>
      <c r="AG494" s="47"/>
      <c r="AH494" s="47"/>
      <c r="AI494" s="47"/>
      <c r="AJ494" s="47"/>
      <c r="AK494" s="47"/>
      <c r="AL494" s="47"/>
      <c r="AM494" s="47"/>
      <c r="AN494" s="47"/>
      <c r="AO494" s="47"/>
      <c r="AP494" s="47"/>
      <c r="AQ494" s="47"/>
      <c r="AR494" s="47"/>
      <c r="AS494" s="47"/>
      <c r="AT494" s="47"/>
      <c r="AU494" s="47"/>
      <c r="AV494" s="47"/>
      <c r="AW494" s="47"/>
      <c r="AX494" s="47"/>
      <c r="AY494" s="47"/>
      <c r="AZ494" s="47"/>
      <c r="BA494" s="47"/>
    </row>
    <row r="495" spans="3:53"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  <c r="AC495" s="47"/>
      <c r="AD495" s="47"/>
      <c r="AE495" s="47"/>
      <c r="AF495" s="47"/>
      <c r="AG495" s="47"/>
      <c r="AH495" s="47"/>
      <c r="AI495" s="47"/>
      <c r="AJ495" s="47"/>
      <c r="AK495" s="47"/>
      <c r="AL495" s="47"/>
      <c r="AM495" s="47"/>
      <c r="AN495" s="47"/>
      <c r="AO495" s="47"/>
      <c r="AP495" s="47"/>
      <c r="AQ495" s="47"/>
      <c r="AR495" s="47"/>
      <c r="AS495" s="47"/>
      <c r="AT495" s="47"/>
      <c r="AU495" s="47"/>
      <c r="AV495" s="47"/>
      <c r="AW495" s="47"/>
      <c r="AX495" s="47"/>
      <c r="AY495" s="47"/>
      <c r="AZ495" s="47"/>
      <c r="BA495" s="47"/>
    </row>
    <row r="496" spans="3:53"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  <c r="AC496" s="47"/>
      <c r="AD496" s="47"/>
      <c r="AE496" s="47"/>
      <c r="AF496" s="47"/>
      <c r="AG496" s="47"/>
      <c r="AH496" s="47"/>
      <c r="AI496" s="47"/>
      <c r="AJ496" s="47"/>
      <c r="AK496" s="47"/>
      <c r="AL496" s="47"/>
      <c r="AM496" s="47"/>
      <c r="AN496" s="47"/>
      <c r="AO496" s="47"/>
      <c r="AP496" s="47"/>
      <c r="AQ496" s="47"/>
      <c r="AR496" s="47"/>
      <c r="AS496" s="47"/>
      <c r="AT496" s="47"/>
      <c r="AU496" s="47"/>
      <c r="AV496" s="47"/>
      <c r="AW496" s="47"/>
      <c r="AX496" s="47"/>
      <c r="AY496" s="47"/>
      <c r="AZ496" s="47"/>
      <c r="BA496" s="47"/>
    </row>
    <row r="497" spans="3:53"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  <c r="AC497" s="47"/>
      <c r="AD497" s="47"/>
      <c r="AE497" s="47"/>
      <c r="AF497" s="47"/>
      <c r="AG497" s="47"/>
      <c r="AH497" s="47"/>
      <c r="AI497" s="47"/>
      <c r="AJ497" s="47"/>
      <c r="AK497" s="47"/>
      <c r="AL497" s="47"/>
      <c r="AM497" s="47"/>
      <c r="AN497" s="47"/>
      <c r="AO497" s="47"/>
      <c r="AP497" s="47"/>
      <c r="AQ497" s="47"/>
      <c r="AR497" s="47"/>
      <c r="AS497" s="47"/>
      <c r="AT497" s="47"/>
      <c r="AU497" s="47"/>
      <c r="AV497" s="47"/>
      <c r="AW497" s="47"/>
      <c r="AX497" s="47"/>
      <c r="AY497" s="47"/>
      <c r="AZ497" s="47"/>
      <c r="BA497" s="47"/>
    </row>
    <row r="498" spans="3:53"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  <c r="AC498" s="47"/>
      <c r="AD498" s="47"/>
      <c r="AE498" s="47"/>
      <c r="AF498" s="47"/>
      <c r="AG498" s="47"/>
      <c r="AH498" s="47"/>
      <c r="AI498" s="47"/>
      <c r="AJ498" s="47"/>
      <c r="AK498" s="47"/>
      <c r="AL498" s="47"/>
      <c r="AM498" s="47"/>
      <c r="AN498" s="47"/>
      <c r="AO498" s="47"/>
      <c r="AP498" s="47"/>
      <c r="AQ498" s="47"/>
      <c r="AR498" s="47"/>
      <c r="AS498" s="47"/>
      <c r="AT498" s="47"/>
      <c r="AU498" s="47"/>
      <c r="AV498" s="47"/>
      <c r="AW498" s="47"/>
      <c r="AX498" s="47"/>
      <c r="AY498" s="47"/>
      <c r="AZ498" s="47"/>
      <c r="BA498" s="47"/>
    </row>
    <row r="499" spans="3:53"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47"/>
      <c r="AC499" s="47"/>
      <c r="AD499" s="47"/>
      <c r="AE499" s="47"/>
      <c r="AF499" s="47"/>
      <c r="AG499" s="47"/>
      <c r="AH499" s="47"/>
      <c r="AI499" s="47"/>
      <c r="AJ499" s="47"/>
      <c r="AK499" s="47"/>
      <c r="AL499" s="47"/>
      <c r="AM499" s="47"/>
      <c r="AN499" s="47"/>
      <c r="AO499" s="47"/>
      <c r="AP499" s="47"/>
      <c r="AQ499" s="47"/>
      <c r="AR499" s="47"/>
      <c r="AS499" s="47"/>
      <c r="AT499" s="47"/>
      <c r="AU499" s="47"/>
      <c r="AV499" s="47"/>
      <c r="AW499" s="47"/>
      <c r="AX499" s="47"/>
      <c r="AY499" s="47"/>
      <c r="AZ499" s="47"/>
      <c r="BA499" s="47"/>
    </row>
    <row r="500" spans="3:53"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47"/>
      <c r="AC500" s="47"/>
      <c r="AD500" s="47"/>
      <c r="AE500" s="47"/>
      <c r="AF500" s="47"/>
      <c r="AG500" s="47"/>
      <c r="AH500" s="47"/>
      <c r="AI500" s="47"/>
      <c r="AJ500" s="47"/>
      <c r="AK500" s="47"/>
      <c r="AL500" s="47"/>
      <c r="AM500" s="47"/>
      <c r="AN500" s="47"/>
      <c r="AO500" s="47"/>
      <c r="AP500" s="47"/>
      <c r="AQ500" s="47"/>
      <c r="AR500" s="47"/>
      <c r="AS500" s="47"/>
      <c r="AT500" s="47"/>
      <c r="AU500" s="47"/>
      <c r="AV500" s="47"/>
      <c r="AW500" s="47"/>
      <c r="AX500" s="47"/>
      <c r="AY500" s="47"/>
      <c r="AZ500" s="47"/>
      <c r="BA500" s="47"/>
    </row>
    <row r="501" spans="3:53"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  <c r="AC501" s="47"/>
      <c r="AD501" s="47"/>
      <c r="AE501" s="47"/>
      <c r="AF501" s="47"/>
      <c r="AG501" s="47"/>
      <c r="AH501" s="47"/>
      <c r="AI501" s="47"/>
      <c r="AJ501" s="47"/>
      <c r="AK501" s="47"/>
      <c r="AL501" s="47"/>
      <c r="AM501" s="47"/>
      <c r="AN501" s="47"/>
      <c r="AO501" s="47"/>
      <c r="AP501" s="47"/>
      <c r="AQ501" s="47"/>
      <c r="AR501" s="47"/>
      <c r="AS501" s="47"/>
      <c r="AT501" s="47"/>
      <c r="AU501" s="47"/>
      <c r="AV501" s="47"/>
      <c r="AW501" s="47"/>
      <c r="AX501" s="47"/>
      <c r="AY501" s="47"/>
      <c r="AZ501" s="47"/>
      <c r="BA501" s="47"/>
    </row>
    <row r="502" spans="3:53"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  <c r="AC502" s="47"/>
      <c r="AD502" s="47"/>
      <c r="AE502" s="47"/>
      <c r="AF502" s="47"/>
      <c r="AG502" s="47"/>
      <c r="AH502" s="47"/>
      <c r="AI502" s="47"/>
      <c r="AJ502" s="47"/>
      <c r="AK502" s="47"/>
      <c r="AL502" s="47"/>
      <c r="AM502" s="47"/>
      <c r="AN502" s="47"/>
      <c r="AO502" s="47"/>
      <c r="AP502" s="47"/>
      <c r="AQ502" s="47"/>
      <c r="AR502" s="47"/>
      <c r="AS502" s="47"/>
      <c r="AT502" s="47"/>
      <c r="AU502" s="47"/>
      <c r="AV502" s="47"/>
      <c r="AW502" s="47"/>
      <c r="AX502" s="47"/>
      <c r="AY502" s="47"/>
      <c r="AZ502" s="47"/>
      <c r="BA502" s="47"/>
    </row>
    <row r="503" spans="3:53"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  <c r="AC503" s="47"/>
      <c r="AD503" s="47"/>
      <c r="AE503" s="47"/>
      <c r="AF503" s="47"/>
      <c r="AG503" s="47"/>
      <c r="AH503" s="47"/>
      <c r="AI503" s="47"/>
      <c r="AJ503" s="47"/>
      <c r="AK503" s="47"/>
      <c r="AL503" s="47"/>
      <c r="AM503" s="47"/>
      <c r="AN503" s="47"/>
      <c r="AO503" s="47"/>
      <c r="AP503" s="47"/>
      <c r="AQ503" s="47"/>
      <c r="AR503" s="47"/>
      <c r="AS503" s="47"/>
      <c r="AT503" s="47"/>
      <c r="AU503" s="47"/>
      <c r="AV503" s="47"/>
      <c r="AW503" s="47"/>
      <c r="AX503" s="47"/>
      <c r="AY503" s="47"/>
      <c r="AZ503" s="47"/>
      <c r="BA503" s="47"/>
    </row>
    <row r="504" spans="3:53"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  <c r="AC504" s="47"/>
      <c r="AD504" s="47"/>
      <c r="AE504" s="47"/>
      <c r="AF504" s="47"/>
      <c r="AG504" s="47"/>
      <c r="AH504" s="47"/>
      <c r="AI504" s="47"/>
      <c r="AJ504" s="47"/>
      <c r="AK504" s="47"/>
      <c r="AL504" s="47"/>
      <c r="AM504" s="47"/>
      <c r="AN504" s="47"/>
      <c r="AO504" s="47"/>
      <c r="AP504" s="47"/>
      <c r="AQ504" s="47"/>
      <c r="AR504" s="47"/>
      <c r="AS504" s="47"/>
      <c r="AT504" s="47"/>
      <c r="AU504" s="47"/>
      <c r="AV504" s="47"/>
      <c r="AW504" s="47"/>
      <c r="AX504" s="47"/>
      <c r="AY504" s="47"/>
      <c r="AZ504" s="47"/>
      <c r="BA504" s="47"/>
    </row>
    <row r="505" spans="3:53"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  <c r="AC505" s="47"/>
      <c r="AD505" s="47"/>
      <c r="AE505" s="47"/>
      <c r="AF505" s="47"/>
      <c r="AG505" s="47"/>
      <c r="AH505" s="47"/>
      <c r="AI505" s="47"/>
      <c r="AJ505" s="47"/>
      <c r="AK505" s="47"/>
      <c r="AL505" s="47"/>
      <c r="AM505" s="47"/>
      <c r="AN505" s="47"/>
      <c r="AO505" s="47"/>
      <c r="AP505" s="47"/>
      <c r="AQ505" s="47"/>
      <c r="AR505" s="47"/>
      <c r="AS505" s="47"/>
      <c r="AT505" s="47"/>
      <c r="AU505" s="47"/>
      <c r="AV505" s="47"/>
      <c r="AW505" s="47"/>
      <c r="AX505" s="47"/>
      <c r="AY505" s="47"/>
      <c r="AZ505" s="47"/>
      <c r="BA505" s="47"/>
    </row>
    <row r="506" spans="3:53"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47"/>
      <c r="AC506" s="47"/>
      <c r="AD506" s="47"/>
      <c r="AE506" s="47"/>
      <c r="AF506" s="47"/>
      <c r="AG506" s="47"/>
      <c r="AH506" s="47"/>
      <c r="AI506" s="47"/>
      <c r="AJ506" s="47"/>
      <c r="AK506" s="47"/>
      <c r="AL506" s="47"/>
      <c r="AM506" s="47"/>
      <c r="AN506" s="47"/>
      <c r="AO506" s="47"/>
      <c r="AP506" s="47"/>
      <c r="AQ506" s="47"/>
      <c r="AR506" s="47"/>
      <c r="AS506" s="47"/>
      <c r="AT506" s="47"/>
      <c r="AU506" s="47"/>
      <c r="AV506" s="47"/>
      <c r="AW506" s="47"/>
      <c r="AX506" s="47"/>
      <c r="AY506" s="47"/>
      <c r="AZ506" s="47"/>
      <c r="BA506" s="47"/>
    </row>
    <row r="507" spans="3:53"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47"/>
      <c r="AC507" s="47"/>
      <c r="AD507" s="47"/>
      <c r="AE507" s="47"/>
      <c r="AF507" s="47"/>
      <c r="AG507" s="47"/>
      <c r="AH507" s="47"/>
      <c r="AI507" s="47"/>
      <c r="AJ507" s="47"/>
      <c r="AK507" s="47"/>
      <c r="AL507" s="47"/>
      <c r="AM507" s="47"/>
      <c r="AN507" s="47"/>
      <c r="AO507" s="47"/>
      <c r="AP507" s="47"/>
      <c r="AQ507" s="47"/>
      <c r="AR507" s="47"/>
      <c r="AS507" s="47"/>
      <c r="AT507" s="47"/>
      <c r="AU507" s="47"/>
      <c r="AV507" s="47"/>
      <c r="AW507" s="47"/>
      <c r="AX507" s="47"/>
      <c r="AY507" s="47"/>
      <c r="AZ507" s="47"/>
      <c r="BA507" s="47"/>
    </row>
    <row r="508" spans="3:53"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  <c r="AC508" s="47"/>
      <c r="AD508" s="47"/>
      <c r="AE508" s="47"/>
      <c r="AF508" s="47"/>
      <c r="AG508" s="47"/>
      <c r="AH508" s="47"/>
      <c r="AI508" s="47"/>
      <c r="AJ508" s="47"/>
      <c r="AK508" s="47"/>
      <c r="AL508" s="47"/>
      <c r="AM508" s="47"/>
      <c r="AN508" s="47"/>
      <c r="AO508" s="47"/>
      <c r="AP508" s="47"/>
      <c r="AQ508" s="47"/>
      <c r="AR508" s="47"/>
      <c r="AS508" s="47"/>
      <c r="AT508" s="47"/>
      <c r="AU508" s="47"/>
      <c r="AV508" s="47"/>
      <c r="AW508" s="47"/>
      <c r="AX508" s="47"/>
      <c r="AY508" s="47"/>
      <c r="AZ508" s="47"/>
      <c r="BA508" s="47"/>
    </row>
    <row r="509" spans="3:53"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47"/>
      <c r="AC509" s="47"/>
      <c r="AD509" s="47"/>
      <c r="AE509" s="47"/>
      <c r="AF509" s="47"/>
      <c r="AG509" s="47"/>
      <c r="AH509" s="47"/>
      <c r="AI509" s="47"/>
      <c r="AJ509" s="47"/>
      <c r="AK509" s="47"/>
      <c r="AL509" s="47"/>
      <c r="AM509" s="47"/>
      <c r="AN509" s="47"/>
      <c r="AO509" s="47"/>
      <c r="AP509" s="47"/>
      <c r="AQ509" s="47"/>
      <c r="AR509" s="47"/>
      <c r="AS509" s="47"/>
      <c r="AT509" s="47"/>
      <c r="AU509" s="47"/>
      <c r="AV509" s="47"/>
      <c r="AW509" s="47"/>
      <c r="AX509" s="47"/>
      <c r="AY509" s="47"/>
      <c r="AZ509" s="47"/>
      <c r="BA509" s="47"/>
    </row>
    <row r="510" spans="3:53"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47"/>
      <c r="AC510" s="47"/>
      <c r="AD510" s="47"/>
      <c r="AE510" s="47"/>
      <c r="AF510" s="47"/>
      <c r="AG510" s="47"/>
      <c r="AH510" s="47"/>
      <c r="AI510" s="47"/>
      <c r="AJ510" s="47"/>
      <c r="AK510" s="47"/>
      <c r="AL510" s="47"/>
      <c r="AM510" s="47"/>
      <c r="AN510" s="47"/>
      <c r="AO510" s="47"/>
      <c r="AP510" s="47"/>
      <c r="AQ510" s="47"/>
      <c r="AR510" s="47"/>
      <c r="AS510" s="47"/>
      <c r="AT510" s="47"/>
      <c r="AU510" s="47"/>
      <c r="AV510" s="47"/>
      <c r="AW510" s="47"/>
      <c r="AX510" s="47"/>
      <c r="AY510" s="47"/>
      <c r="AZ510" s="47"/>
      <c r="BA510" s="47"/>
    </row>
    <row r="511" spans="3:53"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  <c r="AC511" s="47"/>
      <c r="AD511" s="47"/>
      <c r="AE511" s="47"/>
      <c r="AF511" s="47"/>
      <c r="AG511" s="47"/>
      <c r="AH511" s="47"/>
      <c r="AI511" s="47"/>
      <c r="AJ511" s="47"/>
      <c r="AK511" s="47"/>
      <c r="AL511" s="47"/>
      <c r="AM511" s="47"/>
      <c r="AN511" s="47"/>
      <c r="AO511" s="47"/>
      <c r="AP511" s="47"/>
      <c r="AQ511" s="47"/>
      <c r="AR511" s="47"/>
      <c r="AS511" s="47"/>
      <c r="AT511" s="47"/>
      <c r="AU511" s="47"/>
      <c r="AV511" s="47"/>
      <c r="AW511" s="47"/>
      <c r="AX511" s="47"/>
      <c r="AY511" s="47"/>
      <c r="AZ511" s="47"/>
      <c r="BA511" s="47"/>
    </row>
    <row r="512" spans="3:53"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  <c r="AB512" s="47"/>
      <c r="AC512" s="47"/>
      <c r="AD512" s="47"/>
      <c r="AE512" s="47"/>
      <c r="AF512" s="47"/>
      <c r="AG512" s="47"/>
      <c r="AH512" s="47"/>
      <c r="AI512" s="47"/>
      <c r="AJ512" s="47"/>
      <c r="AK512" s="47"/>
      <c r="AL512" s="47"/>
      <c r="AM512" s="47"/>
      <c r="AN512" s="47"/>
      <c r="AO512" s="47"/>
      <c r="AP512" s="47"/>
      <c r="AQ512" s="47"/>
      <c r="AR512" s="47"/>
      <c r="AS512" s="47"/>
      <c r="AT512" s="47"/>
      <c r="AU512" s="47"/>
      <c r="AV512" s="47"/>
      <c r="AW512" s="47"/>
      <c r="AX512" s="47"/>
      <c r="AY512" s="47"/>
      <c r="AZ512" s="47"/>
      <c r="BA512" s="47"/>
    </row>
    <row r="513" spans="3:53"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  <c r="AC513" s="47"/>
      <c r="AD513" s="47"/>
      <c r="AE513" s="47"/>
      <c r="AF513" s="47"/>
      <c r="AG513" s="47"/>
      <c r="AH513" s="47"/>
      <c r="AI513" s="47"/>
      <c r="AJ513" s="47"/>
      <c r="AK513" s="47"/>
      <c r="AL513" s="47"/>
      <c r="AM513" s="47"/>
      <c r="AN513" s="47"/>
      <c r="AO513" s="47"/>
      <c r="AP513" s="47"/>
      <c r="AQ513" s="47"/>
      <c r="AR513" s="47"/>
      <c r="AS513" s="47"/>
      <c r="AT513" s="47"/>
      <c r="AU513" s="47"/>
      <c r="AV513" s="47"/>
      <c r="AW513" s="47"/>
      <c r="AX513" s="47"/>
      <c r="AY513" s="47"/>
      <c r="AZ513" s="47"/>
      <c r="BA513" s="47"/>
    </row>
    <row r="514" spans="3:53"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  <c r="AC514" s="47"/>
      <c r="AD514" s="47"/>
      <c r="AE514" s="47"/>
      <c r="AF514" s="47"/>
      <c r="AG514" s="47"/>
      <c r="AH514" s="47"/>
      <c r="AI514" s="47"/>
      <c r="AJ514" s="47"/>
      <c r="AK514" s="47"/>
      <c r="AL514" s="47"/>
      <c r="AM514" s="47"/>
      <c r="AN514" s="47"/>
      <c r="AO514" s="47"/>
      <c r="AP514" s="47"/>
      <c r="AQ514" s="47"/>
      <c r="AR514" s="47"/>
      <c r="AS514" s="47"/>
      <c r="AT514" s="47"/>
      <c r="AU514" s="47"/>
      <c r="AV514" s="47"/>
      <c r="AW514" s="47"/>
      <c r="AX514" s="47"/>
      <c r="AY514" s="47"/>
      <c r="AZ514" s="47"/>
      <c r="BA514" s="47"/>
    </row>
    <row r="515" spans="3:53"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47"/>
      <c r="AC515" s="47"/>
      <c r="AD515" s="47"/>
      <c r="AE515" s="47"/>
      <c r="AF515" s="47"/>
      <c r="AG515" s="47"/>
      <c r="AH515" s="47"/>
      <c r="AI515" s="47"/>
      <c r="AJ515" s="47"/>
      <c r="AK515" s="47"/>
      <c r="AL515" s="47"/>
      <c r="AM515" s="47"/>
      <c r="AN515" s="47"/>
      <c r="AO515" s="47"/>
      <c r="AP515" s="47"/>
      <c r="AQ515" s="47"/>
      <c r="AR515" s="47"/>
      <c r="AS515" s="47"/>
      <c r="AT515" s="47"/>
      <c r="AU515" s="47"/>
      <c r="AV515" s="47"/>
      <c r="AW515" s="47"/>
      <c r="AX515" s="47"/>
      <c r="AY515" s="47"/>
      <c r="AZ515" s="47"/>
      <c r="BA515" s="47"/>
    </row>
    <row r="516" spans="3:53"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  <c r="AC516" s="47"/>
      <c r="AD516" s="47"/>
      <c r="AE516" s="47"/>
      <c r="AF516" s="47"/>
      <c r="AG516" s="47"/>
      <c r="AH516" s="47"/>
      <c r="AI516" s="47"/>
      <c r="AJ516" s="47"/>
      <c r="AK516" s="47"/>
      <c r="AL516" s="47"/>
      <c r="AM516" s="47"/>
      <c r="AN516" s="47"/>
      <c r="AO516" s="47"/>
      <c r="AP516" s="47"/>
      <c r="AQ516" s="47"/>
      <c r="AR516" s="47"/>
      <c r="AS516" s="47"/>
      <c r="AT516" s="47"/>
      <c r="AU516" s="47"/>
      <c r="AV516" s="47"/>
      <c r="AW516" s="47"/>
      <c r="AX516" s="47"/>
      <c r="AY516" s="47"/>
      <c r="AZ516" s="47"/>
      <c r="BA516" s="47"/>
    </row>
    <row r="517" spans="3:53"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47"/>
      <c r="AC517" s="47"/>
      <c r="AD517" s="47"/>
      <c r="AE517" s="47"/>
      <c r="AF517" s="47"/>
      <c r="AG517" s="47"/>
      <c r="AH517" s="47"/>
      <c r="AI517" s="47"/>
      <c r="AJ517" s="47"/>
      <c r="AK517" s="47"/>
      <c r="AL517" s="47"/>
      <c r="AM517" s="47"/>
      <c r="AN517" s="47"/>
      <c r="AO517" s="47"/>
      <c r="AP517" s="47"/>
      <c r="AQ517" s="47"/>
      <c r="AR517" s="47"/>
      <c r="AS517" s="47"/>
      <c r="AT517" s="47"/>
      <c r="AU517" s="47"/>
      <c r="AV517" s="47"/>
      <c r="AW517" s="47"/>
      <c r="AX517" s="47"/>
      <c r="AY517" s="47"/>
      <c r="AZ517" s="47"/>
      <c r="BA517" s="47"/>
    </row>
    <row r="518" spans="3:53"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47"/>
      <c r="AC518" s="47"/>
      <c r="AD518" s="47"/>
      <c r="AE518" s="47"/>
      <c r="AF518" s="47"/>
      <c r="AG518" s="47"/>
      <c r="AH518" s="47"/>
      <c r="AI518" s="47"/>
      <c r="AJ518" s="47"/>
      <c r="AK518" s="47"/>
      <c r="AL518" s="47"/>
      <c r="AM518" s="47"/>
      <c r="AN518" s="47"/>
      <c r="AO518" s="47"/>
      <c r="AP518" s="47"/>
      <c r="AQ518" s="47"/>
      <c r="AR518" s="47"/>
      <c r="AS518" s="47"/>
      <c r="AT518" s="47"/>
      <c r="AU518" s="47"/>
      <c r="AV518" s="47"/>
      <c r="AW518" s="47"/>
      <c r="AX518" s="47"/>
      <c r="AY518" s="47"/>
      <c r="AZ518" s="47"/>
      <c r="BA518" s="47"/>
    </row>
    <row r="519" spans="3:53"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47"/>
      <c r="AC519" s="47"/>
      <c r="AD519" s="47"/>
      <c r="AE519" s="47"/>
      <c r="AF519" s="47"/>
      <c r="AG519" s="47"/>
      <c r="AH519" s="47"/>
      <c r="AI519" s="47"/>
      <c r="AJ519" s="47"/>
      <c r="AK519" s="47"/>
      <c r="AL519" s="47"/>
      <c r="AM519" s="47"/>
      <c r="AN519" s="47"/>
      <c r="AO519" s="47"/>
      <c r="AP519" s="47"/>
      <c r="AQ519" s="47"/>
      <c r="AR519" s="47"/>
      <c r="AS519" s="47"/>
      <c r="AT519" s="47"/>
      <c r="AU519" s="47"/>
      <c r="AV519" s="47"/>
      <c r="AW519" s="47"/>
      <c r="AX519" s="47"/>
      <c r="AY519" s="47"/>
      <c r="AZ519" s="47"/>
      <c r="BA519" s="47"/>
    </row>
    <row r="520" spans="3:53"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47"/>
      <c r="AC520" s="47"/>
      <c r="AD520" s="47"/>
      <c r="AE520" s="47"/>
      <c r="AF520" s="47"/>
      <c r="AG520" s="47"/>
      <c r="AH520" s="47"/>
      <c r="AI520" s="47"/>
      <c r="AJ520" s="47"/>
      <c r="AK520" s="47"/>
      <c r="AL520" s="47"/>
      <c r="AM520" s="47"/>
      <c r="AN520" s="47"/>
      <c r="AO520" s="47"/>
      <c r="AP520" s="47"/>
      <c r="AQ520" s="47"/>
      <c r="AR520" s="47"/>
      <c r="AS520" s="47"/>
      <c r="AT520" s="47"/>
      <c r="AU520" s="47"/>
      <c r="AV520" s="47"/>
      <c r="AW520" s="47"/>
      <c r="AX520" s="47"/>
      <c r="AY520" s="47"/>
      <c r="AZ520" s="47"/>
      <c r="BA520" s="47"/>
    </row>
    <row r="521" spans="3:53"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  <c r="AB521" s="47"/>
      <c r="AC521" s="47"/>
      <c r="AD521" s="47"/>
      <c r="AE521" s="47"/>
      <c r="AF521" s="47"/>
      <c r="AG521" s="47"/>
      <c r="AH521" s="47"/>
      <c r="AI521" s="47"/>
      <c r="AJ521" s="47"/>
      <c r="AK521" s="47"/>
      <c r="AL521" s="47"/>
      <c r="AM521" s="47"/>
      <c r="AN521" s="47"/>
      <c r="AO521" s="47"/>
      <c r="AP521" s="47"/>
      <c r="AQ521" s="47"/>
      <c r="AR521" s="47"/>
      <c r="AS521" s="47"/>
      <c r="AT521" s="47"/>
      <c r="AU521" s="47"/>
      <c r="AV521" s="47"/>
      <c r="AW521" s="47"/>
      <c r="AX521" s="47"/>
      <c r="AY521" s="47"/>
      <c r="AZ521" s="47"/>
      <c r="BA521" s="47"/>
    </row>
    <row r="522" spans="3:53"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  <c r="AC522" s="47"/>
      <c r="AD522" s="47"/>
      <c r="AE522" s="47"/>
      <c r="AF522" s="47"/>
      <c r="AG522" s="47"/>
      <c r="AH522" s="47"/>
      <c r="AI522" s="47"/>
      <c r="AJ522" s="47"/>
      <c r="AK522" s="47"/>
      <c r="AL522" s="47"/>
      <c r="AM522" s="47"/>
      <c r="AN522" s="47"/>
      <c r="AO522" s="47"/>
      <c r="AP522" s="47"/>
      <c r="AQ522" s="47"/>
      <c r="AR522" s="47"/>
      <c r="AS522" s="47"/>
      <c r="AT522" s="47"/>
      <c r="AU522" s="47"/>
      <c r="AV522" s="47"/>
      <c r="AW522" s="47"/>
      <c r="AX522" s="47"/>
      <c r="AY522" s="47"/>
      <c r="AZ522" s="47"/>
      <c r="BA522" s="47"/>
    </row>
    <row r="523" spans="3:53"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  <c r="AB523" s="47"/>
      <c r="AC523" s="47"/>
      <c r="AD523" s="47"/>
      <c r="AE523" s="47"/>
      <c r="AF523" s="47"/>
      <c r="AG523" s="47"/>
      <c r="AH523" s="47"/>
      <c r="AI523" s="47"/>
      <c r="AJ523" s="47"/>
      <c r="AK523" s="47"/>
      <c r="AL523" s="47"/>
      <c r="AM523" s="47"/>
      <c r="AN523" s="47"/>
      <c r="AO523" s="47"/>
      <c r="AP523" s="47"/>
      <c r="AQ523" s="47"/>
      <c r="AR523" s="47"/>
      <c r="AS523" s="47"/>
      <c r="AT523" s="47"/>
      <c r="AU523" s="47"/>
      <c r="AV523" s="47"/>
      <c r="AW523" s="47"/>
      <c r="AX523" s="47"/>
      <c r="AY523" s="47"/>
      <c r="AZ523" s="47"/>
      <c r="BA523" s="47"/>
    </row>
    <row r="524" spans="3:53"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47"/>
      <c r="AC524" s="47"/>
      <c r="AD524" s="47"/>
      <c r="AE524" s="47"/>
      <c r="AF524" s="47"/>
      <c r="AG524" s="47"/>
      <c r="AH524" s="47"/>
      <c r="AI524" s="47"/>
      <c r="AJ524" s="47"/>
      <c r="AK524" s="47"/>
      <c r="AL524" s="47"/>
      <c r="AM524" s="47"/>
      <c r="AN524" s="47"/>
      <c r="AO524" s="47"/>
      <c r="AP524" s="47"/>
      <c r="AQ524" s="47"/>
      <c r="AR524" s="47"/>
      <c r="AS524" s="47"/>
      <c r="AT524" s="47"/>
      <c r="AU524" s="47"/>
      <c r="AV524" s="47"/>
      <c r="AW524" s="47"/>
      <c r="AX524" s="47"/>
      <c r="AY524" s="47"/>
      <c r="AZ524" s="47"/>
      <c r="BA524" s="47"/>
    </row>
    <row r="525" spans="3:53"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47"/>
      <c r="AC525" s="47"/>
      <c r="AD525" s="47"/>
      <c r="AE525" s="47"/>
      <c r="AF525" s="47"/>
      <c r="AG525" s="47"/>
      <c r="AH525" s="47"/>
      <c r="AI525" s="47"/>
      <c r="AJ525" s="47"/>
      <c r="AK525" s="47"/>
      <c r="AL525" s="47"/>
      <c r="AM525" s="47"/>
      <c r="AN525" s="47"/>
      <c r="AO525" s="47"/>
      <c r="AP525" s="47"/>
      <c r="AQ525" s="47"/>
      <c r="AR525" s="47"/>
      <c r="AS525" s="47"/>
      <c r="AT525" s="47"/>
      <c r="AU525" s="47"/>
      <c r="AV525" s="47"/>
      <c r="AW525" s="47"/>
      <c r="AX525" s="47"/>
      <c r="AY525" s="47"/>
      <c r="AZ525" s="47"/>
      <c r="BA525" s="47"/>
    </row>
    <row r="526" spans="3:53"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  <c r="AB526" s="47"/>
      <c r="AC526" s="47"/>
      <c r="AD526" s="47"/>
      <c r="AE526" s="47"/>
      <c r="AF526" s="47"/>
      <c r="AG526" s="47"/>
      <c r="AH526" s="47"/>
      <c r="AI526" s="47"/>
      <c r="AJ526" s="47"/>
      <c r="AK526" s="47"/>
      <c r="AL526" s="47"/>
      <c r="AM526" s="47"/>
      <c r="AN526" s="47"/>
      <c r="AO526" s="47"/>
      <c r="AP526" s="47"/>
      <c r="AQ526" s="47"/>
      <c r="AR526" s="47"/>
      <c r="AS526" s="47"/>
      <c r="AT526" s="47"/>
      <c r="AU526" s="47"/>
      <c r="AV526" s="47"/>
      <c r="AW526" s="47"/>
      <c r="AX526" s="47"/>
      <c r="AY526" s="47"/>
      <c r="AZ526" s="47"/>
      <c r="BA526" s="47"/>
    </row>
    <row r="527" spans="3:53"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  <c r="AB527" s="47"/>
      <c r="AC527" s="47"/>
      <c r="AD527" s="47"/>
      <c r="AE527" s="47"/>
      <c r="AF527" s="47"/>
      <c r="AG527" s="47"/>
      <c r="AH527" s="47"/>
      <c r="AI527" s="47"/>
      <c r="AJ527" s="47"/>
      <c r="AK527" s="47"/>
      <c r="AL527" s="47"/>
      <c r="AM527" s="47"/>
      <c r="AN527" s="47"/>
      <c r="AO527" s="47"/>
      <c r="AP527" s="47"/>
      <c r="AQ527" s="47"/>
      <c r="AR527" s="47"/>
      <c r="AS527" s="47"/>
      <c r="AT527" s="47"/>
      <c r="AU527" s="47"/>
      <c r="AV527" s="47"/>
      <c r="AW527" s="47"/>
      <c r="AX527" s="47"/>
      <c r="AY527" s="47"/>
      <c r="AZ527" s="47"/>
      <c r="BA527" s="47"/>
    </row>
    <row r="528" spans="3:53"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47"/>
      <c r="AC528" s="47"/>
      <c r="AD528" s="47"/>
      <c r="AE528" s="47"/>
      <c r="AF528" s="47"/>
      <c r="AG528" s="47"/>
      <c r="AH528" s="47"/>
      <c r="AI528" s="47"/>
      <c r="AJ528" s="47"/>
      <c r="AK528" s="47"/>
      <c r="AL528" s="47"/>
      <c r="AM528" s="47"/>
      <c r="AN528" s="47"/>
      <c r="AO528" s="47"/>
      <c r="AP528" s="47"/>
      <c r="AQ528" s="47"/>
      <c r="AR528" s="47"/>
      <c r="AS528" s="47"/>
      <c r="AT528" s="47"/>
      <c r="AU528" s="47"/>
      <c r="AV528" s="47"/>
      <c r="AW528" s="47"/>
      <c r="AX528" s="47"/>
      <c r="AY528" s="47"/>
      <c r="AZ528" s="47"/>
      <c r="BA528" s="47"/>
    </row>
    <row r="529" spans="3:53"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  <c r="AC529" s="47"/>
      <c r="AD529" s="47"/>
      <c r="AE529" s="47"/>
      <c r="AF529" s="47"/>
      <c r="AG529" s="47"/>
      <c r="AH529" s="47"/>
      <c r="AI529" s="47"/>
      <c r="AJ529" s="47"/>
      <c r="AK529" s="47"/>
      <c r="AL529" s="47"/>
      <c r="AM529" s="47"/>
      <c r="AN529" s="47"/>
      <c r="AO529" s="47"/>
      <c r="AP529" s="47"/>
      <c r="AQ529" s="47"/>
      <c r="AR529" s="47"/>
      <c r="AS529" s="47"/>
      <c r="AT529" s="47"/>
      <c r="AU529" s="47"/>
      <c r="AV529" s="47"/>
      <c r="AW529" s="47"/>
      <c r="AX529" s="47"/>
      <c r="AY529" s="47"/>
      <c r="AZ529" s="47"/>
      <c r="BA529" s="47"/>
    </row>
    <row r="530" spans="3:53"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47"/>
      <c r="AC530" s="47"/>
      <c r="AD530" s="47"/>
      <c r="AE530" s="47"/>
      <c r="AF530" s="47"/>
      <c r="AG530" s="47"/>
      <c r="AH530" s="47"/>
      <c r="AI530" s="47"/>
      <c r="AJ530" s="47"/>
      <c r="AK530" s="47"/>
      <c r="AL530" s="47"/>
      <c r="AM530" s="47"/>
      <c r="AN530" s="47"/>
      <c r="AO530" s="47"/>
      <c r="AP530" s="47"/>
      <c r="AQ530" s="47"/>
      <c r="AR530" s="47"/>
      <c r="AS530" s="47"/>
      <c r="AT530" s="47"/>
      <c r="AU530" s="47"/>
      <c r="AV530" s="47"/>
      <c r="AW530" s="47"/>
      <c r="AX530" s="47"/>
      <c r="AY530" s="47"/>
      <c r="AZ530" s="47"/>
      <c r="BA530" s="47"/>
    </row>
    <row r="531" spans="3:53"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47"/>
      <c r="AC531" s="47"/>
      <c r="AD531" s="47"/>
      <c r="AE531" s="47"/>
      <c r="AF531" s="47"/>
      <c r="AG531" s="47"/>
      <c r="AH531" s="47"/>
      <c r="AI531" s="47"/>
      <c r="AJ531" s="47"/>
      <c r="AK531" s="47"/>
      <c r="AL531" s="47"/>
      <c r="AM531" s="47"/>
      <c r="AN531" s="47"/>
      <c r="AO531" s="47"/>
      <c r="AP531" s="47"/>
      <c r="AQ531" s="47"/>
      <c r="AR531" s="47"/>
      <c r="AS531" s="47"/>
      <c r="AT531" s="47"/>
      <c r="AU531" s="47"/>
      <c r="AV531" s="47"/>
      <c r="AW531" s="47"/>
      <c r="AX531" s="47"/>
      <c r="AY531" s="47"/>
      <c r="AZ531" s="47"/>
      <c r="BA531" s="47"/>
    </row>
    <row r="532" spans="3:53"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  <c r="AB532" s="47"/>
      <c r="AC532" s="47"/>
      <c r="AD532" s="47"/>
      <c r="AE532" s="47"/>
      <c r="AF532" s="47"/>
      <c r="AG532" s="47"/>
      <c r="AH532" s="47"/>
      <c r="AI532" s="47"/>
      <c r="AJ532" s="47"/>
      <c r="AK532" s="47"/>
      <c r="AL532" s="47"/>
      <c r="AM532" s="47"/>
      <c r="AN532" s="47"/>
      <c r="AO532" s="47"/>
      <c r="AP532" s="47"/>
      <c r="AQ532" s="47"/>
      <c r="AR532" s="47"/>
      <c r="AS532" s="47"/>
      <c r="AT532" s="47"/>
      <c r="AU532" s="47"/>
      <c r="AV532" s="47"/>
      <c r="AW532" s="47"/>
      <c r="AX532" s="47"/>
      <c r="AY532" s="47"/>
      <c r="AZ532" s="47"/>
      <c r="BA532" s="47"/>
    </row>
    <row r="533" spans="3:53"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47"/>
      <c r="AC533" s="47"/>
      <c r="AD533" s="47"/>
      <c r="AE533" s="47"/>
      <c r="AF533" s="47"/>
      <c r="AG533" s="47"/>
      <c r="AH533" s="47"/>
      <c r="AI533" s="47"/>
      <c r="AJ533" s="47"/>
      <c r="AK533" s="47"/>
      <c r="AL533" s="47"/>
      <c r="AM533" s="47"/>
      <c r="AN533" s="47"/>
      <c r="AO533" s="47"/>
      <c r="AP533" s="47"/>
      <c r="AQ533" s="47"/>
      <c r="AR533" s="47"/>
      <c r="AS533" s="47"/>
      <c r="AT533" s="47"/>
      <c r="AU533" s="47"/>
      <c r="AV533" s="47"/>
      <c r="AW533" s="47"/>
      <c r="AX533" s="47"/>
      <c r="AY533" s="47"/>
      <c r="AZ533" s="47"/>
      <c r="BA533" s="47"/>
    </row>
    <row r="534" spans="3:53"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47"/>
      <c r="AC534" s="47"/>
      <c r="AD534" s="47"/>
      <c r="AE534" s="47"/>
      <c r="AF534" s="47"/>
      <c r="AG534" s="47"/>
      <c r="AH534" s="47"/>
      <c r="AI534" s="47"/>
      <c r="AJ534" s="47"/>
      <c r="AK534" s="47"/>
      <c r="AL534" s="47"/>
      <c r="AM534" s="47"/>
      <c r="AN534" s="47"/>
      <c r="AO534" s="47"/>
      <c r="AP534" s="47"/>
      <c r="AQ534" s="47"/>
      <c r="AR534" s="47"/>
      <c r="AS534" s="47"/>
      <c r="AT534" s="47"/>
      <c r="AU534" s="47"/>
      <c r="AV534" s="47"/>
      <c r="AW534" s="47"/>
      <c r="AX534" s="47"/>
      <c r="AY534" s="47"/>
      <c r="AZ534" s="47"/>
      <c r="BA534" s="47"/>
    </row>
    <row r="535" spans="3:53"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47"/>
      <c r="AC535" s="47"/>
      <c r="AD535" s="47"/>
      <c r="AE535" s="47"/>
      <c r="AF535" s="47"/>
      <c r="AG535" s="47"/>
      <c r="AH535" s="47"/>
      <c r="AI535" s="47"/>
      <c r="AJ535" s="47"/>
      <c r="AK535" s="47"/>
      <c r="AL535" s="47"/>
      <c r="AM535" s="47"/>
      <c r="AN535" s="47"/>
      <c r="AO535" s="47"/>
      <c r="AP535" s="47"/>
      <c r="AQ535" s="47"/>
      <c r="AR535" s="47"/>
      <c r="AS535" s="47"/>
      <c r="AT535" s="47"/>
      <c r="AU535" s="47"/>
      <c r="AV535" s="47"/>
      <c r="AW535" s="47"/>
      <c r="AX535" s="47"/>
      <c r="AY535" s="47"/>
      <c r="AZ535" s="47"/>
      <c r="BA535" s="47"/>
    </row>
    <row r="536" spans="3:53"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47"/>
      <c r="AC536" s="47"/>
      <c r="AD536" s="47"/>
      <c r="AE536" s="47"/>
      <c r="AF536" s="47"/>
      <c r="AG536" s="47"/>
      <c r="AH536" s="47"/>
      <c r="AI536" s="47"/>
      <c r="AJ536" s="47"/>
      <c r="AK536" s="47"/>
      <c r="AL536" s="47"/>
      <c r="AM536" s="47"/>
      <c r="AN536" s="47"/>
      <c r="AO536" s="47"/>
      <c r="AP536" s="47"/>
      <c r="AQ536" s="47"/>
      <c r="AR536" s="47"/>
      <c r="AS536" s="47"/>
      <c r="AT536" s="47"/>
      <c r="AU536" s="47"/>
      <c r="AV536" s="47"/>
      <c r="AW536" s="47"/>
      <c r="AX536" s="47"/>
      <c r="AY536" s="47"/>
      <c r="AZ536" s="47"/>
      <c r="BA536" s="47"/>
    </row>
    <row r="537" spans="3:53"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  <c r="AC537" s="47"/>
      <c r="AD537" s="47"/>
      <c r="AE537" s="47"/>
      <c r="AF537" s="47"/>
      <c r="AG537" s="47"/>
      <c r="AH537" s="47"/>
      <c r="AI537" s="47"/>
      <c r="AJ537" s="47"/>
      <c r="AK537" s="47"/>
      <c r="AL537" s="47"/>
      <c r="AM537" s="47"/>
      <c r="AN537" s="47"/>
      <c r="AO537" s="47"/>
      <c r="AP537" s="47"/>
      <c r="AQ537" s="47"/>
      <c r="AR537" s="47"/>
      <c r="AS537" s="47"/>
      <c r="AT537" s="47"/>
      <c r="AU537" s="47"/>
      <c r="AV537" s="47"/>
      <c r="AW537" s="47"/>
      <c r="AX537" s="47"/>
      <c r="AY537" s="47"/>
      <c r="AZ537" s="47"/>
      <c r="BA537" s="47"/>
    </row>
    <row r="538" spans="3:53"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47"/>
      <c r="AC538" s="47"/>
      <c r="AD538" s="47"/>
      <c r="AE538" s="47"/>
      <c r="AF538" s="47"/>
      <c r="AG538" s="47"/>
      <c r="AH538" s="47"/>
      <c r="AI538" s="47"/>
      <c r="AJ538" s="47"/>
      <c r="AK538" s="47"/>
      <c r="AL538" s="47"/>
      <c r="AM538" s="47"/>
      <c r="AN538" s="47"/>
      <c r="AO538" s="47"/>
      <c r="AP538" s="47"/>
      <c r="AQ538" s="47"/>
      <c r="AR538" s="47"/>
      <c r="AS538" s="47"/>
      <c r="AT538" s="47"/>
      <c r="AU538" s="47"/>
      <c r="AV538" s="47"/>
      <c r="AW538" s="47"/>
      <c r="AX538" s="47"/>
      <c r="AY538" s="47"/>
      <c r="AZ538" s="47"/>
      <c r="BA538" s="47"/>
    </row>
    <row r="539" spans="3:53"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  <c r="AC539" s="47"/>
      <c r="AD539" s="47"/>
      <c r="AE539" s="47"/>
      <c r="AF539" s="47"/>
      <c r="AG539" s="47"/>
      <c r="AH539" s="47"/>
      <c r="AI539" s="47"/>
      <c r="AJ539" s="47"/>
      <c r="AK539" s="47"/>
      <c r="AL539" s="47"/>
      <c r="AM539" s="47"/>
      <c r="AN539" s="47"/>
      <c r="AO539" s="47"/>
      <c r="AP539" s="47"/>
      <c r="AQ539" s="47"/>
      <c r="AR539" s="47"/>
      <c r="AS539" s="47"/>
      <c r="AT539" s="47"/>
      <c r="AU539" s="47"/>
      <c r="AV539" s="47"/>
      <c r="AW539" s="47"/>
      <c r="AX539" s="47"/>
      <c r="AY539" s="47"/>
      <c r="AZ539" s="47"/>
      <c r="BA539" s="47"/>
    </row>
    <row r="540" spans="3:53"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  <c r="AC540" s="47"/>
      <c r="AD540" s="47"/>
      <c r="AE540" s="47"/>
      <c r="AF540" s="47"/>
      <c r="AG540" s="47"/>
      <c r="AH540" s="47"/>
      <c r="AI540" s="47"/>
      <c r="AJ540" s="47"/>
      <c r="AK540" s="47"/>
      <c r="AL540" s="47"/>
      <c r="AM540" s="47"/>
      <c r="AN540" s="47"/>
      <c r="AO540" s="47"/>
      <c r="AP540" s="47"/>
      <c r="AQ540" s="47"/>
      <c r="AR540" s="47"/>
      <c r="AS540" s="47"/>
      <c r="AT540" s="47"/>
      <c r="AU540" s="47"/>
      <c r="AV540" s="47"/>
      <c r="AW540" s="47"/>
      <c r="AX540" s="47"/>
      <c r="AY540" s="47"/>
      <c r="AZ540" s="47"/>
      <c r="BA540" s="47"/>
    </row>
    <row r="541" spans="3:53"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  <c r="AB541" s="47"/>
      <c r="AC541" s="47"/>
      <c r="AD541" s="47"/>
      <c r="AE541" s="47"/>
      <c r="AF541" s="47"/>
      <c r="AG541" s="47"/>
      <c r="AH541" s="47"/>
      <c r="AI541" s="47"/>
      <c r="AJ541" s="47"/>
      <c r="AK541" s="47"/>
      <c r="AL541" s="47"/>
      <c r="AM541" s="47"/>
      <c r="AN541" s="47"/>
      <c r="AO541" s="47"/>
      <c r="AP541" s="47"/>
      <c r="AQ541" s="47"/>
      <c r="AR541" s="47"/>
      <c r="AS541" s="47"/>
      <c r="AT541" s="47"/>
      <c r="AU541" s="47"/>
      <c r="AV541" s="47"/>
      <c r="AW541" s="47"/>
      <c r="AX541" s="47"/>
      <c r="AY541" s="47"/>
      <c r="AZ541" s="47"/>
      <c r="BA541" s="47"/>
    </row>
    <row r="542" spans="3:53"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47"/>
      <c r="AC542" s="47"/>
      <c r="AD542" s="47"/>
      <c r="AE542" s="47"/>
      <c r="AF542" s="47"/>
      <c r="AG542" s="47"/>
      <c r="AH542" s="47"/>
      <c r="AI542" s="47"/>
      <c r="AJ542" s="47"/>
      <c r="AK542" s="47"/>
      <c r="AL542" s="47"/>
      <c r="AM542" s="47"/>
      <c r="AN542" s="47"/>
      <c r="AO542" s="47"/>
      <c r="AP542" s="47"/>
      <c r="AQ542" s="47"/>
      <c r="AR542" s="47"/>
      <c r="AS542" s="47"/>
      <c r="AT542" s="47"/>
      <c r="AU542" s="47"/>
      <c r="AV542" s="47"/>
      <c r="AW542" s="47"/>
      <c r="AX542" s="47"/>
      <c r="AY542" s="47"/>
      <c r="AZ542" s="47"/>
      <c r="BA542" s="47"/>
    </row>
    <row r="543" spans="3:53"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47"/>
      <c r="AC543" s="47"/>
      <c r="AD543" s="47"/>
      <c r="AE543" s="47"/>
      <c r="AF543" s="47"/>
      <c r="AG543" s="47"/>
      <c r="AH543" s="47"/>
      <c r="AI543" s="47"/>
      <c r="AJ543" s="47"/>
      <c r="AK543" s="47"/>
      <c r="AL543" s="47"/>
      <c r="AM543" s="47"/>
      <c r="AN543" s="47"/>
      <c r="AO543" s="47"/>
      <c r="AP543" s="47"/>
      <c r="AQ543" s="47"/>
      <c r="AR543" s="47"/>
      <c r="AS543" s="47"/>
      <c r="AT543" s="47"/>
      <c r="AU543" s="47"/>
      <c r="AV543" s="47"/>
      <c r="AW543" s="47"/>
      <c r="AX543" s="47"/>
      <c r="AY543" s="47"/>
      <c r="AZ543" s="47"/>
      <c r="BA543" s="47"/>
    </row>
    <row r="544" spans="3:53"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47"/>
      <c r="AY544" s="47"/>
      <c r="AZ544" s="47"/>
      <c r="BA544" s="47"/>
    </row>
    <row r="545" spans="3:53"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  <c r="AC545" s="47"/>
      <c r="AD545" s="47"/>
      <c r="AE545" s="47"/>
      <c r="AF545" s="47"/>
      <c r="AG545" s="47"/>
      <c r="AH545" s="47"/>
      <c r="AI545" s="47"/>
      <c r="AJ545" s="47"/>
      <c r="AK545" s="47"/>
      <c r="AL545" s="47"/>
      <c r="AM545" s="47"/>
      <c r="AN545" s="47"/>
      <c r="AO545" s="47"/>
      <c r="AP545" s="47"/>
      <c r="AQ545" s="47"/>
      <c r="AR545" s="47"/>
      <c r="AS545" s="47"/>
      <c r="AT545" s="47"/>
      <c r="AU545" s="47"/>
      <c r="AV545" s="47"/>
      <c r="AW545" s="47"/>
      <c r="AX545" s="47"/>
      <c r="AY545" s="47"/>
      <c r="AZ545" s="47"/>
      <c r="BA545" s="47"/>
    </row>
    <row r="546" spans="3:53"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47"/>
      <c r="AC546" s="47"/>
      <c r="AD546" s="47"/>
      <c r="AE546" s="47"/>
      <c r="AF546" s="47"/>
      <c r="AG546" s="47"/>
      <c r="AH546" s="47"/>
      <c r="AI546" s="47"/>
      <c r="AJ546" s="47"/>
      <c r="AK546" s="47"/>
      <c r="AL546" s="47"/>
      <c r="AM546" s="47"/>
      <c r="AN546" s="47"/>
      <c r="AO546" s="47"/>
      <c r="AP546" s="47"/>
      <c r="AQ546" s="47"/>
      <c r="AR546" s="47"/>
      <c r="AS546" s="47"/>
      <c r="AT546" s="47"/>
      <c r="AU546" s="47"/>
      <c r="AV546" s="47"/>
      <c r="AW546" s="47"/>
      <c r="AX546" s="47"/>
      <c r="AY546" s="47"/>
      <c r="AZ546" s="47"/>
      <c r="BA546" s="47"/>
    </row>
    <row r="547" spans="3:53"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47"/>
      <c r="AC547" s="47"/>
      <c r="AD547" s="47"/>
      <c r="AE547" s="47"/>
      <c r="AF547" s="47"/>
      <c r="AG547" s="47"/>
      <c r="AH547" s="47"/>
      <c r="AI547" s="47"/>
      <c r="AJ547" s="47"/>
      <c r="AK547" s="47"/>
      <c r="AL547" s="47"/>
      <c r="AM547" s="47"/>
      <c r="AN547" s="47"/>
      <c r="AO547" s="47"/>
      <c r="AP547" s="47"/>
      <c r="AQ547" s="47"/>
      <c r="AR547" s="47"/>
      <c r="AS547" s="47"/>
      <c r="AT547" s="47"/>
      <c r="AU547" s="47"/>
      <c r="AV547" s="47"/>
      <c r="AW547" s="47"/>
      <c r="AX547" s="47"/>
      <c r="AY547" s="47"/>
      <c r="AZ547" s="47"/>
      <c r="BA547" s="47"/>
    </row>
    <row r="548" spans="3:53"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47"/>
      <c r="AC548" s="47"/>
      <c r="AD548" s="47"/>
      <c r="AE548" s="47"/>
      <c r="AF548" s="47"/>
      <c r="AG548" s="47"/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  <c r="AV548" s="47"/>
      <c r="AW548" s="47"/>
      <c r="AX548" s="47"/>
      <c r="AY548" s="47"/>
      <c r="AZ548" s="47"/>
      <c r="BA548" s="47"/>
    </row>
    <row r="549" spans="3:53"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47"/>
      <c r="AC549" s="47"/>
      <c r="AD549" s="47"/>
      <c r="AE549" s="47"/>
      <c r="AF549" s="47"/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  <c r="AV549" s="47"/>
      <c r="AW549" s="47"/>
      <c r="AX549" s="47"/>
      <c r="AY549" s="47"/>
      <c r="AZ549" s="47"/>
      <c r="BA549" s="47"/>
    </row>
    <row r="550" spans="3:53"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  <c r="AB550" s="47"/>
      <c r="AC550" s="47"/>
      <c r="AD550" s="47"/>
      <c r="AE550" s="47"/>
      <c r="AF550" s="47"/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  <c r="AV550" s="47"/>
      <c r="AW550" s="47"/>
      <c r="AX550" s="47"/>
      <c r="AY550" s="47"/>
      <c r="AZ550" s="47"/>
      <c r="BA550" s="47"/>
    </row>
    <row r="551" spans="3:53"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47"/>
      <c r="AC551" s="47"/>
      <c r="AD551" s="47"/>
      <c r="AE551" s="47"/>
      <c r="AF551" s="47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47"/>
      <c r="AW551" s="47"/>
      <c r="AX551" s="47"/>
      <c r="AY551" s="47"/>
      <c r="AZ551" s="47"/>
      <c r="BA551" s="47"/>
    </row>
    <row r="552" spans="3:53"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7"/>
      <c r="R552" s="47"/>
      <c r="S552" s="47"/>
      <c r="T552" s="47"/>
      <c r="U552" s="47"/>
      <c r="V552" s="47"/>
      <c r="W552" s="47"/>
      <c r="X552" s="47"/>
      <c r="Y552" s="47"/>
      <c r="Z552" s="47"/>
      <c r="AA552" s="47"/>
      <c r="AB552" s="47"/>
      <c r="AC552" s="47"/>
      <c r="AD552" s="47"/>
      <c r="AE552" s="47"/>
      <c r="AF552" s="47"/>
      <c r="AG552" s="47"/>
      <c r="AH552" s="47"/>
      <c r="AI552" s="47"/>
      <c r="AJ552" s="47"/>
      <c r="AK552" s="47"/>
      <c r="AL552" s="47"/>
      <c r="AM552" s="47"/>
      <c r="AN552" s="47"/>
      <c r="AO552" s="47"/>
      <c r="AP552" s="47"/>
      <c r="AQ552" s="47"/>
      <c r="AR552" s="47"/>
      <c r="AS552" s="47"/>
      <c r="AT552" s="47"/>
      <c r="AU552" s="47"/>
      <c r="AV552" s="47"/>
      <c r="AW552" s="47"/>
      <c r="AX552" s="47"/>
      <c r="AY552" s="47"/>
      <c r="AZ552" s="47"/>
      <c r="BA552" s="47"/>
    </row>
    <row r="553" spans="3:53"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47"/>
      <c r="AC553" s="47"/>
      <c r="AD553" s="47"/>
      <c r="AE553" s="47"/>
      <c r="AF553" s="47"/>
      <c r="AG553" s="47"/>
      <c r="AH553" s="47"/>
      <c r="AI553" s="47"/>
      <c r="AJ553" s="47"/>
      <c r="AK553" s="47"/>
      <c r="AL553" s="47"/>
      <c r="AM553" s="47"/>
      <c r="AN553" s="47"/>
      <c r="AO553" s="47"/>
      <c r="AP553" s="47"/>
      <c r="AQ553" s="47"/>
      <c r="AR553" s="47"/>
      <c r="AS553" s="47"/>
      <c r="AT553" s="47"/>
      <c r="AU553" s="47"/>
      <c r="AV553" s="47"/>
      <c r="AW553" s="47"/>
      <c r="AX553" s="47"/>
      <c r="AY553" s="47"/>
      <c r="AZ553" s="47"/>
      <c r="BA553" s="47"/>
    </row>
    <row r="554" spans="3:53"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  <c r="AD554" s="47"/>
      <c r="AE554" s="47"/>
      <c r="AF554" s="47"/>
      <c r="AG554" s="47"/>
      <c r="AH554" s="47"/>
      <c r="AI554" s="47"/>
      <c r="AJ554" s="47"/>
      <c r="AK554" s="47"/>
      <c r="AL554" s="47"/>
      <c r="AM554" s="47"/>
      <c r="AN554" s="47"/>
      <c r="AO554" s="47"/>
      <c r="AP554" s="47"/>
      <c r="AQ554" s="47"/>
      <c r="AR554" s="47"/>
      <c r="AS554" s="47"/>
      <c r="AT554" s="47"/>
      <c r="AU554" s="47"/>
      <c r="AV554" s="47"/>
      <c r="AW554" s="47"/>
      <c r="AX554" s="47"/>
      <c r="AY554" s="47"/>
      <c r="AZ554" s="47"/>
      <c r="BA554" s="47"/>
    </row>
    <row r="555" spans="3:53"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  <c r="AD555" s="47"/>
      <c r="AE555" s="47"/>
      <c r="AF555" s="47"/>
      <c r="AG555" s="47"/>
      <c r="AH555" s="47"/>
      <c r="AI555" s="47"/>
      <c r="AJ555" s="47"/>
      <c r="AK555" s="47"/>
      <c r="AL555" s="47"/>
      <c r="AM555" s="47"/>
      <c r="AN555" s="47"/>
      <c r="AO555" s="47"/>
      <c r="AP555" s="47"/>
      <c r="AQ555" s="47"/>
      <c r="AR555" s="47"/>
      <c r="AS555" s="47"/>
      <c r="AT555" s="47"/>
      <c r="AU555" s="47"/>
      <c r="AV555" s="47"/>
      <c r="AW555" s="47"/>
      <c r="AX555" s="47"/>
      <c r="AY555" s="47"/>
      <c r="AZ555" s="47"/>
      <c r="BA555" s="47"/>
    </row>
    <row r="556" spans="3:53"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47"/>
      <c r="AC556" s="47"/>
      <c r="AD556" s="47"/>
      <c r="AE556" s="47"/>
      <c r="AF556" s="47"/>
      <c r="AG556" s="47"/>
      <c r="AH556" s="47"/>
      <c r="AI556" s="47"/>
      <c r="AJ556" s="47"/>
      <c r="AK556" s="47"/>
      <c r="AL556" s="47"/>
      <c r="AM556" s="47"/>
      <c r="AN556" s="47"/>
      <c r="AO556" s="47"/>
      <c r="AP556" s="47"/>
      <c r="AQ556" s="47"/>
      <c r="AR556" s="47"/>
      <c r="AS556" s="47"/>
      <c r="AT556" s="47"/>
      <c r="AU556" s="47"/>
      <c r="AV556" s="47"/>
      <c r="AW556" s="47"/>
      <c r="AX556" s="47"/>
      <c r="AY556" s="47"/>
      <c r="AZ556" s="47"/>
      <c r="BA556" s="47"/>
    </row>
    <row r="557" spans="3:53"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47"/>
      <c r="AC557" s="47"/>
      <c r="AD557" s="47"/>
      <c r="AE557" s="47"/>
      <c r="AF557" s="47"/>
      <c r="AG557" s="47"/>
      <c r="AH557" s="47"/>
      <c r="AI557" s="47"/>
      <c r="AJ557" s="47"/>
      <c r="AK557" s="47"/>
      <c r="AL557" s="47"/>
      <c r="AM557" s="47"/>
      <c r="AN557" s="47"/>
      <c r="AO557" s="47"/>
      <c r="AP557" s="47"/>
      <c r="AQ557" s="47"/>
      <c r="AR557" s="47"/>
      <c r="AS557" s="47"/>
      <c r="AT557" s="47"/>
      <c r="AU557" s="47"/>
      <c r="AV557" s="47"/>
      <c r="AW557" s="47"/>
      <c r="AX557" s="47"/>
      <c r="AY557" s="47"/>
      <c r="AZ557" s="47"/>
      <c r="BA557" s="47"/>
    </row>
    <row r="558" spans="3:53"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  <c r="AC558" s="47"/>
      <c r="AD558" s="47"/>
      <c r="AE558" s="47"/>
      <c r="AF558" s="47"/>
      <c r="AG558" s="47"/>
      <c r="AH558" s="47"/>
      <c r="AI558" s="47"/>
      <c r="AJ558" s="47"/>
      <c r="AK558" s="47"/>
      <c r="AL558" s="47"/>
      <c r="AM558" s="47"/>
      <c r="AN558" s="47"/>
      <c r="AO558" s="47"/>
      <c r="AP558" s="47"/>
      <c r="AQ558" s="47"/>
      <c r="AR558" s="47"/>
      <c r="AS558" s="47"/>
      <c r="AT558" s="47"/>
      <c r="AU558" s="47"/>
      <c r="AV558" s="47"/>
      <c r="AW558" s="47"/>
      <c r="AX558" s="47"/>
      <c r="AY558" s="47"/>
      <c r="AZ558" s="47"/>
      <c r="BA558" s="47"/>
    </row>
    <row r="559" spans="3:53"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  <c r="AC559" s="47"/>
      <c r="AD559" s="47"/>
      <c r="AE559" s="47"/>
      <c r="AF559" s="47"/>
      <c r="AG559" s="47"/>
      <c r="AH559" s="47"/>
      <c r="AI559" s="47"/>
      <c r="AJ559" s="47"/>
      <c r="AK559" s="47"/>
      <c r="AL559" s="47"/>
      <c r="AM559" s="47"/>
      <c r="AN559" s="47"/>
      <c r="AO559" s="47"/>
      <c r="AP559" s="47"/>
      <c r="AQ559" s="47"/>
      <c r="AR559" s="47"/>
      <c r="AS559" s="47"/>
      <c r="AT559" s="47"/>
      <c r="AU559" s="47"/>
      <c r="AV559" s="47"/>
      <c r="AW559" s="47"/>
      <c r="AX559" s="47"/>
      <c r="AY559" s="47"/>
      <c r="AZ559" s="47"/>
      <c r="BA559" s="47"/>
    </row>
    <row r="560" spans="3:53"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47"/>
      <c r="AC560" s="47"/>
      <c r="AD560" s="47"/>
      <c r="AE560" s="47"/>
      <c r="AF560" s="47"/>
      <c r="AG560" s="47"/>
      <c r="AH560" s="47"/>
      <c r="AI560" s="47"/>
      <c r="AJ560" s="47"/>
      <c r="AK560" s="47"/>
      <c r="AL560" s="47"/>
      <c r="AM560" s="47"/>
      <c r="AN560" s="47"/>
      <c r="AO560" s="47"/>
      <c r="AP560" s="47"/>
      <c r="AQ560" s="47"/>
      <c r="AR560" s="47"/>
      <c r="AS560" s="47"/>
      <c r="AT560" s="47"/>
      <c r="AU560" s="47"/>
      <c r="AV560" s="47"/>
      <c r="AW560" s="47"/>
      <c r="AX560" s="47"/>
      <c r="AY560" s="47"/>
      <c r="AZ560" s="47"/>
      <c r="BA560" s="47"/>
    </row>
    <row r="561" spans="3:53"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47"/>
      <c r="AC561" s="47"/>
      <c r="AD561" s="47"/>
      <c r="AE561" s="47"/>
      <c r="AF561" s="47"/>
      <c r="AG561" s="47"/>
      <c r="AH561" s="47"/>
      <c r="AI561" s="47"/>
      <c r="AJ561" s="47"/>
      <c r="AK561" s="47"/>
      <c r="AL561" s="47"/>
      <c r="AM561" s="47"/>
      <c r="AN561" s="47"/>
      <c r="AO561" s="47"/>
      <c r="AP561" s="47"/>
      <c r="AQ561" s="47"/>
      <c r="AR561" s="47"/>
      <c r="AS561" s="47"/>
      <c r="AT561" s="47"/>
      <c r="AU561" s="47"/>
      <c r="AV561" s="47"/>
      <c r="AW561" s="47"/>
      <c r="AX561" s="47"/>
      <c r="AY561" s="47"/>
      <c r="AZ561" s="47"/>
      <c r="BA561" s="47"/>
    </row>
    <row r="562" spans="3:53"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  <c r="AB562" s="47"/>
      <c r="AC562" s="47"/>
      <c r="AD562" s="47"/>
      <c r="AE562" s="47"/>
      <c r="AF562" s="47"/>
      <c r="AG562" s="47"/>
      <c r="AH562" s="47"/>
      <c r="AI562" s="47"/>
      <c r="AJ562" s="47"/>
      <c r="AK562" s="47"/>
      <c r="AL562" s="47"/>
      <c r="AM562" s="47"/>
      <c r="AN562" s="47"/>
      <c r="AO562" s="47"/>
      <c r="AP562" s="47"/>
      <c r="AQ562" s="47"/>
      <c r="AR562" s="47"/>
      <c r="AS562" s="47"/>
      <c r="AT562" s="47"/>
      <c r="AU562" s="47"/>
      <c r="AV562" s="47"/>
      <c r="AW562" s="47"/>
      <c r="AX562" s="47"/>
      <c r="AY562" s="47"/>
      <c r="AZ562" s="47"/>
      <c r="BA562" s="47"/>
    </row>
    <row r="563" spans="3:53"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  <c r="AB563" s="47"/>
      <c r="AC563" s="47"/>
      <c r="AD563" s="47"/>
      <c r="AE563" s="47"/>
      <c r="AF563" s="47"/>
      <c r="AG563" s="47"/>
      <c r="AH563" s="47"/>
      <c r="AI563" s="47"/>
      <c r="AJ563" s="47"/>
      <c r="AK563" s="47"/>
      <c r="AL563" s="47"/>
      <c r="AM563" s="47"/>
      <c r="AN563" s="47"/>
      <c r="AO563" s="47"/>
      <c r="AP563" s="47"/>
      <c r="AQ563" s="47"/>
      <c r="AR563" s="47"/>
      <c r="AS563" s="47"/>
      <c r="AT563" s="47"/>
      <c r="AU563" s="47"/>
      <c r="AV563" s="47"/>
      <c r="AW563" s="47"/>
      <c r="AX563" s="47"/>
      <c r="AY563" s="47"/>
      <c r="AZ563" s="47"/>
      <c r="BA563" s="47"/>
    </row>
    <row r="564" spans="3:53"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  <c r="AC564" s="47"/>
      <c r="AD564" s="47"/>
      <c r="AE564" s="47"/>
      <c r="AF564" s="47"/>
      <c r="AG564" s="47"/>
      <c r="AH564" s="47"/>
      <c r="AI564" s="47"/>
      <c r="AJ564" s="47"/>
      <c r="AK564" s="47"/>
      <c r="AL564" s="47"/>
      <c r="AM564" s="47"/>
      <c r="AN564" s="47"/>
      <c r="AO564" s="47"/>
      <c r="AP564" s="47"/>
      <c r="AQ564" s="47"/>
      <c r="AR564" s="47"/>
      <c r="AS564" s="47"/>
      <c r="AT564" s="47"/>
      <c r="AU564" s="47"/>
      <c r="AV564" s="47"/>
      <c r="AW564" s="47"/>
      <c r="AX564" s="47"/>
      <c r="AY564" s="47"/>
      <c r="AZ564" s="47"/>
      <c r="BA564" s="47"/>
    </row>
    <row r="565" spans="3:53"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47"/>
      <c r="AC565" s="47"/>
      <c r="AD565" s="47"/>
      <c r="AE565" s="47"/>
      <c r="AF565" s="47"/>
      <c r="AG565" s="47"/>
      <c r="AH565" s="47"/>
      <c r="AI565" s="47"/>
      <c r="AJ565" s="47"/>
      <c r="AK565" s="47"/>
      <c r="AL565" s="47"/>
      <c r="AM565" s="47"/>
      <c r="AN565" s="47"/>
      <c r="AO565" s="47"/>
      <c r="AP565" s="47"/>
      <c r="AQ565" s="47"/>
      <c r="AR565" s="47"/>
      <c r="AS565" s="47"/>
      <c r="AT565" s="47"/>
      <c r="AU565" s="47"/>
      <c r="AV565" s="47"/>
      <c r="AW565" s="47"/>
      <c r="AX565" s="47"/>
      <c r="AY565" s="47"/>
      <c r="AZ565" s="47"/>
      <c r="BA565" s="47"/>
    </row>
    <row r="566" spans="3:53"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  <c r="AB566" s="47"/>
      <c r="AC566" s="47"/>
      <c r="AD566" s="47"/>
      <c r="AE566" s="47"/>
      <c r="AF566" s="47"/>
      <c r="AG566" s="47"/>
      <c r="AH566" s="47"/>
      <c r="AI566" s="47"/>
      <c r="AJ566" s="47"/>
      <c r="AK566" s="47"/>
      <c r="AL566" s="47"/>
      <c r="AM566" s="47"/>
      <c r="AN566" s="47"/>
      <c r="AO566" s="47"/>
      <c r="AP566" s="47"/>
      <c r="AQ566" s="47"/>
      <c r="AR566" s="47"/>
      <c r="AS566" s="47"/>
      <c r="AT566" s="47"/>
      <c r="AU566" s="47"/>
      <c r="AV566" s="47"/>
      <c r="AW566" s="47"/>
      <c r="AX566" s="47"/>
      <c r="AY566" s="47"/>
      <c r="AZ566" s="47"/>
      <c r="BA566" s="47"/>
    </row>
    <row r="567" spans="3:53"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47"/>
      <c r="AC567" s="47"/>
      <c r="AD567" s="47"/>
      <c r="AE567" s="47"/>
      <c r="AF567" s="47"/>
      <c r="AG567" s="47"/>
      <c r="AH567" s="47"/>
      <c r="AI567" s="47"/>
      <c r="AJ567" s="47"/>
      <c r="AK567" s="47"/>
      <c r="AL567" s="47"/>
      <c r="AM567" s="47"/>
      <c r="AN567" s="47"/>
      <c r="AO567" s="47"/>
      <c r="AP567" s="47"/>
      <c r="AQ567" s="47"/>
      <c r="AR567" s="47"/>
      <c r="AS567" s="47"/>
      <c r="AT567" s="47"/>
      <c r="AU567" s="47"/>
      <c r="AV567" s="47"/>
      <c r="AW567" s="47"/>
      <c r="AX567" s="47"/>
      <c r="AY567" s="47"/>
      <c r="AZ567" s="47"/>
      <c r="BA567" s="47"/>
    </row>
    <row r="568" spans="3:53"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7"/>
      <c r="R568" s="47"/>
      <c r="S568" s="47"/>
      <c r="T568" s="47"/>
      <c r="U568" s="47"/>
      <c r="V568" s="47"/>
      <c r="W568" s="47"/>
      <c r="X568" s="47"/>
      <c r="Y568" s="47"/>
      <c r="Z568" s="47"/>
      <c r="AA568" s="47"/>
      <c r="AB568" s="47"/>
      <c r="AC568" s="47"/>
      <c r="AD568" s="47"/>
      <c r="AE568" s="47"/>
      <c r="AF568" s="47"/>
      <c r="AG568" s="47"/>
      <c r="AH568" s="47"/>
      <c r="AI568" s="47"/>
      <c r="AJ568" s="47"/>
      <c r="AK568" s="47"/>
      <c r="AL568" s="47"/>
      <c r="AM568" s="47"/>
      <c r="AN568" s="47"/>
      <c r="AO568" s="47"/>
      <c r="AP568" s="47"/>
      <c r="AQ568" s="47"/>
      <c r="AR568" s="47"/>
      <c r="AS568" s="47"/>
      <c r="AT568" s="47"/>
      <c r="AU568" s="47"/>
      <c r="AV568" s="47"/>
      <c r="AW568" s="47"/>
      <c r="AX568" s="47"/>
      <c r="AY568" s="47"/>
      <c r="AZ568" s="47"/>
      <c r="BA568" s="47"/>
    </row>
    <row r="569" spans="3:53"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47"/>
      <c r="AC569" s="47"/>
      <c r="AD569" s="47"/>
      <c r="AE569" s="47"/>
      <c r="AF569" s="47"/>
      <c r="AG569" s="47"/>
      <c r="AH569" s="47"/>
      <c r="AI569" s="47"/>
      <c r="AJ569" s="47"/>
      <c r="AK569" s="47"/>
      <c r="AL569" s="47"/>
      <c r="AM569" s="47"/>
      <c r="AN569" s="47"/>
      <c r="AO569" s="47"/>
      <c r="AP569" s="47"/>
      <c r="AQ569" s="47"/>
      <c r="AR569" s="47"/>
      <c r="AS569" s="47"/>
      <c r="AT569" s="47"/>
      <c r="AU569" s="47"/>
      <c r="AV569" s="47"/>
      <c r="AW569" s="47"/>
      <c r="AX569" s="47"/>
      <c r="AY569" s="47"/>
      <c r="AZ569" s="47"/>
      <c r="BA569" s="47"/>
    </row>
    <row r="570" spans="3:53"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47"/>
      <c r="AC570" s="47"/>
      <c r="AD570" s="47"/>
      <c r="AE570" s="47"/>
      <c r="AF570" s="47"/>
      <c r="AG570" s="47"/>
      <c r="AH570" s="47"/>
      <c r="AI570" s="47"/>
      <c r="AJ570" s="47"/>
      <c r="AK570" s="47"/>
      <c r="AL570" s="47"/>
      <c r="AM570" s="47"/>
      <c r="AN570" s="47"/>
      <c r="AO570" s="47"/>
      <c r="AP570" s="47"/>
      <c r="AQ570" s="47"/>
      <c r="AR570" s="47"/>
      <c r="AS570" s="47"/>
      <c r="AT570" s="47"/>
      <c r="AU570" s="47"/>
      <c r="AV570" s="47"/>
      <c r="AW570" s="47"/>
      <c r="AX570" s="47"/>
      <c r="AY570" s="47"/>
      <c r="AZ570" s="47"/>
      <c r="BA570" s="47"/>
    </row>
    <row r="571" spans="3:53"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  <c r="AB571" s="47"/>
      <c r="AC571" s="47"/>
      <c r="AD571" s="47"/>
      <c r="AE571" s="47"/>
      <c r="AF571" s="47"/>
      <c r="AG571" s="47"/>
      <c r="AH571" s="47"/>
      <c r="AI571" s="47"/>
      <c r="AJ571" s="47"/>
      <c r="AK571" s="47"/>
      <c r="AL571" s="47"/>
      <c r="AM571" s="47"/>
      <c r="AN571" s="47"/>
      <c r="AO571" s="47"/>
      <c r="AP571" s="47"/>
      <c r="AQ571" s="47"/>
      <c r="AR571" s="47"/>
      <c r="AS571" s="47"/>
      <c r="AT571" s="47"/>
      <c r="AU571" s="47"/>
      <c r="AV571" s="47"/>
      <c r="AW571" s="47"/>
      <c r="AX571" s="47"/>
      <c r="AY571" s="47"/>
      <c r="AZ571" s="47"/>
      <c r="BA571" s="47"/>
    </row>
    <row r="572" spans="3:53"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  <c r="AB572" s="47"/>
      <c r="AC572" s="47"/>
      <c r="AD572" s="47"/>
      <c r="AE572" s="47"/>
      <c r="AF572" s="47"/>
      <c r="AG572" s="47"/>
      <c r="AH572" s="47"/>
      <c r="AI572" s="47"/>
      <c r="AJ572" s="47"/>
      <c r="AK572" s="47"/>
      <c r="AL572" s="47"/>
      <c r="AM572" s="47"/>
      <c r="AN572" s="47"/>
      <c r="AO572" s="47"/>
      <c r="AP572" s="47"/>
      <c r="AQ572" s="47"/>
      <c r="AR572" s="47"/>
      <c r="AS572" s="47"/>
      <c r="AT572" s="47"/>
      <c r="AU572" s="47"/>
      <c r="AV572" s="47"/>
      <c r="AW572" s="47"/>
      <c r="AX572" s="47"/>
      <c r="AY572" s="47"/>
      <c r="AZ572" s="47"/>
      <c r="BA572" s="47"/>
    </row>
    <row r="573" spans="3:53"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  <c r="AC573" s="47"/>
      <c r="AD573" s="47"/>
      <c r="AE573" s="47"/>
      <c r="AF573" s="47"/>
      <c r="AG573" s="47"/>
      <c r="AH573" s="47"/>
      <c r="AI573" s="47"/>
      <c r="AJ573" s="47"/>
      <c r="AK573" s="47"/>
      <c r="AL573" s="47"/>
      <c r="AM573" s="47"/>
      <c r="AN573" s="47"/>
      <c r="AO573" s="47"/>
      <c r="AP573" s="47"/>
      <c r="AQ573" s="47"/>
      <c r="AR573" s="47"/>
      <c r="AS573" s="47"/>
      <c r="AT573" s="47"/>
      <c r="AU573" s="47"/>
      <c r="AV573" s="47"/>
      <c r="AW573" s="47"/>
      <c r="AX573" s="47"/>
      <c r="AY573" s="47"/>
      <c r="AZ573" s="47"/>
      <c r="BA573" s="47"/>
    </row>
    <row r="574" spans="3:53"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7"/>
      <c r="R574" s="47"/>
      <c r="S574" s="47"/>
      <c r="T574" s="47"/>
      <c r="U574" s="47"/>
      <c r="V574" s="47"/>
      <c r="W574" s="47"/>
      <c r="X574" s="47"/>
      <c r="Y574" s="47"/>
      <c r="Z574" s="47"/>
      <c r="AA574" s="47"/>
      <c r="AB574" s="47"/>
      <c r="AC574" s="47"/>
      <c r="AD574" s="47"/>
      <c r="AE574" s="47"/>
      <c r="AF574" s="47"/>
      <c r="AG574" s="47"/>
      <c r="AH574" s="47"/>
      <c r="AI574" s="47"/>
      <c r="AJ574" s="47"/>
      <c r="AK574" s="47"/>
      <c r="AL574" s="47"/>
      <c r="AM574" s="47"/>
      <c r="AN574" s="47"/>
      <c r="AO574" s="47"/>
      <c r="AP574" s="47"/>
      <c r="AQ574" s="47"/>
      <c r="AR574" s="47"/>
      <c r="AS574" s="47"/>
      <c r="AT574" s="47"/>
      <c r="AU574" s="47"/>
      <c r="AV574" s="47"/>
      <c r="AW574" s="47"/>
      <c r="AX574" s="47"/>
      <c r="AY574" s="47"/>
      <c r="AZ574" s="47"/>
      <c r="BA574" s="47"/>
    </row>
    <row r="575" spans="3:53"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7"/>
      <c r="R575" s="47"/>
      <c r="S575" s="47"/>
      <c r="T575" s="47"/>
      <c r="U575" s="47"/>
      <c r="V575" s="47"/>
      <c r="W575" s="47"/>
      <c r="X575" s="47"/>
      <c r="Y575" s="47"/>
      <c r="Z575" s="47"/>
      <c r="AA575" s="47"/>
      <c r="AB575" s="47"/>
      <c r="AC575" s="47"/>
      <c r="AD575" s="47"/>
      <c r="AE575" s="47"/>
      <c r="AF575" s="47"/>
      <c r="AG575" s="47"/>
      <c r="AH575" s="47"/>
      <c r="AI575" s="47"/>
      <c r="AJ575" s="47"/>
      <c r="AK575" s="47"/>
      <c r="AL575" s="47"/>
      <c r="AM575" s="47"/>
      <c r="AN575" s="47"/>
      <c r="AO575" s="47"/>
      <c r="AP575" s="47"/>
      <c r="AQ575" s="47"/>
      <c r="AR575" s="47"/>
      <c r="AS575" s="47"/>
      <c r="AT575" s="47"/>
      <c r="AU575" s="47"/>
      <c r="AV575" s="47"/>
      <c r="AW575" s="47"/>
      <c r="AX575" s="47"/>
      <c r="AY575" s="47"/>
      <c r="AZ575" s="47"/>
      <c r="BA575" s="47"/>
    </row>
    <row r="576" spans="3:53"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  <c r="AB576" s="47"/>
      <c r="AC576" s="47"/>
      <c r="AD576" s="47"/>
      <c r="AE576" s="47"/>
      <c r="AF576" s="47"/>
      <c r="AG576" s="47"/>
      <c r="AH576" s="47"/>
      <c r="AI576" s="47"/>
      <c r="AJ576" s="47"/>
      <c r="AK576" s="47"/>
      <c r="AL576" s="47"/>
      <c r="AM576" s="47"/>
      <c r="AN576" s="47"/>
      <c r="AO576" s="47"/>
      <c r="AP576" s="47"/>
      <c r="AQ576" s="47"/>
      <c r="AR576" s="47"/>
      <c r="AS576" s="47"/>
      <c r="AT576" s="47"/>
      <c r="AU576" s="47"/>
      <c r="AV576" s="47"/>
      <c r="AW576" s="47"/>
      <c r="AX576" s="47"/>
      <c r="AY576" s="47"/>
      <c r="AZ576" s="47"/>
      <c r="BA576" s="47"/>
    </row>
    <row r="577" spans="3:53"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47"/>
      <c r="AC577" s="47"/>
      <c r="AD577" s="47"/>
      <c r="AE577" s="47"/>
      <c r="AF577" s="47"/>
      <c r="AG577" s="47"/>
      <c r="AH577" s="47"/>
      <c r="AI577" s="47"/>
      <c r="AJ577" s="47"/>
      <c r="AK577" s="47"/>
      <c r="AL577" s="47"/>
      <c r="AM577" s="47"/>
      <c r="AN577" s="47"/>
      <c r="AO577" s="47"/>
      <c r="AP577" s="47"/>
      <c r="AQ577" s="47"/>
      <c r="AR577" s="47"/>
      <c r="AS577" s="47"/>
      <c r="AT577" s="47"/>
      <c r="AU577" s="47"/>
      <c r="AV577" s="47"/>
      <c r="AW577" s="47"/>
      <c r="AX577" s="47"/>
      <c r="AY577" s="47"/>
      <c r="AZ577" s="47"/>
      <c r="BA577" s="47"/>
    </row>
    <row r="578" spans="3:53"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47"/>
      <c r="AC578" s="47"/>
      <c r="AD578" s="47"/>
      <c r="AE578" s="47"/>
      <c r="AF578" s="47"/>
      <c r="AG578" s="47"/>
      <c r="AH578" s="47"/>
      <c r="AI578" s="47"/>
      <c r="AJ578" s="47"/>
      <c r="AK578" s="47"/>
      <c r="AL578" s="47"/>
      <c r="AM578" s="47"/>
      <c r="AN578" s="47"/>
      <c r="AO578" s="47"/>
      <c r="AP578" s="47"/>
      <c r="AQ578" s="47"/>
      <c r="AR578" s="47"/>
      <c r="AS578" s="47"/>
      <c r="AT578" s="47"/>
      <c r="AU578" s="47"/>
      <c r="AV578" s="47"/>
      <c r="AW578" s="47"/>
      <c r="AX578" s="47"/>
      <c r="AY578" s="47"/>
      <c r="AZ578" s="47"/>
      <c r="BA578" s="47"/>
    </row>
    <row r="579" spans="3:53"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47"/>
      <c r="AC579" s="47"/>
      <c r="AD579" s="47"/>
      <c r="AE579" s="47"/>
      <c r="AF579" s="47"/>
      <c r="AG579" s="47"/>
      <c r="AH579" s="47"/>
      <c r="AI579" s="47"/>
      <c r="AJ579" s="47"/>
      <c r="AK579" s="47"/>
      <c r="AL579" s="47"/>
      <c r="AM579" s="47"/>
      <c r="AN579" s="47"/>
      <c r="AO579" s="47"/>
      <c r="AP579" s="47"/>
      <c r="AQ579" s="47"/>
      <c r="AR579" s="47"/>
      <c r="AS579" s="47"/>
      <c r="AT579" s="47"/>
      <c r="AU579" s="47"/>
      <c r="AV579" s="47"/>
      <c r="AW579" s="47"/>
      <c r="AX579" s="47"/>
      <c r="AY579" s="47"/>
      <c r="AZ579" s="47"/>
      <c r="BA579" s="47"/>
    </row>
    <row r="580" spans="3:53"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  <c r="AB580" s="47"/>
      <c r="AC580" s="47"/>
      <c r="AD580" s="47"/>
      <c r="AE580" s="47"/>
      <c r="AF580" s="47"/>
      <c r="AG580" s="47"/>
      <c r="AH580" s="47"/>
      <c r="AI580" s="47"/>
      <c r="AJ580" s="47"/>
      <c r="AK580" s="47"/>
      <c r="AL580" s="47"/>
      <c r="AM580" s="47"/>
      <c r="AN580" s="47"/>
      <c r="AO580" s="47"/>
      <c r="AP580" s="47"/>
      <c r="AQ580" s="47"/>
      <c r="AR580" s="47"/>
      <c r="AS580" s="47"/>
      <c r="AT580" s="47"/>
      <c r="AU580" s="47"/>
      <c r="AV580" s="47"/>
      <c r="AW580" s="47"/>
      <c r="AX580" s="47"/>
      <c r="AY580" s="47"/>
      <c r="AZ580" s="47"/>
      <c r="BA580" s="47"/>
    </row>
    <row r="581" spans="3:53"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47"/>
      <c r="AC581" s="47"/>
      <c r="AD581" s="47"/>
      <c r="AE581" s="47"/>
      <c r="AF581" s="47"/>
      <c r="AG581" s="47"/>
      <c r="AH581" s="47"/>
      <c r="AI581" s="47"/>
      <c r="AJ581" s="47"/>
      <c r="AK581" s="47"/>
      <c r="AL581" s="47"/>
      <c r="AM581" s="47"/>
      <c r="AN581" s="47"/>
      <c r="AO581" s="47"/>
      <c r="AP581" s="47"/>
      <c r="AQ581" s="47"/>
      <c r="AR581" s="47"/>
      <c r="AS581" s="47"/>
      <c r="AT581" s="47"/>
      <c r="AU581" s="47"/>
      <c r="AV581" s="47"/>
      <c r="AW581" s="47"/>
      <c r="AX581" s="47"/>
      <c r="AY581" s="47"/>
      <c r="AZ581" s="47"/>
      <c r="BA581" s="47"/>
    </row>
    <row r="582" spans="3:53"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  <c r="AB582" s="47"/>
      <c r="AC582" s="47"/>
      <c r="AD582" s="47"/>
      <c r="AE582" s="47"/>
      <c r="AF582" s="47"/>
      <c r="AG582" s="47"/>
      <c r="AH582" s="47"/>
      <c r="AI582" s="47"/>
      <c r="AJ582" s="47"/>
      <c r="AK582" s="47"/>
      <c r="AL582" s="47"/>
      <c r="AM582" s="47"/>
      <c r="AN582" s="47"/>
      <c r="AO582" s="47"/>
      <c r="AP582" s="47"/>
      <c r="AQ582" s="47"/>
      <c r="AR582" s="47"/>
      <c r="AS582" s="47"/>
      <c r="AT582" s="47"/>
      <c r="AU582" s="47"/>
      <c r="AV582" s="47"/>
      <c r="AW582" s="47"/>
      <c r="AX582" s="47"/>
      <c r="AY582" s="47"/>
      <c r="AZ582" s="47"/>
      <c r="BA582" s="47"/>
    </row>
    <row r="583" spans="3:53"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47"/>
      <c r="AC583" s="47"/>
      <c r="AD583" s="47"/>
      <c r="AE583" s="47"/>
      <c r="AF583" s="47"/>
      <c r="AG583" s="47"/>
      <c r="AH583" s="47"/>
      <c r="AI583" s="47"/>
      <c r="AJ583" s="47"/>
      <c r="AK583" s="47"/>
      <c r="AL583" s="47"/>
      <c r="AM583" s="47"/>
      <c r="AN583" s="47"/>
      <c r="AO583" s="47"/>
      <c r="AP583" s="47"/>
      <c r="AQ583" s="47"/>
      <c r="AR583" s="47"/>
      <c r="AS583" s="47"/>
      <c r="AT583" s="47"/>
      <c r="AU583" s="47"/>
      <c r="AV583" s="47"/>
      <c r="AW583" s="47"/>
      <c r="AX583" s="47"/>
      <c r="AY583" s="47"/>
      <c r="AZ583" s="47"/>
      <c r="BA583" s="47"/>
    </row>
    <row r="584" spans="3:53"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  <c r="AB584" s="47"/>
      <c r="AC584" s="47"/>
      <c r="AD584" s="47"/>
      <c r="AE584" s="47"/>
      <c r="AF584" s="47"/>
      <c r="AG584" s="47"/>
      <c r="AH584" s="47"/>
      <c r="AI584" s="47"/>
      <c r="AJ584" s="47"/>
      <c r="AK584" s="47"/>
      <c r="AL584" s="47"/>
      <c r="AM584" s="47"/>
      <c r="AN584" s="47"/>
      <c r="AO584" s="47"/>
      <c r="AP584" s="47"/>
      <c r="AQ584" s="47"/>
      <c r="AR584" s="47"/>
      <c r="AS584" s="47"/>
      <c r="AT584" s="47"/>
      <c r="AU584" s="47"/>
      <c r="AV584" s="47"/>
      <c r="AW584" s="47"/>
      <c r="AX584" s="47"/>
      <c r="AY584" s="47"/>
      <c r="AZ584" s="47"/>
      <c r="BA584" s="47"/>
    </row>
    <row r="585" spans="3:53"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47"/>
      <c r="AC585" s="47"/>
      <c r="AD585" s="47"/>
      <c r="AE585" s="47"/>
      <c r="AF585" s="47"/>
      <c r="AG585" s="47"/>
      <c r="AH585" s="47"/>
      <c r="AI585" s="47"/>
      <c r="AJ585" s="47"/>
      <c r="AK585" s="47"/>
      <c r="AL585" s="47"/>
      <c r="AM585" s="47"/>
      <c r="AN585" s="47"/>
      <c r="AO585" s="47"/>
      <c r="AP585" s="47"/>
      <c r="AQ585" s="47"/>
      <c r="AR585" s="47"/>
      <c r="AS585" s="47"/>
      <c r="AT585" s="47"/>
      <c r="AU585" s="47"/>
      <c r="AV585" s="47"/>
      <c r="AW585" s="47"/>
      <c r="AX585" s="47"/>
      <c r="AY585" s="47"/>
      <c r="AZ585" s="47"/>
      <c r="BA585" s="47"/>
    </row>
    <row r="586" spans="3:53"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47"/>
      <c r="AC586" s="47"/>
      <c r="AD586" s="47"/>
      <c r="AE586" s="47"/>
      <c r="AF586" s="47"/>
      <c r="AG586" s="47"/>
      <c r="AH586" s="47"/>
      <c r="AI586" s="47"/>
      <c r="AJ586" s="47"/>
      <c r="AK586" s="47"/>
      <c r="AL586" s="47"/>
      <c r="AM586" s="47"/>
      <c r="AN586" s="47"/>
      <c r="AO586" s="47"/>
      <c r="AP586" s="47"/>
      <c r="AQ586" s="47"/>
      <c r="AR586" s="47"/>
      <c r="AS586" s="47"/>
      <c r="AT586" s="47"/>
      <c r="AU586" s="47"/>
      <c r="AV586" s="47"/>
      <c r="AW586" s="47"/>
      <c r="AX586" s="47"/>
      <c r="AY586" s="47"/>
      <c r="AZ586" s="47"/>
      <c r="BA586" s="47"/>
    </row>
    <row r="587" spans="3:53"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47"/>
      <c r="AC587" s="47"/>
      <c r="AD587" s="47"/>
      <c r="AE587" s="47"/>
      <c r="AF587" s="47"/>
      <c r="AG587" s="47"/>
      <c r="AH587" s="47"/>
      <c r="AI587" s="47"/>
      <c r="AJ587" s="47"/>
      <c r="AK587" s="47"/>
      <c r="AL587" s="47"/>
      <c r="AM587" s="47"/>
      <c r="AN587" s="47"/>
      <c r="AO587" s="47"/>
      <c r="AP587" s="47"/>
      <c r="AQ587" s="47"/>
      <c r="AR587" s="47"/>
      <c r="AS587" s="47"/>
      <c r="AT587" s="47"/>
      <c r="AU587" s="47"/>
      <c r="AV587" s="47"/>
      <c r="AW587" s="47"/>
      <c r="AX587" s="47"/>
      <c r="AY587" s="47"/>
      <c r="AZ587" s="47"/>
      <c r="BA587" s="47"/>
    </row>
    <row r="588" spans="3:53"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47"/>
      <c r="AC588" s="47"/>
      <c r="AD588" s="47"/>
      <c r="AE588" s="47"/>
      <c r="AF588" s="47"/>
      <c r="AG588" s="47"/>
      <c r="AH588" s="47"/>
      <c r="AI588" s="47"/>
      <c r="AJ588" s="47"/>
      <c r="AK588" s="47"/>
      <c r="AL588" s="47"/>
      <c r="AM588" s="47"/>
      <c r="AN588" s="47"/>
      <c r="AO588" s="47"/>
      <c r="AP588" s="47"/>
      <c r="AQ588" s="47"/>
      <c r="AR588" s="47"/>
      <c r="AS588" s="47"/>
      <c r="AT588" s="47"/>
      <c r="AU588" s="47"/>
      <c r="AV588" s="47"/>
      <c r="AW588" s="47"/>
      <c r="AX588" s="47"/>
      <c r="AY588" s="47"/>
      <c r="AZ588" s="47"/>
      <c r="BA588" s="47"/>
    </row>
    <row r="589" spans="3:53"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47"/>
      <c r="AC589" s="47"/>
      <c r="AD589" s="47"/>
      <c r="AE589" s="47"/>
      <c r="AF589" s="47"/>
      <c r="AG589" s="47"/>
      <c r="AH589" s="47"/>
      <c r="AI589" s="47"/>
      <c r="AJ589" s="47"/>
      <c r="AK589" s="47"/>
      <c r="AL589" s="47"/>
      <c r="AM589" s="47"/>
      <c r="AN589" s="47"/>
      <c r="AO589" s="47"/>
      <c r="AP589" s="47"/>
      <c r="AQ589" s="47"/>
      <c r="AR589" s="47"/>
      <c r="AS589" s="47"/>
      <c r="AT589" s="47"/>
      <c r="AU589" s="47"/>
      <c r="AV589" s="47"/>
      <c r="AW589" s="47"/>
      <c r="AX589" s="47"/>
      <c r="AY589" s="47"/>
      <c r="AZ589" s="47"/>
      <c r="BA589" s="47"/>
    </row>
    <row r="590" spans="3:53"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  <c r="AC590" s="47"/>
      <c r="AD590" s="47"/>
      <c r="AE590" s="47"/>
      <c r="AF590" s="47"/>
      <c r="AG590" s="47"/>
      <c r="AH590" s="47"/>
      <c r="AI590" s="47"/>
      <c r="AJ590" s="47"/>
      <c r="AK590" s="47"/>
      <c r="AL590" s="47"/>
      <c r="AM590" s="47"/>
      <c r="AN590" s="47"/>
      <c r="AO590" s="47"/>
      <c r="AP590" s="47"/>
      <c r="AQ590" s="47"/>
      <c r="AR590" s="47"/>
      <c r="AS590" s="47"/>
      <c r="AT590" s="47"/>
      <c r="AU590" s="47"/>
      <c r="AV590" s="47"/>
      <c r="AW590" s="47"/>
      <c r="AX590" s="47"/>
      <c r="AY590" s="47"/>
      <c r="AZ590" s="47"/>
      <c r="BA590" s="47"/>
    </row>
    <row r="591" spans="3:53"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  <c r="AC591" s="47"/>
      <c r="AD591" s="47"/>
      <c r="AE591" s="47"/>
      <c r="AF591" s="47"/>
      <c r="AG591" s="47"/>
      <c r="AH591" s="47"/>
      <c r="AI591" s="47"/>
      <c r="AJ591" s="47"/>
      <c r="AK591" s="47"/>
      <c r="AL591" s="47"/>
      <c r="AM591" s="47"/>
      <c r="AN591" s="47"/>
      <c r="AO591" s="47"/>
      <c r="AP591" s="47"/>
      <c r="AQ591" s="47"/>
      <c r="AR591" s="47"/>
      <c r="AS591" s="47"/>
      <c r="AT591" s="47"/>
      <c r="AU591" s="47"/>
      <c r="AV591" s="47"/>
      <c r="AW591" s="47"/>
      <c r="AX591" s="47"/>
      <c r="AY591" s="47"/>
      <c r="AZ591" s="47"/>
      <c r="BA591" s="47"/>
    </row>
    <row r="592" spans="3:53"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47"/>
      <c r="AC592" s="47"/>
      <c r="AD592" s="47"/>
      <c r="AE592" s="47"/>
      <c r="AF592" s="47"/>
      <c r="AG592" s="47"/>
      <c r="AH592" s="47"/>
      <c r="AI592" s="47"/>
      <c r="AJ592" s="47"/>
      <c r="AK592" s="47"/>
      <c r="AL592" s="47"/>
      <c r="AM592" s="47"/>
      <c r="AN592" s="47"/>
      <c r="AO592" s="47"/>
      <c r="AP592" s="47"/>
      <c r="AQ592" s="47"/>
      <c r="AR592" s="47"/>
      <c r="AS592" s="47"/>
      <c r="AT592" s="47"/>
      <c r="AU592" s="47"/>
      <c r="AV592" s="47"/>
      <c r="AW592" s="47"/>
      <c r="AX592" s="47"/>
      <c r="AY592" s="47"/>
      <c r="AZ592" s="47"/>
      <c r="BA592" s="47"/>
    </row>
    <row r="593" spans="3:53"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47"/>
      <c r="AC593" s="47"/>
      <c r="AD593" s="47"/>
      <c r="AE593" s="47"/>
      <c r="AF593" s="47"/>
      <c r="AG593" s="47"/>
      <c r="AH593" s="47"/>
      <c r="AI593" s="47"/>
      <c r="AJ593" s="47"/>
      <c r="AK593" s="47"/>
      <c r="AL593" s="47"/>
      <c r="AM593" s="47"/>
      <c r="AN593" s="47"/>
      <c r="AO593" s="47"/>
      <c r="AP593" s="47"/>
      <c r="AQ593" s="47"/>
      <c r="AR593" s="47"/>
      <c r="AS593" s="47"/>
      <c r="AT593" s="47"/>
      <c r="AU593" s="47"/>
      <c r="AV593" s="47"/>
      <c r="AW593" s="47"/>
      <c r="AX593" s="47"/>
      <c r="AY593" s="47"/>
      <c r="AZ593" s="47"/>
      <c r="BA593" s="47"/>
    </row>
    <row r="594" spans="3:53"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47"/>
      <c r="AC594" s="47"/>
      <c r="AD594" s="47"/>
      <c r="AE594" s="47"/>
      <c r="AF594" s="47"/>
      <c r="AG594" s="47"/>
      <c r="AH594" s="47"/>
      <c r="AI594" s="47"/>
      <c r="AJ594" s="47"/>
      <c r="AK594" s="47"/>
      <c r="AL594" s="47"/>
      <c r="AM594" s="47"/>
      <c r="AN594" s="47"/>
      <c r="AO594" s="47"/>
      <c r="AP594" s="47"/>
      <c r="AQ594" s="47"/>
      <c r="AR594" s="47"/>
      <c r="AS594" s="47"/>
      <c r="AT594" s="47"/>
      <c r="AU594" s="47"/>
      <c r="AV594" s="47"/>
      <c r="AW594" s="47"/>
      <c r="AX594" s="47"/>
      <c r="AY594" s="47"/>
      <c r="AZ594" s="47"/>
      <c r="BA594" s="47"/>
    </row>
    <row r="595" spans="3:53"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  <c r="AC595" s="47"/>
      <c r="AD595" s="47"/>
      <c r="AE595" s="47"/>
      <c r="AF595" s="47"/>
      <c r="AG595" s="47"/>
      <c r="AH595" s="47"/>
      <c r="AI595" s="47"/>
      <c r="AJ595" s="47"/>
      <c r="AK595" s="47"/>
      <c r="AL595" s="47"/>
      <c r="AM595" s="47"/>
      <c r="AN595" s="47"/>
      <c r="AO595" s="47"/>
      <c r="AP595" s="47"/>
      <c r="AQ595" s="47"/>
      <c r="AR595" s="47"/>
      <c r="AS595" s="47"/>
      <c r="AT595" s="47"/>
      <c r="AU595" s="47"/>
      <c r="AV595" s="47"/>
      <c r="AW595" s="47"/>
      <c r="AX595" s="47"/>
      <c r="AY595" s="47"/>
      <c r="AZ595" s="47"/>
      <c r="BA595" s="47"/>
    </row>
    <row r="596" spans="3:53"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47"/>
      <c r="AC596" s="47"/>
      <c r="AD596" s="47"/>
      <c r="AE596" s="47"/>
      <c r="AF596" s="47"/>
      <c r="AG596" s="47"/>
      <c r="AH596" s="47"/>
      <c r="AI596" s="47"/>
      <c r="AJ596" s="47"/>
      <c r="AK596" s="47"/>
      <c r="AL596" s="47"/>
      <c r="AM596" s="47"/>
      <c r="AN596" s="47"/>
      <c r="AO596" s="47"/>
      <c r="AP596" s="47"/>
      <c r="AQ596" s="47"/>
      <c r="AR596" s="47"/>
      <c r="AS596" s="47"/>
      <c r="AT596" s="47"/>
      <c r="AU596" s="47"/>
      <c r="AV596" s="47"/>
      <c r="AW596" s="47"/>
      <c r="AX596" s="47"/>
      <c r="AY596" s="47"/>
      <c r="AZ596" s="47"/>
      <c r="BA596" s="47"/>
    </row>
    <row r="597" spans="3:53"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47"/>
      <c r="AC597" s="47"/>
      <c r="AD597" s="47"/>
      <c r="AE597" s="47"/>
      <c r="AF597" s="47"/>
      <c r="AG597" s="47"/>
      <c r="AH597" s="47"/>
      <c r="AI597" s="47"/>
      <c r="AJ597" s="47"/>
      <c r="AK597" s="47"/>
      <c r="AL597" s="47"/>
      <c r="AM597" s="47"/>
      <c r="AN597" s="47"/>
      <c r="AO597" s="47"/>
      <c r="AP597" s="47"/>
      <c r="AQ597" s="47"/>
      <c r="AR597" s="47"/>
      <c r="AS597" s="47"/>
      <c r="AT597" s="47"/>
      <c r="AU597" s="47"/>
      <c r="AV597" s="47"/>
      <c r="AW597" s="47"/>
      <c r="AX597" s="47"/>
      <c r="AY597" s="47"/>
      <c r="AZ597" s="47"/>
      <c r="BA597" s="47"/>
    </row>
    <row r="598" spans="3:53"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  <c r="AC598" s="47"/>
      <c r="AD598" s="47"/>
      <c r="AE598" s="47"/>
      <c r="AF598" s="47"/>
      <c r="AG598" s="47"/>
      <c r="AH598" s="47"/>
      <c r="AI598" s="47"/>
      <c r="AJ598" s="47"/>
      <c r="AK598" s="47"/>
      <c r="AL598" s="47"/>
      <c r="AM598" s="47"/>
      <c r="AN598" s="47"/>
      <c r="AO598" s="47"/>
      <c r="AP598" s="47"/>
      <c r="AQ598" s="47"/>
      <c r="AR598" s="47"/>
      <c r="AS598" s="47"/>
      <c r="AT598" s="47"/>
      <c r="AU598" s="47"/>
      <c r="AV598" s="47"/>
      <c r="AW598" s="47"/>
      <c r="AX598" s="47"/>
      <c r="AY598" s="47"/>
      <c r="AZ598" s="47"/>
      <c r="BA598" s="47"/>
    </row>
    <row r="599" spans="3:53"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47"/>
      <c r="AC599" s="47"/>
      <c r="AD599" s="47"/>
      <c r="AE599" s="47"/>
      <c r="AF599" s="47"/>
      <c r="AG599" s="47"/>
      <c r="AH599" s="47"/>
      <c r="AI599" s="47"/>
      <c r="AJ599" s="47"/>
      <c r="AK599" s="47"/>
      <c r="AL599" s="47"/>
      <c r="AM599" s="47"/>
      <c r="AN599" s="47"/>
      <c r="AO599" s="47"/>
      <c r="AP599" s="47"/>
      <c r="AQ599" s="47"/>
      <c r="AR599" s="47"/>
      <c r="AS599" s="47"/>
      <c r="AT599" s="47"/>
      <c r="AU599" s="47"/>
      <c r="AV599" s="47"/>
      <c r="AW599" s="47"/>
      <c r="AX599" s="47"/>
      <c r="AY599" s="47"/>
      <c r="AZ599" s="47"/>
      <c r="BA599" s="47"/>
    </row>
    <row r="600" spans="3:53"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  <c r="AC600" s="47"/>
      <c r="AD600" s="47"/>
      <c r="AE600" s="47"/>
      <c r="AF600" s="47"/>
      <c r="AG600" s="47"/>
      <c r="AH600" s="47"/>
      <c r="AI600" s="47"/>
      <c r="AJ600" s="47"/>
      <c r="AK600" s="47"/>
      <c r="AL600" s="47"/>
      <c r="AM600" s="47"/>
      <c r="AN600" s="47"/>
      <c r="AO600" s="47"/>
      <c r="AP600" s="47"/>
      <c r="AQ600" s="47"/>
      <c r="AR600" s="47"/>
      <c r="AS600" s="47"/>
      <c r="AT600" s="47"/>
      <c r="AU600" s="47"/>
      <c r="AV600" s="47"/>
      <c r="AW600" s="47"/>
      <c r="AX600" s="47"/>
      <c r="AY600" s="47"/>
      <c r="AZ600" s="47"/>
      <c r="BA600" s="47"/>
    </row>
    <row r="601" spans="3:53"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47"/>
      <c r="AC601" s="47"/>
      <c r="AD601" s="47"/>
      <c r="AE601" s="47"/>
      <c r="AF601" s="47"/>
      <c r="AG601" s="47"/>
      <c r="AH601" s="47"/>
      <c r="AI601" s="47"/>
      <c r="AJ601" s="47"/>
      <c r="AK601" s="47"/>
      <c r="AL601" s="47"/>
      <c r="AM601" s="47"/>
      <c r="AN601" s="47"/>
      <c r="AO601" s="47"/>
      <c r="AP601" s="47"/>
      <c r="AQ601" s="47"/>
      <c r="AR601" s="47"/>
      <c r="AS601" s="47"/>
      <c r="AT601" s="47"/>
      <c r="AU601" s="47"/>
      <c r="AV601" s="47"/>
      <c r="AW601" s="47"/>
      <c r="AX601" s="47"/>
      <c r="AY601" s="47"/>
      <c r="AZ601" s="47"/>
      <c r="BA601" s="47"/>
    </row>
    <row r="602" spans="3:53"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47"/>
      <c r="AC602" s="47"/>
      <c r="AD602" s="47"/>
      <c r="AE602" s="47"/>
      <c r="AF602" s="47"/>
      <c r="AG602" s="47"/>
      <c r="AH602" s="47"/>
      <c r="AI602" s="47"/>
      <c r="AJ602" s="47"/>
      <c r="AK602" s="47"/>
      <c r="AL602" s="47"/>
      <c r="AM602" s="47"/>
      <c r="AN602" s="47"/>
      <c r="AO602" s="47"/>
      <c r="AP602" s="47"/>
      <c r="AQ602" s="47"/>
      <c r="AR602" s="47"/>
      <c r="AS602" s="47"/>
      <c r="AT602" s="47"/>
      <c r="AU602" s="47"/>
      <c r="AV602" s="47"/>
      <c r="AW602" s="47"/>
      <c r="AX602" s="47"/>
      <c r="AY602" s="47"/>
      <c r="AZ602" s="47"/>
      <c r="BA602" s="47"/>
    </row>
    <row r="603" spans="3:53"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47"/>
      <c r="AC603" s="47"/>
      <c r="AD603" s="47"/>
      <c r="AE603" s="47"/>
      <c r="AF603" s="47"/>
      <c r="AG603" s="47"/>
      <c r="AH603" s="47"/>
      <c r="AI603" s="47"/>
      <c r="AJ603" s="47"/>
      <c r="AK603" s="47"/>
      <c r="AL603" s="47"/>
      <c r="AM603" s="47"/>
      <c r="AN603" s="47"/>
      <c r="AO603" s="47"/>
      <c r="AP603" s="47"/>
      <c r="AQ603" s="47"/>
      <c r="AR603" s="47"/>
      <c r="AS603" s="47"/>
      <c r="AT603" s="47"/>
      <c r="AU603" s="47"/>
      <c r="AV603" s="47"/>
      <c r="AW603" s="47"/>
      <c r="AX603" s="47"/>
      <c r="AY603" s="47"/>
      <c r="AZ603" s="47"/>
      <c r="BA603" s="47"/>
    </row>
    <row r="604" spans="3:53"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  <c r="AB604" s="47"/>
      <c r="AC604" s="47"/>
      <c r="AD604" s="47"/>
      <c r="AE604" s="47"/>
      <c r="AF604" s="47"/>
      <c r="AG604" s="47"/>
      <c r="AH604" s="47"/>
      <c r="AI604" s="47"/>
      <c r="AJ604" s="47"/>
      <c r="AK604" s="47"/>
      <c r="AL604" s="47"/>
      <c r="AM604" s="47"/>
      <c r="AN604" s="47"/>
      <c r="AO604" s="47"/>
      <c r="AP604" s="47"/>
      <c r="AQ604" s="47"/>
      <c r="AR604" s="47"/>
      <c r="AS604" s="47"/>
      <c r="AT604" s="47"/>
      <c r="AU604" s="47"/>
      <c r="AV604" s="47"/>
      <c r="AW604" s="47"/>
      <c r="AX604" s="47"/>
      <c r="AY604" s="47"/>
      <c r="AZ604" s="47"/>
      <c r="BA604" s="47"/>
    </row>
    <row r="605" spans="3:53"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47"/>
      <c r="AC605" s="47"/>
      <c r="AD605" s="47"/>
      <c r="AE605" s="47"/>
      <c r="AF605" s="47"/>
      <c r="AG605" s="47"/>
      <c r="AH605" s="47"/>
      <c r="AI605" s="47"/>
      <c r="AJ605" s="47"/>
      <c r="AK605" s="47"/>
      <c r="AL605" s="47"/>
      <c r="AM605" s="47"/>
      <c r="AN605" s="47"/>
      <c r="AO605" s="47"/>
      <c r="AP605" s="47"/>
      <c r="AQ605" s="47"/>
      <c r="AR605" s="47"/>
      <c r="AS605" s="47"/>
      <c r="AT605" s="47"/>
      <c r="AU605" s="47"/>
      <c r="AV605" s="47"/>
      <c r="AW605" s="47"/>
      <c r="AX605" s="47"/>
      <c r="AY605" s="47"/>
      <c r="AZ605" s="47"/>
      <c r="BA605" s="47"/>
    </row>
    <row r="606" spans="3:53"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47"/>
      <c r="AC606" s="47"/>
      <c r="AD606" s="47"/>
      <c r="AE606" s="47"/>
      <c r="AF606" s="47"/>
      <c r="AG606" s="47"/>
      <c r="AH606" s="47"/>
      <c r="AI606" s="47"/>
      <c r="AJ606" s="47"/>
      <c r="AK606" s="47"/>
      <c r="AL606" s="47"/>
      <c r="AM606" s="47"/>
      <c r="AN606" s="47"/>
      <c r="AO606" s="47"/>
      <c r="AP606" s="47"/>
      <c r="AQ606" s="47"/>
      <c r="AR606" s="47"/>
      <c r="AS606" s="47"/>
      <c r="AT606" s="47"/>
      <c r="AU606" s="47"/>
      <c r="AV606" s="47"/>
      <c r="AW606" s="47"/>
      <c r="AX606" s="47"/>
      <c r="AY606" s="47"/>
      <c r="AZ606" s="47"/>
      <c r="BA606" s="47"/>
    </row>
    <row r="607" spans="3:53"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  <c r="AB607" s="47"/>
      <c r="AC607" s="47"/>
      <c r="AD607" s="47"/>
      <c r="AE607" s="47"/>
      <c r="AF607" s="47"/>
      <c r="AG607" s="47"/>
      <c r="AH607" s="47"/>
      <c r="AI607" s="47"/>
      <c r="AJ607" s="47"/>
      <c r="AK607" s="47"/>
      <c r="AL607" s="47"/>
      <c r="AM607" s="47"/>
      <c r="AN607" s="47"/>
      <c r="AO607" s="47"/>
      <c r="AP607" s="47"/>
      <c r="AQ607" s="47"/>
      <c r="AR607" s="47"/>
      <c r="AS607" s="47"/>
      <c r="AT607" s="47"/>
      <c r="AU607" s="47"/>
      <c r="AV607" s="47"/>
      <c r="AW607" s="47"/>
      <c r="AX607" s="47"/>
      <c r="AY607" s="47"/>
      <c r="AZ607" s="47"/>
      <c r="BA607" s="47"/>
    </row>
    <row r="608" spans="3:53"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7"/>
      <c r="R608" s="47"/>
      <c r="S608" s="47"/>
      <c r="T608" s="47"/>
      <c r="U608" s="47"/>
      <c r="V608" s="47"/>
      <c r="W608" s="47"/>
      <c r="X608" s="47"/>
      <c r="Y608" s="47"/>
      <c r="Z608" s="47"/>
      <c r="AA608" s="47"/>
      <c r="AB608" s="47"/>
      <c r="AC608" s="47"/>
      <c r="AD608" s="47"/>
      <c r="AE608" s="47"/>
      <c r="AF608" s="47"/>
      <c r="AG608" s="47"/>
      <c r="AH608" s="47"/>
      <c r="AI608" s="47"/>
      <c r="AJ608" s="47"/>
      <c r="AK608" s="47"/>
      <c r="AL608" s="47"/>
      <c r="AM608" s="47"/>
      <c r="AN608" s="47"/>
      <c r="AO608" s="47"/>
      <c r="AP608" s="47"/>
      <c r="AQ608" s="47"/>
      <c r="AR608" s="47"/>
      <c r="AS608" s="47"/>
      <c r="AT608" s="47"/>
      <c r="AU608" s="47"/>
      <c r="AV608" s="47"/>
      <c r="AW608" s="47"/>
      <c r="AX608" s="47"/>
      <c r="AY608" s="47"/>
      <c r="AZ608" s="47"/>
      <c r="BA608" s="47"/>
    </row>
    <row r="609" spans="3:53"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47"/>
      <c r="AC609" s="47"/>
      <c r="AD609" s="47"/>
      <c r="AE609" s="47"/>
      <c r="AF609" s="47"/>
      <c r="AG609" s="47"/>
      <c r="AH609" s="47"/>
      <c r="AI609" s="47"/>
      <c r="AJ609" s="47"/>
      <c r="AK609" s="47"/>
      <c r="AL609" s="47"/>
      <c r="AM609" s="47"/>
      <c r="AN609" s="47"/>
      <c r="AO609" s="47"/>
      <c r="AP609" s="47"/>
      <c r="AQ609" s="47"/>
      <c r="AR609" s="47"/>
      <c r="AS609" s="47"/>
      <c r="AT609" s="47"/>
      <c r="AU609" s="47"/>
      <c r="AV609" s="47"/>
      <c r="AW609" s="47"/>
      <c r="AX609" s="47"/>
      <c r="AY609" s="47"/>
      <c r="AZ609" s="47"/>
      <c r="BA609" s="47"/>
    </row>
    <row r="610" spans="3:53"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  <c r="AB610" s="47"/>
      <c r="AC610" s="47"/>
      <c r="AD610" s="47"/>
      <c r="AE610" s="47"/>
      <c r="AF610" s="47"/>
      <c r="AG610" s="47"/>
      <c r="AH610" s="47"/>
      <c r="AI610" s="47"/>
      <c r="AJ610" s="47"/>
      <c r="AK610" s="47"/>
      <c r="AL610" s="47"/>
      <c r="AM610" s="47"/>
      <c r="AN610" s="47"/>
      <c r="AO610" s="47"/>
      <c r="AP610" s="47"/>
      <c r="AQ610" s="47"/>
      <c r="AR610" s="47"/>
      <c r="AS610" s="47"/>
      <c r="AT610" s="47"/>
      <c r="AU610" s="47"/>
      <c r="AV610" s="47"/>
      <c r="AW610" s="47"/>
      <c r="AX610" s="47"/>
      <c r="AY610" s="47"/>
      <c r="AZ610" s="47"/>
      <c r="BA610" s="47"/>
    </row>
    <row r="611" spans="3:53"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  <c r="AB611" s="47"/>
      <c r="AC611" s="47"/>
      <c r="AD611" s="47"/>
      <c r="AE611" s="47"/>
      <c r="AF611" s="47"/>
      <c r="AG611" s="47"/>
      <c r="AH611" s="47"/>
      <c r="AI611" s="47"/>
      <c r="AJ611" s="47"/>
      <c r="AK611" s="47"/>
      <c r="AL611" s="47"/>
      <c r="AM611" s="47"/>
      <c r="AN611" s="47"/>
      <c r="AO611" s="47"/>
      <c r="AP611" s="47"/>
      <c r="AQ611" s="47"/>
      <c r="AR611" s="47"/>
      <c r="AS611" s="47"/>
      <c r="AT611" s="47"/>
      <c r="AU611" s="47"/>
      <c r="AV611" s="47"/>
      <c r="AW611" s="47"/>
      <c r="AX611" s="47"/>
      <c r="AY611" s="47"/>
      <c r="AZ611" s="47"/>
      <c r="BA611" s="47"/>
    </row>
    <row r="612" spans="3:53"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  <c r="AB612" s="47"/>
      <c r="AC612" s="47"/>
      <c r="AD612" s="47"/>
      <c r="AE612" s="47"/>
      <c r="AF612" s="47"/>
      <c r="AG612" s="47"/>
      <c r="AH612" s="47"/>
      <c r="AI612" s="47"/>
      <c r="AJ612" s="47"/>
      <c r="AK612" s="47"/>
      <c r="AL612" s="47"/>
      <c r="AM612" s="47"/>
      <c r="AN612" s="47"/>
      <c r="AO612" s="47"/>
      <c r="AP612" s="47"/>
      <c r="AQ612" s="47"/>
      <c r="AR612" s="47"/>
      <c r="AS612" s="47"/>
      <c r="AT612" s="47"/>
      <c r="AU612" s="47"/>
      <c r="AV612" s="47"/>
      <c r="AW612" s="47"/>
      <c r="AX612" s="47"/>
      <c r="AY612" s="47"/>
      <c r="AZ612" s="47"/>
      <c r="BA612" s="47"/>
    </row>
    <row r="613" spans="3:53"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  <c r="AB613" s="47"/>
      <c r="AC613" s="47"/>
      <c r="AD613" s="47"/>
      <c r="AE613" s="47"/>
      <c r="AF613" s="47"/>
      <c r="AG613" s="47"/>
      <c r="AH613" s="47"/>
      <c r="AI613" s="47"/>
      <c r="AJ613" s="47"/>
      <c r="AK613" s="47"/>
      <c r="AL613" s="47"/>
      <c r="AM613" s="47"/>
      <c r="AN613" s="47"/>
      <c r="AO613" s="47"/>
      <c r="AP613" s="47"/>
      <c r="AQ613" s="47"/>
      <c r="AR613" s="47"/>
      <c r="AS613" s="47"/>
      <c r="AT613" s="47"/>
      <c r="AU613" s="47"/>
      <c r="AV613" s="47"/>
      <c r="AW613" s="47"/>
      <c r="AX613" s="47"/>
      <c r="AY613" s="47"/>
      <c r="AZ613" s="47"/>
      <c r="BA613" s="47"/>
    </row>
    <row r="614" spans="3:53"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47"/>
      <c r="AC614" s="47"/>
      <c r="AD614" s="47"/>
      <c r="AE614" s="47"/>
      <c r="AF614" s="47"/>
      <c r="AG614" s="47"/>
      <c r="AH614" s="47"/>
      <c r="AI614" s="47"/>
      <c r="AJ614" s="47"/>
      <c r="AK614" s="47"/>
      <c r="AL614" s="47"/>
      <c r="AM614" s="47"/>
      <c r="AN614" s="47"/>
      <c r="AO614" s="47"/>
      <c r="AP614" s="47"/>
      <c r="AQ614" s="47"/>
      <c r="AR614" s="47"/>
      <c r="AS614" s="47"/>
      <c r="AT614" s="47"/>
      <c r="AU614" s="47"/>
      <c r="AV614" s="47"/>
      <c r="AW614" s="47"/>
      <c r="AX614" s="47"/>
      <c r="AY614" s="47"/>
      <c r="AZ614" s="47"/>
      <c r="BA614" s="47"/>
    </row>
    <row r="615" spans="3:53"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  <c r="AB615" s="47"/>
      <c r="AC615" s="47"/>
      <c r="AD615" s="47"/>
      <c r="AE615" s="47"/>
      <c r="AF615" s="47"/>
      <c r="AG615" s="47"/>
      <c r="AH615" s="47"/>
      <c r="AI615" s="47"/>
      <c r="AJ615" s="47"/>
      <c r="AK615" s="47"/>
      <c r="AL615" s="47"/>
      <c r="AM615" s="47"/>
      <c r="AN615" s="47"/>
      <c r="AO615" s="47"/>
      <c r="AP615" s="47"/>
      <c r="AQ615" s="47"/>
      <c r="AR615" s="47"/>
      <c r="AS615" s="47"/>
      <c r="AT615" s="47"/>
      <c r="AU615" s="47"/>
      <c r="AV615" s="47"/>
      <c r="AW615" s="47"/>
      <c r="AX615" s="47"/>
      <c r="AY615" s="47"/>
      <c r="AZ615" s="47"/>
      <c r="BA615" s="47"/>
    </row>
    <row r="616" spans="3:53"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  <c r="AB616" s="47"/>
      <c r="AC616" s="47"/>
      <c r="AD616" s="47"/>
      <c r="AE616" s="47"/>
      <c r="AF616" s="47"/>
      <c r="AG616" s="47"/>
      <c r="AH616" s="47"/>
      <c r="AI616" s="47"/>
      <c r="AJ616" s="47"/>
      <c r="AK616" s="47"/>
      <c r="AL616" s="47"/>
      <c r="AM616" s="47"/>
      <c r="AN616" s="47"/>
      <c r="AO616" s="47"/>
      <c r="AP616" s="47"/>
      <c r="AQ616" s="47"/>
      <c r="AR616" s="47"/>
      <c r="AS616" s="47"/>
      <c r="AT616" s="47"/>
      <c r="AU616" s="47"/>
      <c r="AV616" s="47"/>
      <c r="AW616" s="47"/>
      <c r="AX616" s="47"/>
      <c r="AY616" s="47"/>
      <c r="AZ616" s="47"/>
      <c r="BA616" s="47"/>
    </row>
    <row r="617" spans="3:53"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47"/>
      <c r="AC617" s="47"/>
      <c r="AD617" s="47"/>
      <c r="AE617" s="47"/>
      <c r="AF617" s="47"/>
      <c r="AG617" s="47"/>
      <c r="AH617" s="47"/>
      <c r="AI617" s="47"/>
      <c r="AJ617" s="47"/>
      <c r="AK617" s="47"/>
      <c r="AL617" s="47"/>
      <c r="AM617" s="47"/>
      <c r="AN617" s="47"/>
      <c r="AO617" s="47"/>
      <c r="AP617" s="47"/>
      <c r="AQ617" s="47"/>
      <c r="AR617" s="47"/>
      <c r="AS617" s="47"/>
      <c r="AT617" s="47"/>
      <c r="AU617" s="47"/>
      <c r="AV617" s="47"/>
      <c r="AW617" s="47"/>
      <c r="AX617" s="47"/>
      <c r="AY617" s="47"/>
      <c r="AZ617" s="47"/>
      <c r="BA617" s="47"/>
    </row>
    <row r="618" spans="3:53"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47"/>
      <c r="AC618" s="47"/>
      <c r="AD618" s="47"/>
      <c r="AE618" s="47"/>
      <c r="AF618" s="47"/>
      <c r="AG618" s="47"/>
      <c r="AH618" s="47"/>
      <c r="AI618" s="47"/>
      <c r="AJ618" s="47"/>
      <c r="AK618" s="47"/>
      <c r="AL618" s="47"/>
      <c r="AM618" s="47"/>
      <c r="AN618" s="47"/>
      <c r="AO618" s="47"/>
      <c r="AP618" s="47"/>
      <c r="AQ618" s="47"/>
      <c r="AR618" s="47"/>
      <c r="AS618" s="47"/>
      <c r="AT618" s="47"/>
      <c r="AU618" s="47"/>
      <c r="AV618" s="47"/>
      <c r="AW618" s="47"/>
      <c r="AX618" s="47"/>
      <c r="AY618" s="47"/>
      <c r="AZ618" s="47"/>
      <c r="BA618" s="47"/>
    </row>
    <row r="619" spans="3:53"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  <c r="AB619" s="47"/>
      <c r="AC619" s="47"/>
      <c r="AD619" s="47"/>
      <c r="AE619" s="47"/>
      <c r="AF619" s="47"/>
      <c r="AG619" s="47"/>
      <c r="AH619" s="47"/>
      <c r="AI619" s="47"/>
      <c r="AJ619" s="47"/>
      <c r="AK619" s="47"/>
      <c r="AL619" s="47"/>
      <c r="AM619" s="47"/>
      <c r="AN619" s="47"/>
      <c r="AO619" s="47"/>
      <c r="AP619" s="47"/>
      <c r="AQ619" s="47"/>
      <c r="AR619" s="47"/>
      <c r="AS619" s="47"/>
      <c r="AT619" s="47"/>
      <c r="AU619" s="47"/>
      <c r="AV619" s="47"/>
      <c r="AW619" s="47"/>
      <c r="AX619" s="47"/>
      <c r="AY619" s="47"/>
      <c r="AZ619" s="47"/>
      <c r="BA619" s="47"/>
    </row>
    <row r="620" spans="3:53"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47"/>
      <c r="AC620" s="47"/>
      <c r="AD620" s="47"/>
      <c r="AE620" s="47"/>
      <c r="AF620" s="47"/>
      <c r="AG620" s="47"/>
      <c r="AH620" s="47"/>
      <c r="AI620" s="47"/>
      <c r="AJ620" s="47"/>
      <c r="AK620" s="47"/>
      <c r="AL620" s="47"/>
      <c r="AM620" s="47"/>
      <c r="AN620" s="47"/>
      <c r="AO620" s="47"/>
      <c r="AP620" s="47"/>
      <c r="AQ620" s="47"/>
      <c r="AR620" s="47"/>
      <c r="AS620" s="47"/>
      <c r="AT620" s="47"/>
      <c r="AU620" s="47"/>
      <c r="AV620" s="47"/>
      <c r="AW620" s="47"/>
      <c r="AX620" s="47"/>
      <c r="AY620" s="47"/>
      <c r="AZ620" s="47"/>
      <c r="BA620" s="47"/>
    </row>
    <row r="621" spans="3:53"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47"/>
      <c r="AC621" s="47"/>
      <c r="AD621" s="47"/>
      <c r="AE621" s="47"/>
      <c r="AF621" s="47"/>
      <c r="AG621" s="47"/>
      <c r="AH621" s="47"/>
      <c r="AI621" s="47"/>
      <c r="AJ621" s="47"/>
      <c r="AK621" s="47"/>
      <c r="AL621" s="47"/>
      <c r="AM621" s="47"/>
      <c r="AN621" s="47"/>
      <c r="AO621" s="47"/>
      <c r="AP621" s="47"/>
      <c r="AQ621" s="47"/>
      <c r="AR621" s="47"/>
      <c r="AS621" s="47"/>
      <c r="AT621" s="47"/>
      <c r="AU621" s="47"/>
      <c r="AV621" s="47"/>
      <c r="AW621" s="47"/>
      <c r="AX621" s="47"/>
      <c r="AY621" s="47"/>
      <c r="AZ621" s="47"/>
      <c r="BA621" s="47"/>
    </row>
    <row r="622" spans="3:53"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  <c r="AB622" s="47"/>
      <c r="AC622" s="47"/>
      <c r="AD622" s="47"/>
      <c r="AE622" s="47"/>
      <c r="AF622" s="47"/>
      <c r="AG622" s="47"/>
      <c r="AH622" s="47"/>
      <c r="AI622" s="47"/>
      <c r="AJ622" s="47"/>
      <c r="AK622" s="47"/>
      <c r="AL622" s="47"/>
      <c r="AM622" s="47"/>
      <c r="AN622" s="47"/>
      <c r="AO622" s="47"/>
      <c r="AP622" s="47"/>
      <c r="AQ622" s="47"/>
      <c r="AR622" s="47"/>
      <c r="AS622" s="47"/>
      <c r="AT622" s="47"/>
      <c r="AU622" s="47"/>
      <c r="AV622" s="47"/>
      <c r="AW622" s="47"/>
      <c r="AX622" s="47"/>
      <c r="AY622" s="47"/>
      <c r="AZ622" s="47"/>
      <c r="BA622" s="47"/>
    </row>
    <row r="623" spans="3:53"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  <c r="AC623" s="47"/>
      <c r="AD623" s="47"/>
      <c r="AE623" s="47"/>
      <c r="AF623" s="47"/>
      <c r="AG623" s="47"/>
      <c r="AH623" s="47"/>
      <c r="AI623" s="47"/>
      <c r="AJ623" s="47"/>
      <c r="AK623" s="47"/>
      <c r="AL623" s="47"/>
      <c r="AM623" s="47"/>
      <c r="AN623" s="47"/>
      <c r="AO623" s="47"/>
      <c r="AP623" s="47"/>
      <c r="AQ623" s="47"/>
      <c r="AR623" s="47"/>
      <c r="AS623" s="47"/>
      <c r="AT623" s="47"/>
      <c r="AU623" s="47"/>
      <c r="AV623" s="47"/>
      <c r="AW623" s="47"/>
      <c r="AX623" s="47"/>
      <c r="AY623" s="47"/>
      <c r="AZ623" s="47"/>
      <c r="BA623" s="47"/>
    </row>
    <row r="624" spans="3:53"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47"/>
      <c r="AC624" s="47"/>
      <c r="AD624" s="47"/>
      <c r="AE624" s="47"/>
      <c r="AF624" s="47"/>
      <c r="AG624" s="47"/>
      <c r="AH624" s="47"/>
      <c r="AI624" s="47"/>
      <c r="AJ624" s="47"/>
      <c r="AK624" s="47"/>
      <c r="AL624" s="47"/>
      <c r="AM624" s="47"/>
      <c r="AN624" s="47"/>
      <c r="AO624" s="47"/>
      <c r="AP624" s="47"/>
      <c r="AQ624" s="47"/>
      <c r="AR624" s="47"/>
      <c r="AS624" s="47"/>
      <c r="AT624" s="47"/>
      <c r="AU624" s="47"/>
      <c r="AV624" s="47"/>
      <c r="AW624" s="47"/>
      <c r="AX624" s="47"/>
      <c r="AY624" s="47"/>
      <c r="AZ624" s="47"/>
      <c r="BA624" s="47"/>
    </row>
    <row r="625" spans="3:53"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47"/>
      <c r="AC625" s="47"/>
      <c r="AD625" s="47"/>
      <c r="AE625" s="47"/>
      <c r="AF625" s="47"/>
      <c r="AG625" s="47"/>
      <c r="AH625" s="47"/>
      <c r="AI625" s="47"/>
      <c r="AJ625" s="47"/>
      <c r="AK625" s="47"/>
      <c r="AL625" s="47"/>
      <c r="AM625" s="47"/>
      <c r="AN625" s="47"/>
      <c r="AO625" s="47"/>
      <c r="AP625" s="47"/>
      <c r="AQ625" s="47"/>
      <c r="AR625" s="47"/>
      <c r="AS625" s="47"/>
      <c r="AT625" s="47"/>
      <c r="AU625" s="47"/>
      <c r="AV625" s="47"/>
      <c r="AW625" s="47"/>
      <c r="AX625" s="47"/>
      <c r="AY625" s="47"/>
      <c r="AZ625" s="47"/>
      <c r="BA625" s="47"/>
    </row>
    <row r="626" spans="3:53"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  <c r="AB626" s="47"/>
      <c r="AC626" s="47"/>
      <c r="AD626" s="47"/>
      <c r="AE626" s="47"/>
      <c r="AF626" s="47"/>
      <c r="AG626" s="47"/>
      <c r="AH626" s="47"/>
      <c r="AI626" s="47"/>
      <c r="AJ626" s="47"/>
      <c r="AK626" s="47"/>
      <c r="AL626" s="47"/>
      <c r="AM626" s="47"/>
      <c r="AN626" s="47"/>
      <c r="AO626" s="47"/>
      <c r="AP626" s="47"/>
      <c r="AQ626" s="47"/>
      <c r="AR626" s="47"/>
      <c r="AS626" s="47"/>
      <c r="AT626" s="47"/>
      <c r="AU626" s="47"/>
      <c r="AV626" s="47"/>
      <c r="AW626" s="47"/>
      <c r="AX626" s="47"/>
      <c r="AY626" s="47"/>
      <c r="AZ626" s="47"/>
      <c r="BA626" s="47"/>
    </row>
    <row r="627" spans="3:53"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47"/>
      <c r="AC627" s="47"/>
      <c r="AD627" s="47"/>
      <c r="AE627" s="47"/>
      <c r="AF627" s="47"/>
      <c r="AG627" s="47"/>
      <c r="AH627" s="47"/>
      <c r="AI627" s="47"/>
      <c r="AJ627" s="47"/>
      <c r="AK627" s="47"/>
      <c r="AL627" s="47"/>
      <c r="AM627" s="47"/>
      <c r="AN627" s="47"/>
      <c r="AO627" s="47"/>
      <c r="AP627" s="47"/>
      <c r="AQ627" s="47"/>
      <c r="AR627" s="47"/>
      <c r="AS627" s="47"/>
      <c r="AT627" s="47"/>
      <c r="AU627" s="47"/>
      <c r="AV627" s="47"/>
      <c r="AW627" s="47"/>
      <c r="AX627" s="47"/>
      <c r="AY627" s="47"/>
      <c r="AZ627" s="47"/>
      <c r="BA627" s="47"/>
    </row>
    <row r="628" spans="3:53"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47"/>
      <c r="AC628" s="47"/>
      <c r="AD628" s="47"/>
      <c r="AE628" s="47"/>
      <c r="AF628" s="47"/>
      <c r="AG628" s="47"/>
      <c r="AH628" s="47"/>
      <c r="AI628" s="47"/>
      <c r="AJ628" s="47"/>
      <c r="AK628" s="47"/>
      <c r="AL628" s="47"/>
      <c r="AM628" s="47"/>
      <c r="AN628" s="47"/>
      <c r="AO628" s="47"/>
      <c r="AP628" s="47"/>
      <c r="AQ628" s="47"/>
      <c r="AR628" s="47"/>
      <c r="AS628" s="47"/>
      <c r="AT628" s="47"/>
      <c r="AU628" s="47"/>
      <c r="AV628" s="47"/>
      <c r="AW628" s="47"/>
      <c r="AX628" s="47"/>
      <c r="AY628" s="47"/>
      <c r="AZ628" s="47"/>
      <c r="BA628" s="47"/>
    </row>
    <row r="629" spans="3:53"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  <c r="AB629" s="47"/>
      <c r="AC629" s="47"/>
      <c r="AD629" s="47"/>
      <c r="AE629" s="47"/>
      <c r="AF629" s="47"/>
      <c r="AG629" s="47"/>
      <c r="AH629" s="47"/>
      <c r="AI629" s="47"/>
      <c r="AJ629" s="47"/>
      <c r="AK629" s="47"/>
      <c r="AL629" s="47"/>
      <c r="AM629" s="47"/>
      <c r="AN629" s="47"/>
      <c r="AO629" s="47"/>
      <c r="AP629" s="47"/>
      <c r="AQ629" s="47"/>
      <c r="AR629" s="47"/>
      <c r="AS629" s="47"/>
      <c r="AT629" s="47"/>
      <c r="AU629" s="47"/>
      <c r="AV629" s="47"/>
      <c r="AW629" s="47"/>
      <c r="AX629" s="47"/>
      <c r="AY629" s="47"/>
      <c r="AZ629" s="47"/>
      <c r="BA629" s="47"/>
    </row>
    <row r="630" spans="3:53"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7"/>
      <c r="R630" s="47"/>
      <c r="S630" s="47"/>
      <c r="T630" s="47"/>
      <c r="U630" s="47"/>
      <c r="V630" s="47"/>
      <c r="W630" s="47"/>
      <c r="X630" s="47"/>
      <c r="Y630" s="47"/>
      <c r="Z630" s="47"/>
      <c r="AA630" s="47"/>
      <c r="AB630" s="47"/>
      <c r="AC630" s="47"/>
      <c r="AD630" s="47"/>
      <c r="AE630" s="47"/>
      <c r="AF630" s="47"/>
      <c r="AG630" s="47"/>
      <c r="AH630" s="47"/>
      <c r="AI630" s="47"/>
      <c r="AJ630" s="47"/>
      <c r="AK630" s="47"/>
      <c r="AL630" s="47"/>
      <c r="AM630" s="47"/>
      <c r="AN630" s="47"/>
      <c r="AO630" s="47"/>
      <c r="AP630" s="47"/>
      <c r="AQ630" s="47"/>
      <c r="AR630" s="47"/>
      <c r="AS630" s="47"/>
      <c r="AT630" s="47"/>
      <c r="AU630" s="47"/>
      <c r="AV630" s="47"/>
      <c r="AW630" s="47"/>
      <c r="AX630" s="47"/>
      <c r="AY630" s="47"/>
      <c r="AZ630" s="47"/>
      <c r="BA630" s="47"/>
    </row>
    <row r="631" spans="3:53"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47"/>
      <c r="AC631" s="47"/>
      <c r="AD631" s="47"/>
      <c r="AE631" s="47"/>
      <c r="AF631" s="47"/>
      <c r="AG631" s="47"/>
      <c r="AH631" s="47"/>
      <c r="AI631" s="47"/>
      <c r="AJ631" s="47"/>
      <c r="AK631" s="47"/>
      <c r="AL631" s="47"/>
      <c r="AM631" s="47"/>
      <c r="AN631" s="47"/>
      <c r="AO631" s="47"/>
      <c r="AP631" s="47"/>
      <c r="AQ631" s="47"/>
      <c r="AR631" s="47"/>
      <c r="AS631" s="47"/>
      <c r="AT631" s="47"/>
      <c r="AU631" s="47"/>
      <c r="AV631" s="47"/>
      <c r="AW631" s="47"/>
      <c r="AX631" s="47"/>
      <c r="AY631" s="47"/>
      <c r="AZ631" s="47"/>
      <c r="BA631" s="47"/>
    </row>
    <row r="632" spans="3:53"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  <c r="AB632" s="47"/>
      <c r="AC632" s="47"/>
      <c r="AD632" s="47"/>
      <c r="AE632" s="47"/>
      <c r="AF632" s="47"/>
      <c r="AG632" s="47"/>
      <c r="AH632" s="47"/>
      <c r="AI632" s="47"/>
      <c r="AJ632" s="47"/>
      <c r="AK632" s="47"/>
      <c r="AL632" s="47"/>
      <c r="AM632" s="47"/>
      <c r="AN632" s="47"/>
      <c r="AO632" s="47"/>
      <c r="AP632" s="47"/>
      <c r="AQ632" s="47"/>
      <c r="AR632" s="47"/>
      <c r="AS632" s="47"/>
      <c r="AT632" s="47"/>
      <c r="AU632" s="47"/>
      <c r="AV632" s="47"/>
      <c r="AW632" s="47"/>
      <c r="AX632" s="47"/>
      <c r="AY632" s="47"/>
      <c r="AZ632" s="47"/>
      <c r="BA632" s="47"/>
    </row>
    <row r="633" spans="3:53"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47"/>
      <c r="AC633" s="47"/>
      <c r="AD633" s="47"/>
      <c r="AE633" s="47"/>
      <c r="AF633" s="47"/>
      <c r="AG633" s="47"/>
      <c r="AH633" s="47"/>
      <c r="AI633" s="47"/>
      <c r="AJ633" s="47"/>
      <c r="AK633" s="47"/>
      <c r="AL633" s="47"/>
      <c r="AM633" s="47"/>
      <c r="AN633" s="47"/>
      <c r="AO633" s="47"/>
      <c r="AP633" s="47"/>
      <c r="AQ633" s="47"/>
      <c r="AR633" s="47"/>
      <c r="AS633" s="47"/>
      <c r="AT633" s="47"/>
      <c r="AU633" s="47"/>
      <c r="AV633" s="47"/>
      <c r="AW633" s="47"/>
      <c r="AX633" s="47"/>
      <c r="AY633" s="47"/>
      <c r="AZ633" s="47"/>
      <c r="BA633" s="47"/>
    </row>
    <row r="634" spans="3:53"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  <c r="AB634" s="47"/>
      <c r="AC634" s="47"/>
      <c r="AD634" s="47"/>
      <c r="AE634" s="47"/>
      <c r="AF634" s="47"/>
      <c r="AG634" s="47"/>
      <c r="AH634" s="47"/>
      <c r="AI634" s="47"/>
      <c r="AJ634" s="47"/>
      <c r="AK634" s="47"/>
      <c r="AL634" s="47"/>
      <c r="AM634" s="47"/>
      <c r="AN634" s="47"/>
      <c r="AO634" s="47"/>
      <c r="AP634" s="47"/>
      <c r="AQ634" s="47"/>
      <c r="AR634" s="47"/>
      <c r="AS634" s="47"/>
      <c r="AT634" s="47"/>
      <c r="AU634" s="47"/>
      <c r="AV634" s="47"/>
      <c r="AW634" s="47"/>
      <c r="AX634" s="47"/>
      <c r="AY634" s="47"/>
      <c r="AZ634" s="47"/>
      <c r="BA634" s="47"/>
    </row>
    <row r="635" spans="3:53"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7"/>
      <c r="R635" s="47"/>
      <c r="S635" s="47"/>
      <c r="T635" s="47"/>
      <c r="U635" s="47"/>
      <c r="V635" s="47"/>
      <c r="W635" s="47"/>
      <c r="X635" s="47"/>
      <c r="Y635" s="47"/>
      <c r="Z635" s="47"/>
      <c r="AA635" s="47"/>
      <c r="AB635" s="47"/>
      <c r="AC635" s="47"/>
      <c r="AD635" s="47"/>
      <c r="AE635" s="47"/>
      <c r="AF635" s="47"/>
      <c r="AG635" s="47"/>
      <c r="AH635" s="47"/>
      <c r="AI635" s="47"/>
      <c r="AJ635" s="47"/>
      <c r="AK635" s="47"/>
      <c r="AL635" s="47"/>
      <c r="AM635" s="47"/>
      <c r="AN635" s="47"/>
      <c r="AO635" s="47"/>
      <c r="AP635" s="47"/>
      <c r="AQ635" s="47"/>
      <c r="AR635" s="47"/>
      <c r="AS635" s="47"/>
      <c r="AT635" s="47"/>
      <c r="AU635" s="47"/>
      <c r="AV635" s="47"/>
      <c r="AW635" s="47"/>
      <c r="AX635" s="47"/>
      <c r="AY635" s="47"/>
      <c r="AZ635" s="47"/>
      <c r="BA635" s="47"/>
    </row>
    <row r="636" spans="3:53"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7"/>
      <c r="R636" s="47"/>
      <c r="S636" s="47"/>
      <c r="T636" s="47"/>
      <c r="U636" s="47"/>
      <c r="V636" s="47"/>
      <c r="W636" s="47"/>
      <c r="X636" s="47"/>
      <c r="Y636" s="47"/>
      <c r="Z636" s="47"/>
      <c r="AA636" s="47"/>
      <c r="AB636" s="47"/>
      <c r="AC636" s="47"/>
      <c r="AD636" s="47"/>
      <c r="AE636" s="47"/>
      <c r="AF636" s="47"/>
      <c r="AG636" s="47"/>
      <c r="AH636" s="47"/>
      <c r="AI636" s="47"/>
      <c r="AJ636" s="47"/>
      <c r="AK636" s="47"/>
      <c r="AL636" s="47"/>
      <c r="AM636" s="47"/>
      <c r="AN636" s="47"/>
      <c r="AO636" s="47"/>
      <c r="AP636" s="47"/>
      <c r="AQ636" s="47"/>
      <c r="AR636" s="47"/>
      <c r="AS636" s="47"/>
      <c r="AT636" s="47"/>
      <c r="AU636" s="47"/>
      <c r="AV636" s="47"/>
      <c r="AW636" s="47"/>
      <c r="AX636" s="47"/>
      <c r="AY636" s="47"/>
      <c r="AZ636" s="47"/>
      <c r="BA636" s="47"/>
    </row>
    <row r="637" spans="3:53"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  <c r="AB637" s="47"/>
      <c r="AC637" s="47"/>
      <c r="AD637" s="47"/>
      <c r="AE637" s="47"/>
      <c r="AF637" s="47"/>
      <c r="AG637" s="47"/>
      <c r="AH637" s="47"/>
      <c r="AI637" s="47"/>
      <c r="AJ637" s="47"/>
      <c r="AK637" s="47"/>
      <c r="AL637" s="47"/>
      <c r="AM637" s="47"/>
      <c r="AN637" s="47"/>
      <c r="AO637" s="47"/>
      <c r="AP637" s="47"/>
      <c r="AQ637" s="47"/>
      <c r="AR637" s="47"/>
      <c r="AS637" s="47"/>
      <c r="AT637" s="47"/>
      <c r="AU637" s="47"/>
      <c r="AV637" s="47"/>
      <c r="AW637" s="47"/>
      <c r="AX637" s="47"/>
      <c r="AY637" s="47"/>
      <c r="AZ637" s="47"/>
      <c r="BA637" s="47"/>
    </row>
    <row r="638" spans="3:53"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7"/>
      <c r="R638" s="47"/>
      <c r="S638" s="47"/>
      <c r="T638" s="47"/>
      <c r="U638" s="47"/>
      <c r="V638" s="47"/>
      <c r="W638" s="47"/>
      <c r="X638" s="47"/>
      <c r="Y638" s="47"/>
      <c r="Z638" s="47"/>
      <c r="AA638" s="47"/>
      <c r="AB638" s="47"/>
      <c r="AC638" s="47"/>
      <c r="AD638" s="47"/>
      <c r="AE638" s="47"/>
      <c r="AF638" s="47"/>
      <c r="AG638" s="47"/>
      <c r="AH638" s="47"/>
      <c r="AI638" s="47"/>
      <c r="AJ638" s="47"/>
      <c r="AK638" s="47"/>
      <c r="AL638" s="47"/>
      <c r="AM638" s="47"/>
      <c r="AN638" s="47"/>
      <c r="AO638" s="47"/>
      <c r="AP638" s="47"/>
      <c r="AQ638" s="47"/>
      <c r="AR638" s="47"/>
      <c r="AS638" s="47"/>
      <c r="AT638" s="47"/>
      <c r="AU638" s="47"/>
      <c r="AV638" s="47"/>
      <c r="AW638" s="47"/>
      <c r="AX638" s="47"/>
      <c r="AY638" s="47"/>
      <c r="AZ638" s="47"/>
      <c r="BA638" s="47"/>
    </row>
    <row r="639" spans="3:53"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7"/>
      <c r="R639" s="47"/>
      <c r="S639" s="47"/>
      <c r="T639" s="47"/>
      <c r="U639" s="47"/>
      <c r="V639" s="47"/>
      <c r="W639" s="47"/>
      <c r="X639" s="47"/>
      <c r="Y639" s="47"/>
      <c r="Z639" s="47"/>
      <c r="AA639" s="47"/>
      <c r="AB639" s="47"/>
      <c r="AC639" s="47"/>
      <c r="AD639" s="47"/>
      <c r="AE639" s="47"/>
      <c r="AF639" s="47"/>
      <c r="AG639" s="47"/>
      <c r="AH639" s="47"/>
      <c r="AI639" s="47"/>
      <c r="AJ639" s="47"/>
      <c r="AK639" s="47"/>
      <c r="AL639" s="47"/>
      <c r="AM639" s="47"/>
      <c r="AN639" s="47"/>
      <c r="AO639" s="47"/>
      <c r="AP639" s="47"/>
      <c r="AQ639" s="47"/>
      <c r="AR639" s="47"/>
      <c r="AS639" s="47"/>
      <c r="AT639" s="47"/>
      <c r="AU639" s="47"/>
      <c r="AV639" s="47"/>
      <c r="AW639" s="47"/>
      <c r="AX639" s="47"/>
      <c r="AY639" s="47"/>
      <c r="AZ639" s="47"/>
      <c r="BA639" s="47"/>
    </row>
    <row r="640" spans="3:53"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7"/>
      <c r="R640" s="47"/>
      <c r="S640" s="47"/>
      <c r="T640" s="47"/>
      <c r="U640" s="47"/>
      <c r="V640" s="47"/>
      <c r="W640" s="47"/>
      <c r="X640" s="47"/>
      <c r="Y640" s="47"/>
      <c r="Z640" s="47"/>
      <c r="AA640" s="47"/>
      <c r="AB640" s="47"/>
      <c r="AC640" s="47"/>
      <c r="AD640" s="47"/>
      <c r="AE640" s="47"/>
      <c r="AF640" s="47"/>
      <c r="AG640" s="47"/>
      <c r="AH640" s="47"/>
      <c r="AI640" s="47"/>
      <c r="AJ640" s="47"/>
      <c r="AK640" s="47"/>
      <c r="AL640" s="47"/>
      <c r="AM640" s="47"/>
      <c r="AN640" s="47"/>
      <c r="AO640" s="47"/>
      <c r="AP640" s="47"/>
      <c r="AQ640" s="47"/>
      <c r="AR640" s="47"/>
      <c r="AS640" s="47"/>
      <c r="AT640" s="47"/>
      <c r="AU640" s="47"/>
      <c r="AV640" s="47"/>
      <c r="AW640" s="47"/>
      <c r="AX640" s="47"/>
      <c r="AY640" s="47"/>
      <c r="AZ640" s="47"/>
      <c r="BA640" s="47"/>
    </row>
    <row r="641" spans="3:53"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7"/>
      <c r="R641" s="47"/>
      <c r="S641" s="47"/>
      <c r="T641" s="47"/>
      <c r="U641" s="47"/>
      <c r="V641" s="47"/>
      <c r="W641" s="47"/>
      <c r="X641" s="47"/>
      <c r="Y641" s="47"/>
      <c r="Z641" s="47"/>
      <c r="AA641" s="47"/>
      <c r="AB641" s="47"/>
      <c r="AC641" s="47"/>
      <c r="AD641" s="47"/>
      <c r="AE641" s="47"/>
      <c r="AF641" s="47"/>
      <c r="AG641" s="47"/>
      <c r="AH641" s="47"/>
      <c r="AI641" s="47"/>
      <c r="AJ641" s="47"/>
      <c r="AK641" s="47"/>
      <c r="AL641" s="47"/>
      <c r="AM641" s="47"/>
      <c r="AN641" s="47"/>
      <c r="AO641" s="47"/>
      <c r="AP641" s="47"/>
      <c r="AQ641" s="47"/>
      <c r="AR641" s="47"/>
      <c r="AS641" s="47"/>
      <c r="AT641" s="47"/>
      <c r="AU641" s="47"/>
      <c r="AV641" s="47"/>
      <c r="AW641" s="47"/>
      <c r="AX641" s="47"/>
      <c r="AY641" s="47"/>
      <c r="AZ641" s="47"/>
      <c r="BA641" s="47"/>
    </row>
    <row r="642" spans="3:53"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7"/>
      <c r="R642" s="47"/>
      <c r="S642" s="47"/>
      <c r="T642" s="47"/>
      <c r="U642" s="47"/>
      <c r="V642" s="47"/>
      <c r="W642" s="47"/>
      <c r="X642" s="47"/>
      <c r="Y642" s="47"/>
      <c r="Z642" s="47"/>
      <c r="AA642" s="47"/>
      <c r="AB642" s="47"/>
      <c r="AC642" s="47"/>
      <c r="AD642" s="47"/>
      <c r="AE642" s="47"/>
      <c r="AF642" s="47"/>
      <c r="AG642" s="47"/>
      <c r="AH642" s="47"/>
      <c r="AI642" s="47"/>
      <c r="AJ642" s="47"/>
      <c r="AK642" s="47"/>
      <c r="AL642" s="47"/>
      <c r="AM642" s="47"/>
      <c r="AN642" s="47"/>
      <c r="AO642" s="47"/>
      <c r="AP642" s="47"/>
      <c r="AQ642" s="47"/>
      <c r="AR642" s="47"/>
      <c r="AS642" s="47"/>
      <c r="AT642" s="47"/>
      <c r="AU642" s="47"/>
      <c r="AV642" s="47"/>
      <c r="AW642" s="47"/>
      <c r="AX642" s="47"/>
      <c r="AY642" s="47"/>
      <c r="AZ642" s="47"/>
      <c r="BA642" s="47"/>
    </row>
    <row r="643" spans="3:53"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  <c r="AB643" s="47"/>
      <c r="AC643" s="47"/>
      <c r="AD643" s="47"/>
      <c r="AE643" s="47"/>
      <c r="AF643" s="47"/>
      <c r="AG643" s="47"/>
      <c r="AH643" s="47"/>
      <c r="AI643" s="47"/>
      <c r="AJ643" s="47"/>
      <c r="AK643" s="47"/>
      <c r="AL643" s="47"/>
      <c r="AM643" s="47"/>
      <c r="AN643" s="47"/>
      <c r="AO643" s="47"/>
      <c r="AP643" s="47"/>
      <c r="AQ643" s="47"/>
      <c r="AR643" s="47"/>
      <c r="AS643" s="47"/>
      <c r="AT643" s="47"/>
      <c r="AU643" s="47"/>
      <c r="AV643" s="47"/>
      <c r="AW643" s="47"/>
      <c r="AX643" s="47"/>
      <c r="AY643" s="47"/>
      <c r="AZ643" s="47"/>
      <c r="BA643" s="47"/>
    </row>
    <row r="644" spans="3:53"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7"/>
      <c r="R644" s="47"/>
      <c r="S644" s="47"/>
      <c r="T644" s="47"/>
      <c r="U644" s="47"/>
      <c r="V644" s="47"/>
      <c r="W644" s="47"/>
      <c r="X644" s="47"/>
      <c r="Y644" s="47"/>
      <c r="Z644" s="47"/>
      <c r="AA644" s="47"/>
      <c r="AB644" s="47"/>
      <c r="AC644" s="47"/>
      <c r="AD644" s="47"/>
      <c r="AE644" s="47"/>
      <c r="AF644" s="47"/>
      <c r="AG644" s="47"/>
      <c r="AH644" s="47"/>
      <c r="AI644" s="47"/>
      <c r="AJ644" s="47"/>
      <c r="AK644" s="47"/>
      <c r="AL644" s="47"/>
      <c r="AM644" s="47"/>
      <c r="AN644" s="47"/>
      <c r="AO644" s="47"/>
      <c r="AP644" s="47"/>
      <c r="AQ644" s="47"/>
      <c r="AR644" s="47"/>
      <c r="AS644" s="47"/>
      <c r="AT644" s="47"/>
      <c r="AU644" s="47"/>
      <c r="AV644" s="47"/>
      <c r="AW644" s="47"/>
      <c r="AX644" s="47"/>
      <c r="AY644" s="47"/>
      <c r="AZ644" s="47"/>
      <c r="BA644" s="47"/>
    </row>
    <row r="645" spans="3:53"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7"/>
      <c r="R645" s="47"/>
      <c r="S645" s="47"/>
      <c r="T645" s="47"/>
      <c r="U645" s="47"/>
      <c r="V645" s="47"/>
      <c r="W645" s="47"/>
      <c r="X645" s="47"/>
      <c r="Y645" s="47"/>
      <c r="Z645" s="47"/>
      <c r="AA645" s="47"/>
      <c r="AB645" s="47"/>
      <c r="AC645" s="47"/>
      <c r="AD645" s="47"/>
      <c r="AE645" s="47"/>
      <c r="AF645" s="47"/>
      <c r="AG645" s="47"/>
      <c r="AH645" s="47"/>
      <c r="AI645" s="47"/>
      <c r="AJ645" s="47"/>
      <c r="AK645" s="47"/>
      <c r="AL645" s="47"/>
      <c r="AM645" s="47"/>
      <c r="AN645" s="47"/>
      <c r="AO645" s="47"/>
      <c r="AP645" s="47"/>
      <c r="AQ645" s="47"/>
      <c r="AR645" s="47"/>
      <c r="AS645" s="47"/>
      <c r="AT645" s="47"/>
      <c r="AU645" s="47"/>
      <c r="AV645" s="47"/>
      <c r="AW645" s="47"/>
      <c r="AX645" s="47"/>
      <c r="AY645" s="47"/>
      <c r="AZ645" s="47"/>
      <c r="BA645" s="47"/>
    </row>
    <row r="646" spans="3:53"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7"/>
      <c r="R646" s="47"/>
      <c r="S646" s="47"/>
      <c r="T646" s="47"/>
      <c r="U646" s="47"/>
      <c r="V646" s="47"/>
      <c r="W646" s="47"/>
      <c r="X646" s="47"/>
      <c r="Y646" s="47"/>
      <c r="Z646" s="47"/>
      <c r="AA646" s="47"/>
      <c r="AB646" s="47"/>
      <c r="AC646" s="47"/>
      <c r="AD646" s="47"/>
      <c r="AE646" s="47"/>
      <c r="AF646" s="47"/>
      <c r="AG646" s="47"/>
      <c r="AH646" s="47"/>
      <c r="AI646" s="47"/>
      <c r="AJ646" s="47"/>
      <c r="AK646" s="47"/>
      <c r="AL646" s="47"/>
      <c r="AM646" s="47"/>
      <c r="AN646" s="47"/>
      <c r="AO646" s="47"/>
      <c r="AP646" s="47"/>
      <c r="AQ646" s="47"/>
      <c r="AR646" s="47"/>
      <c r="AS646" s="47"/>
      <c r="AT646" s="47"/>
      <c r="AU646" s="47"/>
      <c r="AV646" s="47"/>
      <c r="AW646" s="47"/>
      <c r="AX646" s="47"/>
      <c r="AY646" s="47"/>
      <c r="AZ646" s="47"/>
      <c r="BA646" s="47"/>
    </row>
    <row r="647" spans="3:53"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7"/>
      <c r="R647" s="47"/>
      <c r="S647" s="47"/>
      <c r="T647" s="47"/>
      <c r="U647" s="47"/>
      <c r="V647" s="47"/>
      <c r="W647" s="47"/>
      <c r="X647" s="47"/>
      <c r="Y647" s="47"/>
      <c r="Z647" s="47"/>
      <c r="AA647" s="47"/>
      <c r="AB647" s="47"/>
      <c r="AC647" s="47"/>
      <c r="AD647" s="47"/>
      <c r="AE647" s="47"/>
      <c r="AF647" s="47"/>
      <c r="AG647" s="47"/>
      <c r="AH647" s="47"/>
      <c r="AI647" s="47"/>
      <c r="AJ647" s="47"/>
      <c r="AK647" s="47"/>
      <c r="AL647" s="47"/>
      <c r="AM647" s="47"/>
      <c r="AN647" s="47"/>
      <c r="AO647" s="47"/>
      <c r="AP647" s="47"/>
      <c r="AQ647" s="47"/>
      <c r="AR647" s="47"/>
      <c r="AS647" s="47"/>
      <c r="AT647" s="47"/>
      <c r="AU647" s="47"/>
      <c r="AV647" s="47"/>
      <c r="AW647" s="47"/>
      <c r="AX647" s="47"/>
      <c r="AY647" s="47"/>
      <c r="AZ647" s="47"/>
      <c r="BA647" s="47"/>
    </row>
    <row r="648" spans="3:53"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7"/>
      <c r="R648" s="47"/>
      <c r="S648" s="47"/>
      <c r="T648" s="47"/>
      <c r="U648" s="47"/>
      <c r="V648" s="47"/>
      <c r="W648" s="47"/>
      <c r="X648" s="47"/>
      <c r="Y648" s="47"/>
      <c r="Z648" s="47"/>
      <c r="AA648" s="47"/>
      <c r="AB648" s="47"/>
      <c r="AC648" s="47"/>
      <c r="AD648" s="47"/>
      <c r="AE648" s="47"/>
      <c r="AF648" s="47"/>
      <c r="AG648" s="47"/>
      <c r="AH648" s="47"/>
      <c r="AI648" s="47"/>
      <c r="AJ648" s="47"/>
      <c r="AK648" s="47"/>
      <c r="AL648" s="47"/>
      <c r="AM648" s="47"/>
      <c r="AN648" s="47"/>
      <c r="AO648" s="47"/>
      <c r="AP648" s="47"/>
      <c r="AQ648" s="47"/>
      <c r="AR648" s="47"/>
      <c r="AS648" s="47"/>
      <c r="AT648" s="47"/>
      <c r="AU648" s="47"/>
      <c r="AV648" s="47"/>
      <c r="AW648" s="47"/>
      <c r="AX648" s="47"/>
      <c r="AY648" s="47"/>
      <c r="AZ648" s="47"/>
      <c r="BA648" s="47"/>
    </row>
    <row r="649" spans="3:53"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7"/>
      <c r="R649" s="47"/>
      <c r="S649" s="47"/>
      <c r="T649" s="47"/>
      <c r="U649" s="47"/>
      <c r="V649" s="47"/>
      <c r="W649" s="47"/>
      <c r="X649" s="47"/>
      <c r="Y649" s="47"/>
      <c r="Z649" s="47"/>
      <c r="AA649" s="47"/>
      <c r="AB649" s="47"/>
      <c r="AC649" s="47"/>
      <c r="AD649" s="47"/>
      <c r="AE649" s="47"/>
      <c r="AF649" s="47"/>
      <c r="AG649" s="47"/>
      <c r="AH649" s="47"/>
      <c r="AI649" s="47"/>
      <c r="AJ649" s="47"/>
      <c r="AK649" s="47"/>
      <c r="AL649" s="47"/>
      <c r="AM649" s="47"/>
      <c r="AN649" s="47"/>
      <c r="AO649" s="47"/>
      <c r="AP649" s="47"/>
      <c r="AQ649" s="47"/>
      <c r="AR649" s="47"/>
      <c r="AS649" s="47"/>
      <c r="AT649" s="47"/>
      <c r="AU649" s="47"/>
      <c r="AV649" s="47"/>
      <c r="AW649" s="47"/>
      <c r="AX649" s="47"/>
      <c r="AY649" s="47"/>
      <c r="AZ649" s="47"/>
      <c r="BA649" s="47"/>
    </row>
    <row r="650" spans="3:53"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7"/>
      <c r="R650" s="47"/>
      <c r="S650" s="47"/>
      <c r="T650" s="47"/>
      <c r="U650" s="47"/>
      <c r="V650" s="47"/>
      <c r="W650" s="47"/>
      <c r="X650" s="47"/>
      <c r="Y650" s="47"/>
      <c r="Z650" s="47"/>
      <c r="AA650" s="47"/>
      <c r="AB650" s="47"/>
      <c r="AC650" s="47"/>
      <c r="AD650" s="47"/>
      <c r="AE650" s="47"/>
      <c r="AF650" s="47"/>
      <c r="AG650" s="47"/>
      <c r="AH650" s="47"/>
      <c r="AI650" s="47"/>
      <c r="AJ650" s="47"/>
      <c r="AK650" s="47"/>
      <c r="AL650" s="47"/>
      <c r="AM650" s="47"/>
      <c r="AN650" s="47"/>
      <c r="AO650" s="47"/>
      <c r="AP650" s="47"/>
      <c r="AQ650" s="47"/>
      <c r="AR650" s="47"/>
      <c r="AS650" s="47"/>
      <c r="AT650" s="47"/>
      <c r="AU650" s="47"/>
      <c r="AV650" s="47"/>
      <c r="AW650" s="47"/>
      <c r="AX650" s="47"/>
      <c r="AY650" s="47"/>
      <c r="AZ650" s="47"/>
      <c r="BA650" s="47"/>
    </row>
    <row r="651" spans="3:53"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7"/>
      <c r="R651" s="47"/>
      <c r="S651" s="47"/>
      <c r="T651" s="47"/>
      <c r="U651" s="47"/>
      <c r="V651" s="47"/>
      <c r="W651" s="47"/>
      <c r="X651" s="47"/>
      <c r="Y651" s="47"/>
      <c r="Z651" s="47"/>
      <c r="AA651" s="47"/>
      <c r="AB651" s="47"/>
      <c r="AC651" s="47"/>
      <c r="AD651" s="47"/>
      <c r="AE651" s="47"/>
      <c r="AF651" s="47"/>
      <c r="AG651" s="47"/>
      <c r="AH651" s="47"/>
      <c r="AI651" s="47"/>
      <c r="AJ651" s="47"/>
      <c r="AK651" s="47"/>
      <c r="AL651" s="47"/>
      <c r="AM651" s="47"/>
      <c r="AN651" s="47"/>
      <c r="AO651" s="47"/>
      <c r="AP651" s="47"/>
      <c r="AQ651" s="47"/>
      <c r="AR651" s="47"/>
      <c r="AS651" s="47"/>
      <c r="AT651" s="47"/>
      <c r="AU651" s="47"/>
      <c r="AV651" s="47"/>
      <c r="AW651" s="47"/>
      <c r="AX651" s="47"/>
      <c r="AY651" s="47"/>
      <c r="AZ651" s="47"/>
      <c r="BA651" s="47"/>
    </row>
    <row r="652" spans="3:53"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7"/>
      <c r="R652" s="47"/>
      <c r="S652" s="47"/>
      <c r="T652" s="47"/>
      <c r="U652" s="47"/>
      <c r="V652" s="47"/>
      <c r="W652" s="47"/>
      <c r="X652" s="47"/>
      <c r="Y652" s="47"/>
      <c r="Z652" s="47"/>
      <c r="AA652" s="47"/>
      <c r="AB652" s="47"/>
      <c r="AC652" s="47"/>
      <c r="AD652" s="47"/>
      <c r="AE652" s="47"/>
      <c r="AF652" s="47"/>
      <c r="AG652" s="47"/>
      <c r="AH652" s="47"/>
      <c r="AI652" s="47"/>
      <c r="AJ652" s="47"/>
      <c r="AK652" s="47"/>
      <c r="AL652" s="47"/>
      <c r="AM652" s="47"/>
      <c r="AN652" s="47"/>
      <c r="AO652" s="47"/>
      <c r="AP652" s="47"/>
      <c r="AQ652" s="47"/>
      <c r="AR652" s="47"/>
      <c r="AS652" s="47"/>
      <c r="AT652" s="47"/>
      <c r="AU652" s="47"/>
      <c r="AV652" s="47"/>
      <c r="AW652" s="47"/>
      <c r="AX652" s="47"/>
      <c r="AY652" s="47"/>
      <c r="AZ652" s="47"/>
      <c r="BA652" s="47"/>
    </row>
    <row r="653" spans="3:53"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7"/>
      <c r="R653" s="47"/>
      <c r="S653" s="47"/>
      <c r="T653" s="47"/>
      <c r="U653" s="47"/>
      <c r="V653" s="47"/>
      <c r="W653" s="47"/>
      <c r="X653" s="47"/>
      <c r="Y653" s="47"/>
      <c r="Z653" s="47"/>
      <c r="AA653" s="47"/>
      <c r="AB653" s="47"/>
      <c r="AC653" s="47"/>
      <c r="AD653" s="47"/>
      <c r="AE653" s="47"/>
      <c r="AF653" s="47"/>
      <c r="AG653" s="47"/>
      <c r="AH653" s="47"/>
      <c r="AI653" s="47"/>
      <c r="AJ653" s="47"/>
      <c r="AK653" s="47"/>
      <c r="AL653" s="47"/>
      <c r="AM653" s="47"/>
      <c r="AN653" s="47"/>
      <c r="AO653" s="47"/>
      <c r="AP653" s="47"/>
      <c r="AQ653" s="47"/>
      <c r="AR653" s="47"/>
      <c r="AS653" s="47"/>
      <c r="AT653" s="47"/>
      <c r="AU653" s="47"/>
      <c r="AV653" s="47"/>
      <c r="AW653" s="47"/>
      <c r="AX653" s="47"/>
      <c r="AY653" s="47"/>
      <c r="AZ653" s="47"/>
      <c r="BA653" s="47"/>
    </row>
    <row r="654" spans="3:53"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7"/>
      <c r="R654" s="47"/>
      <c r="S654" s="47"/>
      <c r="T654" s="47"/>
      <c r="U654" s="47"/>
      <c r="V654" s="47"/>
      <c r="W654" s="47"/>
      <c r="X654" s="47"/>
      <c r="Y654" s="47"/>
      <c r="Z654" s="47"/>
      <c r="AA654" s="47"/>
      <c r="AB654" s="47"/>
      <c r="AC654" s="47"/>
      <c r="AD654" s="47"/>
      <c r="AE654" s="47"/>
      <c r="AF654" s="47"/>
      <c r="AG654" s="47"/>
      <c r="AH654" s="47"/>
      <c r="AI654" s="47"/>
      <c r="AJ654" s="47"/>
      <c r="AK654" s="47"/>
      <c r="AL654" s="47"/>
      <c r="AM654" s="47"/>
      <c r="AN654" s="47"/>
      <c r="AO654" s="47"/>
      <c r="AP654" s="47"/>
      <c r="AQ654" s="47"/>
      <c r="AR654" s="47"/>
      <c r="AS654" s="47"/>
      <c r="AT654" s="47"/>
      <c r="AU654" s="47"/>
      <c r="AV654" s="47"/>
      <c r="AW654" s="47"/>
      <c r="AX654" s="47"/>
      <c r="AY654" s="47"/>
      <c r="AZ654" s="47"/>
      <c r="BA654" s="47"/>
    </row>
    <row r="655" spans="3:53"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7"/>
      <c r="R655" s="47"/>
      <c r="S655" s="47"/>
      <c r="T655" s="47"/>
      <c r="U655" s="47"/>
      <c r="V655" s="47"/>
      <c r="W655" s="47"/>
      <c r="X655" s="47"/>
      <c r="Y655" s="47"/>
      <c r="Z655" s="47"/>
      <c r="AA655" s="47"/>
      <c r="AB655" s="47"/>
      <c r="AC655" s="47"/>
      <c r="AD655" s="47"/>
      <c r="AE655" s="47"/>
      <c r="AF655" s="47"/>
      <c r="AG655" s="47"/>
      <c r="AH655" s="47"/>
      <c r="AI655" s="47"/>
      <c r="AJ655" s="47"/>
      <c r="AK655" s="47"/>
      <c r="AL655" s="47"/>
      <c r="AM655" s="47"/>
      <c r="AN655" s="47"/>
      <c r="AO655" s="47"/>
      <c r="AP655" s="47"/>
      <c r="AQ655" s="47"/>
      <c r="AR655" s="47"/>
      <c r="AS655" s="47"/>
      <c r="AT655" s="47"/>
      <c r="AU655" s="47"/>
      <c r="AV655" s="47"/>
      <c r="AW655" s="47"/>
      <c r="AX655" s="47"/>
      <c r="AY655" s="47"/>
      <c r="AZ655" s="47"/>
      <c r="BA655" s="47"/>
    </row>
    <row r="656" spans="3:53"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7"/>
      <c r="R656" s="47"/>
      <c r="S656" s="47"/>
      <c r="T656" s="47"/>
      <c r="U656" s="47"/>
      <c r="V656" s="47"/>
      <c r="W656" s="47"/>
      <c r="X656" s="47"/>
      <c r="Y656" s="47"/>
      <c r="Z656" s="47"/>
      <c r="AA656" s="47"/>
      <c r="AB656" s="47"/>
      <c r="AC656" s="47"/>
      <c r="AD656" s="47"/>
      <c r="AE656" s="47"/>
      <c r="AF656" s="47"/>
      <c r="AG656" s="47"/>
      <c r="AH656" s="47"/>
      <c r="AI656" s="47"/>
      <c r="AJ656" s="47"/>
      <c r="AK656" s="47"/>
      <c r="AL656" s="47"/>
      <c r="AM656" s="47"/>
      <c r="AN656" s="47"/>
      <c r="AO656" s="47"/>
      <c r="AP656" s="47"/>
      <c r="AQ656" s="47"/>
      <c r="AR656" s="47"/>
      <c r="AS656" s="47"/>
      <c r="AT656" s="47"/>
      <c r="AU656" s="47"/>
      <c r="AV656" s="47"/>
      <c r="AW656" s="47"/>
      <c r="AX656" s="47"/>
      <c r="AY656" s="47"/>
      <c r="AZ656" s="47"/>
      <c r="BA656" s="47"/>
    </row>
    <row r="657" spans="3:53"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7"/>
      <c r="R657" s="47"/>
      <c r="S657" s="47"/>
      <c r="T657" s="47"/>
      <c r="U657" s="47"/>
      <c r="V657" s="47"/>
      <c r="W657" s="47"/>
      <c r="X657" s="47"/>
      <c r="Y657" s="47"/>
      <c r="Z657" s="47"/>
      <c r="AA657" s="47"/>
      <c r="AB657" s="47"/>
      <c r="AC657" s="47"/>
      <c r="AD657" s="47"/>
      <c r="AE657" s="47"/>
      <c r="AF657" s="47"/>
      <c r="AG657" s="47"/>
      <c r="AH657" s="47"/>
      <c r="AI657" s="47"/>
      <c r="AJ657" s="47"/>
      <c r="AK657" s="47"/>
      <c r="AL657" s="47"/>
      <c r="AM657" s="47"/>
      <c r="AN657" s="47"/>
      <c r="AO657" s="47"/>
      <c r="AP657" s="47"/>
      <c r="AQ657" s="47"/>
      <c r="AR657" s="47"/>
      <c r="AS657" s="47"/>
      <c r="AT657" s="47"/>
      <c r="AU657" s="47"/>
      <c r="AV657" s="47"/>
      <c r="AW657" s="47"/>
      <c r="AX657" s="47"/>
      <c r="AY657" s="47"/>
      <c r="AZ657" s="47"/>
      <c r="BA657" s="47"/>
    </row>
    <row r="658" spans="3:53"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7"/>
      <c r="R658" s="47"/>
      <c r="S658" s="47"/>
      <c r="T658" s="47"/>
      <c r="U658" s="47"/>
      <c r="V658" s="47"/>
      <c r="W658" s="47"/>
      <c r="X658" s="47"/>
      <c r="Y658" s="47"/>
      <c r="Z658" s="47"/>
      <c r="AA658" s="47"/>
      <c r="AB658" s="47"/>
      <c r="AC658" s="47"/>
      <c r="AD658" s="47"/>
      <c r="AE658" s="47"/>
      <c r="AF658" s="47"/>
      <c r="AG658" s="47"/>
      <c r="AH658" s="47"/>
      <c r="AI658" s="47"/>
      <c r="AJ658" s="47"/>
      <c r="AK658" s="47"/>
      <c r="AL658" s="47"/>
      <c r="AM658" s="47"/>
      <c r="AN658" s="47"/>
      <c r="AO658" s="47"/>
      <c r="AP658" s="47"/>
      <c r="AQ658" s="47"/>
      <c r="AR658" s="47"/>
      <c r="AS658" s="47"/>
      <c r="AT658" s="47"/>
      <c r="AU658" s="47"/>
      <c r="AV658" s="47"/>
      <c r="AW658" s="47"/>
      <c r="AX658" s="47"/>
      <c r="AY658" s="47"/>
      <c r="AZ658" s="47"/>
      <c r="BA658" s="47"/>
    </row>
    <row r="659" spans="3:53"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7"/>
      <c r="R659" s="47"/>
      <c r="S659" s="47"/>
      <c r="T659" s="47"/>
      <c r="U659" s="47"/>
      <c r="V659" s="47"/>
      <c r="W659" s="47"/>
      <c r="X659" s="47"/>
      <c r="Y659" s="47"/>
      <c r="Z659" s="47"/>
      <c r="AA659" s="47"/>
      <c r="AB659" s="47"/>
      <c r="AC659" s="47"/>
      <c r="AD659" s="47"/>
      <c r="AE659" s="47"/>
      <c r="AF659" s="47"/>
      <c r="AG659" s="47"/>
      <c r="AH659" s="47"/>
      <c r="AI659" s="47"/>
      <c r="AJ659" s="47"/>
      <c r="AK659" s="47"/>
      <c r="AL659" s="47"/>
      <c r="AM659" s="47"/>
      <c r="AN659" s="47"/>
      <c r="AO659" s="47"/>
      <c r="AP659" s="47"/>
      <c r="AQ659" s="47"/>
      <c r="AR659" s="47"/>
      <c r="AS659" s="47"/>
      <c r="AT659" s="47"/>
      <c r="AU659" s="47"/>
      <c r="AV659" s="47"/>
      <c r="AW659" s="47"/>
      <c r="AX659" s="47"/>
      <c r="AY659" s="47"/>
      <c r="AZ659" s="47"/>
      <c r="BA659" s="47"/>
    </row>
    <row r="660" spans="3:53"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7"/>
      <c r="R660" s="47"/>
      <c r="S660" s="47"/>
      <c r="T660" s="47"/>
      <c r="U660" s="47"/>
      <c r="V660" s="47"/>
      <c r="W660" s="47"/>
      <c r="X660" s="47"/>
      <c r="Y660" s="47"/>
      <c r="Z660" s="47"/>
      <c r="AA660" s="47"/>
      <c r="AB660" s="47"/>
      <c r="AC660" s="47"/>
      <c r="AD660" s="47"/>
      <c r="AE660" s="47"/>
      <c r="AF660" s="47"/>
      <c r="AG660" s="47"/>
      <c r="AH660" s="47"/>
      <c r="AI660" s="47"/>
      <c r="AJ660" s="47"/>
      <c r="AK660" s="47"/>
      <c r="AL660" s="47"/>
      <c r="AM660" s="47"/>
      <c r="AN660" s="47"/>
      <c r="AO660" s="47"/>
      <c r="AP660" s="47"/>
      <c r="AQ660" s="47"/>
      <c r="AR660" s="47"/>
      <c r="AS660" s="47"/>
      <c r="AT660" s="47"/>
      <c r="AU660" s="47"/>
      <c r="AV660" s="47"/>
      <c r="AW660" s="47"/>
      <c r="AX660" s="47"/>
      <c r="AY660" s="47"/>
      <c r="AZ660" s="47"/>
      <c r="BA660" s="47"/>
    </row>
    <row r="661" spans="3:53"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7"/>
      <c r="R661" s="47"/>
      <c r="S661" s="47"/>
      <c r="T661" s="47"/>
      <c r="U661" s="47"/>
      <c r="V661" s="47"/>
      <c r="W661" s="47"/>
      <c r="X661" s="47"/>
      <c r="Y661" s="47"/>
      <c r="Z661" s="47"/>
      <c r="AA661" s="47"/>
      <c r="AB661" s="47"/>
      <c r="AC661" s="47"/>
      <c r="AD661" s="47"/>
      <c r="AE661" s="47"/>
      <c r="AF661" s="47"/>
      <c r="AG661" s="47"/>
      <c r="AH661" s="47"/>
      <c r="AI661" s="47"/>
      <c r="AJ661" s="47"/>
      <c r="AK661" s="47"/>
      <c r="AL661" s="47"/>
      <c r="AM661" s="47"/>
      <c r="AN661" s="47"/>
      <c r="AO661" s="47"/>
      <c r="AP661" s="47"/>
      <c r="AQ661" s="47"/>
      <c r="AR661" s="47"/>
      <c r="AS661" s="47"/>
      <c r="AT661" s="47"/>
      <c r="AU661" s="47"/>
      <c r="AV661" s="47"/>
      <c r="AW661" s="47"/>
      <c r="AX661" s="47"/>
      <c r="AY661" s="47"/>
      <c r="AZ661" s="47"/>
      <c r="BA661" s="47"/>
    </row>
    <row r="662" spans="3:53"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7"/>
      <c r="R662" s="47"/>
      <c r="S662" s="47"/>
      <c r="T662" s="47"/>
      <c r="U662" s="47"/>
      <c r="V662" s="47"/>
      <c r="W662" s="47"/>
      <c r="X662" s="47"/>
      <c r="Y662" s="47"/>
      <c r="Z662" s="47"/>
      <c r="AA662" s="47"/>
      <c r="AB662" s="47"/>
      <c r="AC662" s="47"/>
      <c r="AD662" s="47"/>
      <c r="AE662" s="47"/>
      <c r="AF662" s="47"/>
      <c r="AG662" s="47"/>
      <c r="AH662" s="47"/>
      <c r="AI662" s="47"/>
      <c r="AJ662" s="47"/>
      <c r="AK662" s="47"/>
      <c r="AL662" s="47"/>
      <c r="AM662" s="47"/>
      <c r="AN662" s="47"/>
      <c r="AO662" s="47"/>
      <c r="AP662" s="47"/>
      <c r="AQ662" s="47"/>
      <c r="AR662" s="47"/>
      <c r="AS662" s="47"/>
      <c r="AT662" s="47"/>
      <c r="AU662" s="47"/>
      <c r="AV662" s="47"/>
      <c r="AW662" s="47"/>
      <c r="AX662" s="47"/>
      <c r="AY662" s="47"/>
      <c r="AZ662" s="47"/>
      <c r="BA662" s="47"/>
    </row>
    <row r="663" spans="3:53"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7"/>
      <c r="R663" s="47"/>
      <c r="S663" s="47"/>
      <c r="T663" s="47"/>
      <c r="U663" s="47"/>
      <c r="V663" s="47"/>
      <c r="W663" s="47"/>
      <c r="X663" s="47"/>
      <c r="Y663" s="47"/>
      <c r="Z663" s="47"/>
      <c r="AA663" s="47"/>
      <c r="AB663" s="47"/>
      <c r="AC663" s="47"/>
      <c r="AD663" s="47"/>
      <c r="AE663" s="47"/>
      <c r="AF663" s="47"/>
      <c r="AG663" s="47"/>
      <c r="AH663" s="47"/>
      <c r="AI663" s="47"/>
      <c r="AJ663" s="47"/>
      <c r="AK663" s="47"/>
      <c r="AL663" s="47"/>
      <c r="AM663" s="47"/>
      <c r="AN663" s="47"/>
      <c r="AO663" s="47"/>
      <c r="AP663" s="47"/>
      <c r="AQ663" s="47"/>
      <c r="AR663" s="47"/>
      <c r="AS663" s="47"/>
      <c r="AT663" s="47"/>
      <c r="AU663" s="47"/>
      <c r="AV663" s="47"/>
      <c r="AW663" s="47"/>
      <c r="AX663" s="47"/>
      <c r="AY663" s="47"/>
      <c r="AZ663" s="47"/>
      <c r="BA663" s="47"/>
    </row>
    <row r="664" spans="3:53"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7"/>
      <c r="R664" s="47"/>
      <c r="S664" s="47"/>
      <c r="T664" s="47"/>
      <c r="U664" s="47"/>
      <c r="V664" s="47"/>
      <c r="W664" s="47"/>
      <c r="X664" s="47"/>
      <c r="Y664" s="47"/>
      <c r="Z664" s="47"/>
      <c r="AA664" s="47"/>
      <c r="AB664" s="47"/>
      <c r="AC664" s="47"/>
      <c r="AD664" s="47"/>
      <c r="AE664" s="47"/>
      <c r="AF664" s="47"/>
      <c r="AG664" s="47"/>
      <c r="AH664" s="47"/>
      <c r="AI664" s="47"/>
      <c r="AJ664" s="47"/>
      <c r="AK664" s="47"/>
      <c r="AL664" s="47"/>
      <c r="AM664" s="47"/>
      <c r="AN664" s="47"/>
      <c r="AO664" s="47"/>
      <c r="AP664" s="47"/>
      <c r="AQ664" s="47"/>
      <c r="AR664" s="47"/>
      <c r="AS664" s="47"/>
      <c r="AT664" s="47"/>
      <c r="AU664" s="47"/>
      <c r="AV664" s="47"/>
      <c r="AW664" s="47"/>
      <c r="AX664" s="47"/>
      <c r="AY664" s="47"/>
      <c r="AZ664" s="47"/>
      <c r="BA664" s="47"/>
    </row>
    <row r="665" spans="3:53"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7"/>
      <c r="R665" s="47"/>
      <c r="S665" s="47"/>
      <c r="T665" s="47"/>
      <c r="U665" s="47"/>
      <c r="V665" s="47"/>
      <c r="W665" s="47"/>
      <c r="X665" s="47"/>
      <c r="Y665" s="47"/>
      <c r="Z665" s="47"/>
      <c r="AA665" s="47"/>
      <c r="AB665" s="47"/>
      <c r="AC665" s="47"/>
      <c r="AD665" s="47"/>
      <c r="AE665" s="47"/>
      <c r="AF665" s="47"/>
      <c r="AG665" s="47"/>
      <c r="AH665" s="47"/>
      <c r="AI665" s="47"/>
      <c r="AJ665" s="47"/>
      <c r="AK665" s="47"/>
      <c r="AL665" s="47"/>
      <c r="AM665" s="47"/>
      <c r="AN665" s="47"/>
      <c r="AO665" s="47"/>
      <c r="AP665" s="47"/>
      <c r="AQ665" s="47"/>
      <c r="AR665" s="47"/>
      <c r="AS665" s="47"/>
      <c r="AT665" s="47"/>
      <c r="AU665" s="47"/>
      <c r="AV665" s="47"/>
      <c r="AW665" s="47"/>
      <c r="AX665" s="47"/>
      <c r="AY665" s="47"/>
      <c r="AZ665" s="47"/>
      <c r="BA665" s="47"/>
    </row>
    <row r="666" spans="3:53"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7"/>
      <c r="R666" s="47"/>
      <c r="S666" s="47"/>
      <c r="T666" s="47"/>
      <c r="U666" s="47"/>
      <c r="V666" s="47"/>
      <c r="W666" s="47"/>
      <c r="X666" s="47"/>
      <c r="Y666" s="47"/>
      <c r="Z666" s="47"/>
      <c r="AA666" s="47"/>
      <c r="AB666" s="47"/>
      <c r="AC666" s="47"/>
      <c r="AD666" s="47"/>
      <c r="AE666" s="47"/>
      <c r="AF666" s="47"/>
      <c r="AG666" s="47"/>
      <c r="AH666" s="47"/>
      <c r="AI666" s="47"/>
      <c r="AJ666" s="47"/>
      <c r="AK666" s="47"/>
      <c r="AL666" s="47"/>
      <c r="AM666" s="47"/>
      <c r="AN666" s="47"/>
      <c r="AO666" s="47"/>
      <c r="AP666" s="47"/>
      <c r="AQ666" s="47"/>
      <c r="AR666" s="47"/>
      <c r="AS666" s="47"/>
      <c r="AT666" s="47"/>
      <c r="AU666" s="47"/>
      <c r="AV666" s="47"/>
      <c r="AW666" s="47"/>
      <c r="AX666" s="47"/>
      <c r="AY666" s="47"/>
      <c r="AZ666" s="47"/>
      <c r="BA666" s="47"/>
    </row>
    <row r="667" spans="3:53"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7"/>
      <c r="R667" s="47"/>
      <c r="S667" s="47"/>
      <c r="T667" s="47"/>
      <c r="U667" s="47"/>
      <c r="V667" s="47"/>
      <c r="W667" s="47"/>
      <c r="X667" s="47"/>
      <c r="Y667" s="47"/>
      <c r="Z667" s="47"/>
      <c r="AA667" s="47"/>
      <c r="AB667" s="47"/>
      <c r="AC667" s="47"/>
      <c r="AD667" s="47"/>
      <c r="AE667" s="47"/>
      <c r="AF667" s="47"/>
      <c r="AG667" s="47"/>
      <c r="AH667" s="47"/>
      <c r="AI667" s="47"/>
      <c r="AJ667" s="47"/>
      <c r="AK667" s="47"/>
      <c r="AL667" s="47"/>
      <c r="AM667" s="47"/>
      <c r="AN667" s="47"/>
      <c r="AO667" s="47"/>
      <c r="AP667" s="47"/>
      <c r="AQ667" s="47"/>
      <c r="AR667" s="47"/>
      <c r="AS667" s="47"/>
      <c r="AT667" s="47"/>
      <c r="AU667" s="47"/>
      <c r="AV667" s="47"/>
      <c r="AW667" s="47"/>
      <c r="AX667" s="47"/>
      <c r="AY667" s="47"/>
      <c r="AZ667" s="47"/>
      <c r="BA667" s="47"/>
    </row>
    <row r="668" spans="3:53"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7"/>
      <c r="R668" s="47"/>
      <c r="S668" s="47"/>
      <c r="T668" s="47"/>
      <c r="U668" s="47"/>
      <c r="V668" s="47"/>
      <c r="W668" s="47"/>
      <c r="X668" s="47"/>
      <c r="Y668" s="47"/>
      <c r="Z668" s="47"/>
      <c r="AA668" s="47"/>
      <c r="AB668" s="47"/>
      <c r="AC668" s="47"/>
      <c r="AD668" s="47"/>
      <c r="AE668" s="47"/>
      <c r="AF668" s="47"/>
      <c r="AG668" s="47"/>
      <c r="AH668" s="47"/>
      <c r="AI668" s="47"/>
      <c r="AJ668" s="47"/>
      <c r="AK668" s="47"/>
      <c r="AL668" s="47"/>
      <c r="AM668" s="47"/>
      <c r="AN668" s="47"/>
      <c r="AO668" s="47"/>
      <c r="AP668" s="47"/>
      <c r="AQ668" s="47"/>
      <c r="AR668" s="47"/>
      <c r="AS668" s="47"/>
      <c r="AT668" s="47"/>
      <c r="AU668" s="47"/>
      <c r="AV668" s="47"/>
      <c r="AW668" s="47"/>
      <c r="AX668" s="47"/>
      <c r="AY668" s="47"/>
      <c r="AZ668" s="47"/>
      <c r="BA668" s="47"/>
    </row>
    <row r="669" spans="3:53"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7"/>
      <c r="R669" s="47"/>
      <c r="S669" s="47"/>
      <c r="T669" s="47"/>
      <c r="U669" s="47"/>
      <c r="V669" s="47"/>
      <c r="W669" s="47"/>
      <c r="X669" s="47"/>
      <c r="Y669" s="47"/>
      <c r="Z669" s="47"/>
      <c r="AA669" s="47"/>
      <c r="AB669" s="47"/>
      <c r="AC669" s="47"/>
      <c r="AD669" s="47"/>
      <c r="AE669" s="47"/>
      <c r="AF669" s="47"/>
      <c r="AG669" s="47"/>
      <c r="AH669" s="47"/>
      <c r="AI669" s="47"/>
      <c r="AJ669" s="47"/>
      <c r="AK669" s="47"/>
      <c r="AL669" s="47"/>
      <c r="AM669" s="47"/>
      <c r="AN669" s="47"/>
      <c r="AO669" s="47"/>
      <c r="AP669" s="47"/>
      <c r="AQ669" s="47"/>
      <c r="AR669" s="47"/>
      <c r="AS669" s="47"/>
      <c r="AT669" s="47"/>
      <c r="AU669" s="47"/>
      <c r="AV669" s="47"/>
      <c r="AW669" s="47"/>
      <c r="AX669" s="47"/>
      <c r="AY669" s="47"/>
      <c r="AZ669" s="47"/>
      <c r="BA669" s="47"/>
    </row>
    <row r="670" spans="3:53"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7"/>
      <c r="R670" s="47"/>
      <c r="S670" s="47"/>
      <c r="T670" s="47"/>
      <c r="U670" s="47"/>
      <c r="V670" s="47"/>
      <c r="W670" s="47"/>
      <c r="X670" s="47"/>
      <c r="Y670" s="47"/>
      <c r="Z670" s="47"/>
      <c r="AA670" s="47"/>
      <c r="AB670" s="47"/>
      <c r="AC670" s="47"/>
      <c r="AD670" s="47"/>
      <c r="AE670" s="47"/>
      <c r="AF670" s="47"/>
      <c r="AG670" s="47"/>
      <c r="AH670" s="47"/>
      <c r="AI670" s="47"/>
      <c r="AJ670" s="47"/>
      <c r="AK670" s="47"/>
      <c r="AL670" s="47"/>
      <c r="AM670" s="47"/>
      <c r="AN670" s="47"/>
      <c r="AO670" s="47"/>
      <c r="AP670" s="47"/>
      <c r="AQ670" s="47"/>
      <c r="AR670" s="47"/>
      <c r="AS670" s="47"/>
      <c r="AT670" s="47"/>
      <c r="AU670" s="47"/>
      <c r="AV670" s="47"/>
      <c r="AW670" s="47"/>
      <c r="AX670" s="47"/>
      <c r="AY670" s="47"/>
      <c r="AZ670" s="47"/>
      <c r="BA670" s="47"/>
    </row>
    <row r="671" spans="3:53"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7"/>
      <c r="R671" s="47"/>
      <c r="S671" s="47"/>
      <c r="T671" s="47"/>
      <c r="U671" s="47"/>
      <c r="V671" s="47"/>
      <c r="W671" s="47"/>
      <c r="X671" s="47"/>
      <c r="Y671" s="47"/>
      <c r="Z671" s="47"/>
      <c r="AA671" s="47"/>
      <c r="AB671" s="47"/>
      <c r="AC671" s="47"/>
      <c r="AD671" s="47"/>
      <c r="AE671" s="47"/>
      <c r="AF671" s="47"/>
      <c r="AG671" s="47"/>
      <c r="AH671" s="47"/>
      <c r="AI671" s="47"/>
      <c r="AJ671" s="47"/>
      <c r="AK671" s="47"/>
      <c r="AL671" s="47"/>
      <c r="AM671" s="47"/>
      <c r="AN671" s="47"/>
      <c r="AO671" s="47"/>
      <c r="AP671" s="47"/>
      <c r="AQ671" s="47"/>
      <c r="AR671" s="47"/>
      <c r="AS671" s="47"/>
      <c r="AT671" s="47"/>
      <c r="AU671" s="47"/>
      <c r="AV671" s="47"/>
      <c r="AW671" s="47"/>
      <c r="AX671" s="47"/>
      <c r="AY671" s="47"/>
      <c r="AZ671" s="47"/>
      <c r="BA671" s="47"/>
    </row>
    <row r="672" spans="3:53"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7"/>
      <c r="R672" s="47"/>
      <c r="S672" s="47"/>
      <c r="T672" s="47"/>
      <c r="U672" s="47"/>
      <c r="V672" s="47"/>
      <c r="W672" s="47"/>
      <c r="X672" s="47"/>
      <c r="Y672" s="47"/>
      <c r="Z672" s="47"/>
      <c r="AA672" s="47"/>
      <c r="AB672" s="47"/>
      <c r="AC672" s="47"/>
      <c r="AD672" s="47"/>
      <c r="AE672" s="47"/>
      <c r="AF672" s="47"/>
      <c r="AG672" s="47"/>
      <c r="AH672" s="47"/>
      <c r="AI672" s="47"/>
      <c r="AJ672" s="47"/>
      <c r="AK672" s="47"/>
      <c r="AL672" s="47"/>
      <c r="AM672" s="47"/>
      <c r="AN672" s="47"/>
      <c r="AO672" s="47"/>
      <c r="AP672" s="47"/>
      <c r="AQ672" s="47"/>
      <c r="AR672" s="47"/>
      <c r="AS672" s="47"/>
      <c r="AT672" s="47"/>
      <c r="AU672" s="47"/>
      <c r="AV672" s="47"/>
      <c r="AW672" s="47"/>
      <c r="AX672" s="47"/>
      <c r="AY672" s="47"/>
      <c r="AZ672" s="47"/>
      <c r="BA672" s="47"/>
    </row>
    <row r="673" spans="3:53"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7"/>
      <c r="R673" s="47"/>
      <c r="S673" s="47"/>
      <c r="T673" s="47"/>
      <c r="U673" s="47"/>
      <c r="V673" s="47"/>
      <c r="W673" s="47"/>
      <c r="X673" s="47"/>
      <c r="Y673" s="47"/>
      <c r="Z673" s="47"/>
      <c r="AA673" s="47"/>
      <c r="AB673" s="47"/>
      <c r="AC673" s="47"/>
      <c r="AD673" s="47"/>
      <c r="AE673" s="47"/>
      <c r="AF673" s="47"/>
      <c r="AG673" s="47"/>
      <c r="AH673" s="47"/>
      <c r="AI673" s="47"/>
      <c r="AJ673" s="47"/>
      <c r="AK673" s="47"/>
      <c r="AL673" s="47"/>
      <c r="AM673" s="47"/>
      <c r="AN673" s="47"/>
      <c r="AO673" s="47"/>
      <c r="AP673" s="47"/>
      <c r="AQ673" s="47"/>
      <c r="AR673" s="47"/>
      <c r="AS673" s="47"/>
      <c r="AT673" s="47"/>
      <c r="AU673" s="47"/>
      <c r="AV673" s="47"/>
      <c r="AW673" s="47"/>
      <c r="AX673" s="47"/>
      <c r="AY673" s="47"/>
      <c r="AZ673" s="47"/>
      <c r="BA673" s="47"/>
    </row>
    <row r="674" spans="3:53"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7"/>
      <c r="R674" s="47"/>
      <c r="S674" s="47"/>
      <c r="T674" s="47"/>
      <c r="U674" s="47"/>
      <c r="V674" s="47"/>
      <c r="W674" s="47"/>
      <c r="X674" s="47"/>
      <c r="Y674" s="47"/>
      <c r="Z674" s="47"/>
      <c r="AA674" s="47"/>
      <c r="AB674" s="47"/>
      <c r="AC674" s="47"/>
      <c r="AD674" s="47"/>
      <c r="AE674" s="47"/>
      <c r="AF674" s="47"/>
      <c r="AG674" s="47"/>
      <c r="AH674" s="47"/>
      <c r="AI674" s="47"/>
      <c r="AJ674" s="47"/>
      <c r="AK674" s="47"/>
      <c r="AL674" s="47"/>
      <c r="AM674" s="47"/>
      <c r="AN674" s="47"/>
      <c r="AO674" s="47"/>
      <c r="AP674" s="47"/>
      <c r="AQ674" s="47"/>
      <c r="AR674" s="47"/>
      <c r="AS674" s="47"/>
      <c r="AT674" s="47"/>
      <c r="AU674" s="47"/>
      <c r="AV674" s="47"/>
      <c r="AW674" s="47"/>
      <c r="AX674" s="47"/>
      <c r="AY674" s="47"/>
      <c r="AZ674" s="47"/>
      <c r="BA674" s="47"/>
    </row>
    <row r="675" spans="3:53"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7"/>
      <c r="R675" s="47"/>
      <c r="S675" s="47"/>
      <c r="T675" s="47"/>
      <c r="U675" s="47"/>
      <c r="V675" s="47"/>
      <c r="W675" s="47"/>
      <c r="X675" s="47"/>
      <c r="Y675" s="47"/>
      <c r="Z675" s="47"/>
      <c r="AA675" s="47"/>
      <c r="AB675" s="47"/>
      <c r="AC675" s="47"/>
      <c r="AD675" s="47"/>
      <c r="AE675" s="47"/>
      <c r="AF675" s="47"/>
      <c r="AG675" s="47"/>
      <c r="AH675" s="47"/>
      <c r="AI675" s="47"/>
      <c r="AJ675" s="47"/>
      <c r="AK675" s="47"/>
      <c r="AL675" s="47"/>
      <c r="AM675" s="47"/>
      <c r="AN675" s="47"/>
      <c r="AO675" s="47"/>
      <c r="AP675" s="47"/>
      <c r="AQ675" s="47"/>
      <c r="AR675" s="47"/>
      <c r="AS675" s="47"/>
      <c r="AT675" s="47"/>
      <c r="AU675" s="47"/>
      <c r="AV675" s="47"/>
      <c r="AW675" s="47"/>
      <c r="AX675" s="47"/>
      <c r="AY675" s="47"/>
      <c r="AZ675" s="47"/>
      <c r="BA675" s="47"/>
    </row>
    <row r="676" spans="3:53"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7"/>
      <c r="R676" s="47"/>
      <c r="S676" s="47"/>
      <c r="T676" s="47"/>
      <c r="U676" s="47"/>
      <c r="V676" s="47"/>
      <c r="W676" s="47"/>
      <c r="X676" s="47"/>
      <c r="Y676" s="47"/>
      <c r="Z676" s="47"/>
      <c r="AA676" s="47"/>
      <c r="AB676" s="47"/>
      <c r="AC676" s="47"/>
      <c r="AD676" s="47"/>
      <c r="AE676" s="47"/>
      <c r="AF676" s="47"/>
      <c r="AG676" s="47"/>
      <c r="AH676" s="47"/>
      <c r="AI676" s="47"/>
      <c r="AJ676" s="47"/>
      <c r="AK676" s="47"/>
      <c r="AL676" s="47"/>
      <c r="AM676" s="47"/>
      <c r="AN676" s="47"/>
      <c r="AO676" s="47"/>
      <c r="AP676" s="47"/>
      <c r="AQ676" s="47"/>
      <c r="AR676" s="47"/>
      <c r="AS676" s="47"/>
      <c r="AT676" s="47"/>
      <c r="AU676" s="47"/>
      <c r="AV676" s="47"/>
      <c r="AW676" s="47"/>
      <c r="AX676" s="47"/>
      <c r="AY676" s="47"/>
      <c r="AZ676" s="47"/>
      <c r="BA676" s="47"/>
    </row>
    <row r="677" spans="3:53"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7"/>
      <c r="R677" s="47"/>
      <c r="S677" s="47"/>
      <c r="T677" s="47"/>
      <c r="U677" s="47"/>
      <c r="V677" s="47"/>
      <c r="W677" s="47"/>
      <c r="X677" s="47"/>
      <c r="Y677" s="47"/>
      <c r="Z677" s="47"/>
      <c r="AA677" s="47"/>
      <c r="AB677" s="47"/>
      <c r="AC677" s="47"/>
      <c r="AD677" s="47"/>
      <c r="AE677" s="47"/>
      <c r="AF677" s="47"/>
      <c r="AG677" s="47"/>
      <c r="AH677" s="47"/>
      <c r="AI677" s="47"/>
      <c r="AJ677" s="47"/>
      <c r="AK677" s="47"/>
      <c r="AL677" s="47"/>
      <c r="AM677" s="47"/>
      <c r="AN677" s="47"/>
      <c r="AO677" s="47"/>
      <c r="AP677" s="47"/>
      <c r="AQ677" s="47"/>
      <c r="AR677" s="47"/>
      <c r="AS677" s="47"/>
      <c r="AT677" s="47"/>
      <c r="AU677" s="47"/>
      <c r="AV677" s="47"/>
      <c r="AW677" s="47"/>
      <c r="AX677" s="47"/>
      <c r="AY677" s="47"/>
      <c r="AZ677" s="47"/>
      <c r="BA677" s="47"/>
    </row>
  </sheetData>
  <mergeCells count="4">
    <mergeCell ref="A1:Q1"/>
    <mergeCell ref="A2:Q2"/>
    <mergeCell ref="A3:Q3"/>
    <mergeCell ref="A4:Q4"/>
  </mergeCells>
  <phoneticPr fontId="13" type="noConversion"/>
  <printOptions horizontalCentered="1"/>
  <pageMargins left="0.25" right="0.25" top="1.25" bottom="0.75" header="0.3" footer="0.3"/>
  <pageSetup scale="81" orientation="landscape" r:id="rId1"/>
  <headerFooter scaleWithDoc="0" alignWithMargins="0">
    <oddFooter>&amp;R&amp;"Times New Roman,Regular"&amp;12Exh. MDM-3
Page 2 of 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106"/>
  <sheetViews>
    <sheetView zoomScaleNormal="100" workbookViewId="0">
      <selection activeCell="C18" sqref="C18"/>
    </sheetView>
  </sheetViews>
  <sheetFormatPr defaultColWidth="11.5" defaultRowHeight="12.75"/>
  <cols>
    <col min="1" max="1" width="8.33203125" style="5" customWidth="1"/>
    <col min="2" max="2" width="46" style="5" customWidth="1"/>
    <col min="3" max="3" width="17.1640625" style="5" customWidth="1"/>
    <col min="4" max="4" width="11.5" style="5" customWidth="1"/>
    <col min="5" max="5" width="14.33203125" style="5" customWidth="1"/>
    <col min="6" max="6" width="13.5" style="5" customWidth="1"/>
    <col min="7" max="7" width="5.5" style="5" bestFit="1" customWidth="1"/>
    <col min="8" max="8" width="11.83203125" style="5" customWidth="1"/>
    <col min="9" max="253" width="8.83203125" style="5" customWidth="1"/>
    <col min="254" max="16384" width="11.5" style="5"/>
  </cols>
  <sheetData>
    <row r="1" spans="1:8">
      <c r="A1" s="3" t="s">
        <v>1</v>
      </c>
      <c r="B1" s="4"/>
      <c r="C1" s="4"/>
      <c r="D1" s="4"/>
      <c r="E1" s="4"/>
      <c r="F1" s="4"/>
      <c r="G1" s="4"/>
      <c r="H1" s="4"/>
    </row>
    <row r="2" spans="1:8" ht="13.15" customHeight="1">
      <c r="A2" s="407" t="s">
        <v>195</v>
      </c>
      <c r="B2" s="407"/>
      <c r="C2" s="407"/>
      <c r="D2" s="407"/>
      <c r="E2" s="407"/>
      <c r="F2" s="407"/>
      <c r="G2" s="407"/>
    </row>
    <row r="3" spans="1:8">
      <c r="A3" s="408" t="s">
        <v>34</v>
      </c>
      <c r="B3" s="408"/>
      <c r="C3" s="408"/>
      <c r="D3" s="408"/>
      <c r="E3" s="408"/>
      <c r="F3" s="408"/>
      <c r="G3" s="408"/>
    </row>
    <row r="4" spans="1:8" ht="15.75" customHeight="1">
      <c r="A4" s="409" t="str">
        <f>'Pg 1 Summary'!A5</f>
        <v>For The 12 Months Ending December 31, 2018</v>
      </c>
      <c r="B4" s="409"/>
      <c r="C4" s="409"/>
      <c r="D4" s="409"/>
      <c r="E4" s="409"/>
      <c r="F4" s="409"/>
      <c r="G4" s="409"/>
    </row>
    <row r="5" spans="1:8" ht="12.75" customHeight="1">
      <c r="B5" s="6"/>
      <c r="C5" s="6"/>
      <c r="D5" s="7"/>
      <c r="E5" s="7"/>
      <c r="F5" s="7"/>
    </row>
    <row r="6" spans="1:8">
      <c r="A6" s="3" t="s">
        <v>1</v>
      </c>
    </row>
    <row r="7" spans="1:8">
      <c r="A7" s="3" t="s">
        <v>1</v>
      </c>
      <c r="C7" s="5" t="s">
        <v>1</v>
      </c>
    </row>
    <row r="8" spans="1:8">
      <c r="A8" s="3">
        <v>1</v>
      </c>
      <c r="B8" s="190" t="s">
        <v>3</v>
      </c>
      <c r="C8" s="190" t="s">
        <v>24</v>
      </c>
      <c r="D8" s="190" t="s">
        <v>49</v>
      </c>
      <c r="E8" s="190" t="s">
        <v>61</v>
      </c>
      <c r="F8" s="190" t="s">
        <v>62</v>
      </c>
    </row>
    <row r="9" spans="1:8">
      <c r="A9" s="3">
        <f t="shared" ref="A9:A28" si="0">A8+1</f>
        <v>2</v>
      </c>
      <c r="B9" s="191"/>
      <c r="C9" s="190"/>
      <c r="D9" s="191"/>
      <c r="E9" s="191"/>
      <c r="F9" s="191"/>
    </row>
    <row r="10" spans="1:8">
      <c r="A10" s="3">
        <f t="shared" si="0"/>
        <v>3</v>
      </c>
      <c r="B10" s="191"/>
      <c r="C10" s="190" t="s">
        <v>50</v>
      </c>
      <c r="D10" s="190" t="s">
        <v>35</v>
      </c>
      <c r="E10" s="190" t="s">
        <v>16</v>
      </c>
      <c r="F10" s="190" t="s">
        <v>9</v>
      </c>
    </row>
    <row r="11" spans="1:8">
      <c r="A11" s="3">
        <f t="shared" si="0"/>
        <v>4</v>
      </c>
      <c r="B11" s="192" t="s">
        <v>7</v>
      </c>
      <c r="C11" s="192" t="s">
        <v>75</v>
      </c>
      <c r="D11" s="192" t="s">
        <v>17</v>
      </c>
      <c r="E11" s="192" t="s">
        <v>18</v>
      </c>
      <c r="F11" s="192" t="s">
        <v>17</v>
      </c>
    </row>
    <row r="12" spans="1:8">
      <c r="A12" s="3">
        <f t="shared" si="0"/>
        <v>5</v>
      </c>
      <c r="B12" s="8"/>
      <c r="C12" s="193"/>
      <c r="D12" s="193"/>
      <c r="E12" s="3"/>
      <c r="F12" s="193"/>
    </row>
    <row r="13" spans="1:8">
      <c r="A13" s="3">
        <f t="shared" si="0"/>
        <v>6</v>
      </c>
      <c r="B13" s="8" t="s">
        <v>33</v>
      </c>
      <c r="C13" s="194">
        <f>'Pg 4 STD OS &amp; Comm Fees'!C11</f>
        <v>208103347.94999999</v>
      </c>
      <c r="D13" s="195">
        <f>IF(E13=0,"NA",(E13/C13))</f>
        <v>2.4064666038930014E-2</v>
      </c>
      <c r="E13" s="194">
        <f>'Pg 4 STD OS &amp; Comm Fees'!D11</f>
        <v>5007937.57</v>
      </c>
      <c r="F13" s="9"/>
      <c r="G13" s="10"/>
    </row>
    <row r="14" spans="1:8">
      <c r="A14" s="3">
        <f t="shared" si="0"/>
        <v>7</v>
      </c>
      <c r="B14" s="5" t="s">
        <v>103</v>
      </c>
      <c r="C14" s="196">
        <f>'Pg 4 STD OS &amp; Comm Fees'!C12</f>
        <v>0</v>
      </c>
      <c r="D14" s="195" t="str">
        <f>IF(E14=0,"NA",(E14/C14))</f>
        <v>NA</v>
      </c>
      <c r="E14" s="194">
        <f>'Pg 4 STD OS &amp; Comm Fees'!D12</f>
        <v>0</v>
      </c>
      <c r="F14" s="9"/>
      <c r="G14" s="10"/>
    </row>
    <row r="15" spans="1:8">
      <c r="A15" s="3">
        <v>10</v>
      </c>
      <c r="B15" s="5" t="s">
        <v>162</v>
      </c>
      <c r="C15" s="196">
        <f>'Pg 4 STD OS &amp; Comm Fees'!C13</f>
        <v>0</v>
      </c>
      <c r="D15" s="195" t="str">
        <f>IF(E15=0,"NA",(E15/C15))</f>
        <v>NA</v>
      </c>
      <c r="E15" s="194">
        <f>'Pg 4 STD OS &amp; Comm Fees'!D13</f>
        <v>0</v>
      </c>
      <c r="F15" s="9"/>
      <c r="G15" s="10"/>
    </row>
    <row r="16" spans="1:8">
      <c r="A16" s="3">
        <f>A15+1</f>
        <v>11</v>
      </c>
      <c r="B16" s="5" t="s">
        <v>186</v>
      </c>
      <c r="C16" s="196">
        <f>'Pg 4 STD OS &amp; Comm Fees'!C14</f>
        <v>767123.29</v>
      </c>
      <c r="D16" s="195">
        <f>IF(E16=0,"NA",(E16/C16))</f>
        <v>3.0435733479034378E-2</v>
      </c>
      <c r="E16" s="194">
        <f>'Pg 4 STD OS &amp; Comm Fees'!D14</f>
        <v>23347.96</v>
      </c>
    </row>
    <row r="17" spans="1:7">
      <c r="A17" s="3">
        <f t="shared" si="0"/>
        <v>12</v>
      </c>
      <c r="B17" s="197" t="s">
        <v>140</v>
      </c>
      <c r="C17" s="198">
        <f>SUM(C13:C16)</f>
        <v>208870471.23999998</v>
      </c>
      <c r="D17" s="199">
        <f>IF(E17=0,"NA",(E17/C17))</f>
        <v>2.4088065201992411E-2</v>
      </c>
      <c r="E17" s="200">
        <f>SUM(E13:E16)</f>
        <v>5031285.53</v>
      </c>
      <c r="F17" s="9">
        <f>E17/C23</f>
        <v>2.4088065201992411E-2</v>
      </c>
      <c r="G17" s="10"/>
    </row>
    <row r="18" spans="1:7">
      <c r="A18" s="3">
        <f t="shared" si="0"/>
        <v>13</v>
      </c>
      <c r="C18" s="201"/>
      <c r="D18" s="202"/>
      <c r="E18" s="203"/>
      <c r="G18" s="10"/>
    </row>
    <row r="19" spans="1:7">
      <c r="A19" s="3">
        <f t="shared" si="0"/>
        <v>14</v>
      </c>
      <c r="B19" s="8" t="s">
        <v>51</v>
      </c>
      <c r="C19" s="204"/>
      <c r="D19" s="205"/>
      <c r="E19" s="206">
        <f>'Pg 4 STD OS &amp; Comm Fees'!F16</f>
        <v>1449002.2664944446</v>
      </c>
      <c r="F19" s="207">
        <f>E19/C23</f>
        <v>6.9373246390079081E-3</v>
      </c>
      <c r="G19" s="208" t="s">
        <v>74</v>
      </c>
    </row>
    <row r="20" spans="1:7">
      <c r="A20" s="3">
        <f t="shared" si="0"/>
        <v>15</v>
      </c>
      <c r="B20" s="8"/>
      <c r="C20" s="209"/>
      <c r="D20" s="210"/>
      <c r="E20" s="211"/>
      <c r="F20" s="9"/>
      <c r="G20" s="10"/>
    </row>
    <row r="21" spans="1:7">
      <c r="A21" s="3">
        <f t="shared" si="0"/>
        <v>16</v>
      </c>
      <c r="B21" s="8" t="s">
        <v>52</v>
      </c>
      <c r="C21" s="209"/>
      <c r="D21" s="210"/>
      <c r="E21" s="206">
        <f>-'Pg 5 STD Amort'!I27</f>
        <v>783628.46</v>
      </c>
      <c r="F21" s="207">
        <f>E21/C23</f>
        <v>3.7517436301447394E-3</v>
      </c>
      <c r="G21" s="208" t="s">
        <v>86</v>
      </c>
    </row>
    <row r="22" spans="1:7" ht="13.5" thickBot="1">
      <c r="A22" s="3">
        <f t="shared" si="0"/>
        <v>17</v>
      </c>
      <c r="C22" s="203"/>
      <c r="D22" s="194"/>
      <c r="E22" s="212"/>
    </row>
    <row r="23" spans="1:7" ht="13.5" thickBot="1">
      <c r="A23" s="3">
        <f t="shared" si="0"/>
        <v>18</v>
      </c>
      <c r="B23" s="213" t="s">
        <v>36</v>
      </c>
      <c r="C23" s="214">
        <f>C17</f>
        <v>208870471.23999998</v>
      </c>
      <c r="D23" s="215"/>
      <c r="E23" s="214">
        <f>SUM(E17:E22)</f>
        <v>7263916.2564944448</v>
      </c>
      <c r="F23" s="218">
        <f>E23/C23</f>
        <v>3.4777133471145062E-2</v>
      </c>
      <c r="G23" s="10"/>
    </row>
    <row r="24" spans="1:7">
      <c r="A24" s="3">
        <f t="shared" si="0"/>
        <v>19</v>
      </c>
      <c r="G24" s="10"/>
    </row>
    <row r="25" spans="1:7">
      <c r="A25" s="3">
        <f t="shared" si="0"/>
        <v>20</v>
      </c>
      <c r="E25" s="10"/>
      <c r="F25" s="9"/>
      <c r="G25" s="10"/>
    </row>
    <row r="26" spans="1:7">
      <c r="A26" s="3">
        <f t="shared" si="0"/>
        <v>21</v>
      </c>
      <c r="B26" s="216" t="s">
        <v>192</v>
      </c>
      <c r="C26" s="217"/>
      <c r="D26" s="217"/>
      <c r="E26" s="217"/>
      <c r="F26" s="8"/>
      <c r="G26" s="10"/>
    </row>
    <row r="27" spans="1:7">
      <c r="A27" s="3">
        <f t="shared" si="0"/>
        <v>22</v>
      </c>
      <c r="B27" s="216" t="s">
        <v>193</v>
      </c>
      <c r="C27" s="217"/>
      <c r="D27" s="217"/>
      <c r="E27" s="217"/>
      <c r="F27" s="8"/>
      <c r="G27" s="10"/>
    </row>
    <row r="28" spans="1:7">
      <c r="A28" s="3">
        <f t="shared" si="0"/>
        <v>23</v>
      </c>
      <c r="B28" s="216" t="s">
        <v>194</v>
      </c>
      <c r="C28" s="8"/>
      <c r="D28" s="8"/>
      <c r="E28" s="8"/>
      <c r="F28" s="8"/>
      <c r="G28" s="10"/>
    </row>
    <row r="29" spans="1:7">
      <c r="A29" s="3"/>
      <c r="B29" s="216"/>
    </row>
    <row r="30" spans="1:7">
      <c r="A30" s="3"/>
      <c r="B30" s="8"/>
    </row>
    <row r="31" spans="1:7">
      <c r="A31" s="3"/>
      <c r="B31" s="8"/>
    </row>
    <row r="32" spans="1:7">
      <c r="A32" s="3" t="s">
        <v>1</v>
      </c>
    </row>
    <row r="33" spans="1:7" ht="12.75" customHeight="1">
      <c r="A33" s="11"/>
    </row>
    <row r="34" spans="1:7">
      <c r="A34" s="3" t="s">
        <v>1</v>
      </c>
      <c r="E34" s="10"/>
      <c r="F34" s="9"/>
      <c r="G34" s="10"/>
    </row>
    <row r="35" spans="1:7">
      <c r="A35" s="3" t="s">
        <v>1</v>
      </c>
      <c r="E35" s="10"/>
      <c r="F35" s="9"/>
      <c r="G35" s="10"/>
    </row>
    <row r="36" spans="1:7">
      <c r="E36" s="10"/>
      <c r="F36" s="9"/>
      <c r="G36" s="10"/>
    </row>
    <row r="40" spans="1:7">
      <c r="D40" s="12"/>
      <c r="E40" s="10"/>
      <c r="F40" s="9"/>
      <c r="G40" s="10"/>
    </row>
    <row r="41" spans="1:7">
      <c r="D41" s="12"/>
      <c r="E41" s="10"/>
      <c r="F41" s="9"/>
      <c r="G41" s="10"/>
    </row>
    <row r="42" spans="1:7">
      <c r="D42" s="12"/>
      <c r="E42" s="10"/>
      <c r="F42" s="9"/>
      <c r="G42" s="10"/>
    </row>
    <row r="43" spans="1:7">
      <c r="D43" s="12"/>
      <c r="E43" s="10"/>
      <c r="F43" s="9"/>
      <c r="G43" s="10"/>
    </row>
    <row r="44" spans="1:7">
      <c r="E44" s="10"/>
    </row>
    <row r="45" spans="1:7">
      <c r="E45" s="10"/>
      <c r="G45" s="10"/>
    </row>
    <row r="54" spans="2:2">
      <c r="B54" s="12"/>
    </row>
    <row r="55" spans="2:2">
      <c r="B55" s="8"/>
    </row>
    <row r="72" spans="6:6">
      <c r="F72" s="9"/>
    </row>
    <row r="83" spans="4:4">
      <c r="D83" s="12"/>
    </row>
    <row r="85" spans="4:4">
      <c r="D85" s="12"/>
    </row>
    <row r="88" spans="4:4">
      <c r="D88" s="12"/>
    </row>
    <row r="89" spans="4:4">
      <c r="D89" s="12"/>
    </row>
    <row r="94" spans="4:4">
      <c r="D94" s="12"/>
    </row>
    <row r="95" spans="4:4">
      <c r="D95" s="12"/>
    </row>
    <row r="102" spans="3:3">
      <c r="C102" s="13"/>
    </row>
    <row r="103" spans="3:3">
      <c r="C103" s="14"/>
    </row>
    <row r="105" spans="3:3">
      <c r="C105" s="13"/>
    </row>
    <row r="106" spans="3:3">
      <c r="C106" s="9"/>
    </row>
  </sheetData>
  <mergeCells count="3">
    <mergeCell ref="A2:G2"/>
    <mergeCell ref="A3:G3"/>
    <mergeCell ref="A4:G4"/>
  </mergeCells>
  <phoneticPr fontId="13" type="noConversion"/>
  <printOptions horizontalCentered="1"/>
  <pageMargins left="0.25" right="0.25" top="1.25" bottom="0.75" header="0.3" footer="0.3"/>
  <pageSetup orientation="landscape" r:id="rId1"/>
  <headerFooter scaleWithDoc="0" alignWithMargins="0">
    <oddFooter>&amp;R&amp;"Times New Roman,Regular"&amp;12Exh. MDM-3
Page 3 of 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S36"/>
  <sheetViews>
    <sheetView zoomScaleNormal="100" workbookViewId="0">
      <selection activeCell="H36" sqref="H36"/>
    </sheetView>
  </sheetViews>
  <sheetFormatPr defaultColWidth="9.1640625" defaultRowHeight="11.25"/>
  <cols>
    <col min="1" max="1" width="5.6640625" style="103" bestFit="1" customWidth="1"/>
    <col min="2" max="2" width="24.6640625" style="103" customWidth="1"/>
    <col min="3" max="3" width="14.1640625" style="103" bestFit="1" customWidth="1"/>
    <col min="4" max="4" width="12" style="103" bestFit="1" customWidth="1"/>
    <col min="5" max="5" width="10" style="103" bestFit="1" customWidth="1"/>
    <col min="6" max="6" width="17.1640625" style="103" customWidth="1"/>
    <col min="7" max="7" width="10.33203125" style="103" bestFit="1" customWidth="1"/>
    <col min="8" max="8" width="15.1640625" style="103" bestFit="1" customWidth="1"/>
    <col min="9" max="9" width="7.5" style="103" bestFit="1" customWidth="1"/>
    <col min="10" max="10" width="10.33203125" style="103" bestFit="1" customWidth="1"/>
    <col min="11" max="11" width="5.83203125" style="103" customWidth="1"/>
    <col min="12" max="12" width="8.5" style="103" customWidth="1"/>
    <col min="13" max="13" width="10" style="103" customWidth="1"/>
    <col min="14" max="14" width="11.1640625" style="103" customWidth="1"/>
    <col min="15" max="15" width="11.5" style="103" customWidth="1"/>
    <col min="16" max="16384" width="9.1640625" style="103"/>
  </cols>
  <sheetData>
    <row r="1" spans="1:15" ht="12">
      <c r="A1" s="414" t="s">
        <v>43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219"/>
      <c r="M1" s="219"/>
      <c r="N1" s="219"/>
      <c r="O1" s="219"/>
    </row>
    <row r="2" spans="1:15" ht="12">
      <c r="A2" s="414" t="s">
        <v>44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219"/>
      <c r="N2" s="219"/>
      <c r="O2" s="219"/>
    </row>
    <row r="3" spans="1:15" ht="12" customHeight="1">
      <c r="A3" s="415" t="str">
        <f>'Pg 1 Summary'!A5</f>
        <v>For The 12 Months Ending December 31, 2018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219"/>
      <c r="N3" s="219"/>
      <c r="O3" s="219"/>
    </row>
    <row r="4" spans="1:15" ht="12">
      <c r="A4" s="219"/>
      <c r="B4" s="220"/>
      <c r="C4" s="221"/>
      <c r="D4" s="219"/>
      <c r="E4" s="219"/>
      <c r="F4" s="219"/>
      <c r="G4" s="219"/>
      <c r="H4" s="219"/>
      <c r="I4" s="219"/>
      <c r="J4" s="219"/>
      <c r="K4" s="219"/>
      <c r="L4" s="219"/>
      <c r="N4" s="219"/>
      <c r="O4" s="219"/>
    </row>
    <row r="5" spans="1:15" ht="13.5" thickBot="1">
      <c r="A5" s="222">
        <v>1</v>
      </c>
      <c r="B5" s="223" t="s">
        <v>3</v>
      </c>
      <c r="C5" s="223" t="s">
        <v>24</v>
      </c>
      <c r="D5" s="223" t="s">
        <v>49</v>
      </c>
      <c r="E5" s="223" t="s">
        <v>61</v>
      </c>
      <c r="F5" s="223" t="s">
        <v>62</v>
      </c>
      <c r="G5" s="223" t="s">
        <v>63</v>
      </c>
      <c r="H5" s="223" t="s">
        <v>64</v>
      </c>
      <c r="I5" s="223" t="s">
        <v>65</v>
      </c>
      <c r="J5" s="223" t="s">
        <v>66</v>
      </c>
      <c r="K5" s="190"/>
      <c r="L5" s="190"/>
      <c r="N5" s="219"/>
      <c r="O5" s="219"/>
    </row>
    <row r="6" spans="1:15" ht="12">
      <c r="A6" s="222">
        <f>+A5+1</f>
        <v>2</v>
      </c>
      <c r="B6" s="224" t="s">
        <v>109</v>
      </c>
      <c r="C6" s="225"/>
      <c r="D6" s="225"/>
      <c r="E6" s="225"/>
      <c r="F6" s="225"/>
      <c r="G6" s="225"/>
      <c r="H6" s="226"/>
      <c r="I6" s="226"/>
      <c r="J6" s="226"/>
      <c r="K6" s="227"/>
      <c r="M6" s="219"/>
      <c r="N6" s="219"/>
      <c r="O6" s="219"/>
    </row>
    <row r="7" spans="1:15" ht="12">
      <c r="A7" s="222">
        <f>+A6+1</f>
        <v>3</v>
      </c>
      <c r="B7" s="228"/>
      <c r="C7" s="229"/>
      <c r="D7" s="229"/>
      <c r="E7" s="229"/>
      <c r="F7" s="229" t="s">
        <v>1</v>
      </c>
      <c r="G7" s="57" t="s">
        <v>1</v>
      </c>
      <c r="H7" s="57"/>
      <c r="I7" s="57"/>
      <c r="J7" s="57"/>
      <c r="K7" s="230" t="s">
        <v>1</v>
      </c>
      <c r="L7" s="219"/>
      <c r="M7" s="231"/>
      <c r="N7" s="219"/>
      <c r="O7" s="219"/>
    </row>
    <row r="8" spans="1:15" ht="12">
      <c r="A8" s="222">
        <f>A7+1</f>
        <v>4</v>
      </c>
      <c r="B8" s="228"/>
      <c r="C8" s="232" t="s">
        <v>47</v>
      </c>
      <c r="D8" s="232" t="s">
        <v>102</v>
      </c>
      <c r="E8" s="232" t="s">
        <v>47</v>
      </c>
      <c r="F8" s="232" t="s">
        <v>119</v>
      </c>
      <c r="G8" s="57"/>
      <c r="H8" s="57"/>
      <c r="I8" s="57"/>
      <c r="J8" s="57"/>
      <c r="K8" s="230"/>
      <c r="L8" s="233"/>
      <c r="M8" s="219"/>
      <c r="N8" s="219"/>
      <c r="O8" s="219"/>
    </row>
    <row r="9" spans="1:15" ht="12">
      <c r="A9" s="222">
        <f>A8+1</f>
        <v>5</v>
      </c>
      <c r="B9" s="228"/>
      <c r="C9" s="234" t="s">
        <v>135</v>
      </c>
      <c r="D9" s="234" t="s">
        <v>35</v>
      </c>
      <c r="E9" s="234" t="s">
        <v>87</v>
      </c>
      <c r="F9" s="234" t="s">
        <v>136</v>
      </c>
      <c r="G9" s="235"/>
      <c r="H9" s="235"/>
      <c r="I9" s="57"/>
      <c r="J9" s="57"/>
      <c r="K9" s="230"/>
      <c r="L9" s="233"/>
      <c r="M9" s="236"/>
      <c r="N9" s="219"/>
      <c r="O9" s="219"/>
    </row>
    <row r="10" spans="1:15" ht="12">
      <c r="A10" s="222">
        <f>A9+1</f>
        <v>6</v>
      </c>
      <c r="B10" s="228"/>
      <c r="C10" s="237"/>
      <c r="D10" s="237"/>
      <c r="E10" s="237"/>
      <c r="F10" s="238"/>
      <c r="G10" s="57"/>
      <c r="H10" s="57"/>
      <c r="I10" s="57"/>
      <c r="J10" s="57"/>
      <c r="K10" s="230"/>
      <c r="L10" s="219"/>
      <c r="M10" s="219"/>
      <c r="O10" s="219"/>
    </row>
    <row r="11" spans="1:15" ht="12">
      <c r="A11" s="222">
        <f t="shared" ref="A11:A36" si="0">A10+1</f>
        <v>7</v>
      </c>
      <c r="B11" s="228" t="s">
        <v>33</v>
      </c>
      <c r="C11" s="239">
        <v>208103347.94999999</v>
      </c>
      <c r="D11" s="239">
        <v>5007937.57</v>
      </c>
      <c r="E11" s="240">
        <f>IF(C11=0,"NA",(D11/C11))</f>
        <v>2.4064666038930014E-2</v>
      </c>
      <c r="F11" s="241">
        <v>0</v>
      </c>
      <c r="G11" s="242"/>
      <c r="I11" s="57"/>
      <c r="J11" s="57"/>
      <c r="K11" s="230"/>
      <c r="L11" s="219"/>
      <c r="M11" s="243"/>
      <c r="O11" s="219"/>
    </row>
    <row r="12" spans="1:15" ht="12">
      <c r="A12" s="222">
        <f t="shared" si="0"/>
        <v>8</v>
      </c>
      <c r="B12" s="228" t="s">
        <v>103</v>
      </c>
      <c r="C12" s="239">
        <v>0</v>
      </c>
      <c r="D12" s="239">
        <v>0</v>
      </c>
      <c r="E12" s="240" t="str">
        <f>IF(C12=0,"NA",(D12/C12))</f>
        <v>NA</v>
      </c>
      <c r="F12" s="241">
        <v>0</v>
      </c>
      <c r="G12" s="242"/>
      <c r="H12" s="244"/>
      <c r="I12" s="57"/>
      <c r="J12" s="57"/>
      <c r="K12" s="230"/>
      <c r="L12" s="219"/>
      <c r="M12" s="243"/>
      <c r="O12" s="219"/>
    </row>
    <row r="13" spans="1:15" ht="12">
      <c r="A13" s="222">
        <v>9</v>
      </c>
      <c r="B13" s="228" t="s">
        <v>162</v>
      </c>
      <c r="C13" s="239">
        <v>0</v>
      </c>
      <c r="D13" s="239">
        <v>0</v>
      </c>
      <c r="E13" s="240" t="str">
        <f>IF(C13=0,"NA",(D13/C13))</f>
        <v>NA</v>
      </c>
      <c r="F13" s="245">
        <f>J26</f>
        <v>0</v>
      </c>
      <c r="G13" s="242"/>
      <c r="H13" s="246"/>
      <c r="I13" s="57"/>
      <c r="J13" s="57"/>
      <c r="K13" s="230"/>
      <c r="L13" s="219"/>
      <c r="M13" s="243"/>
      <c r="O13" s="219"/>
    </row>
    <row r="14" spans="1:15" ht="12">
      <c r="A14" s="222">
        <f>A13+1</f>
        <v>10</v>
      </c>
      <c r="B14" s="228" t="s">
        <v>186</v>
      </c>
      <c r="C14" s="239">
        <v>767123.29</v>
      </c>
      <c r="D14" s="239">
        <v>23347.96</v>
      </c>
      <c r="E14" s="240">
        <f>IF(C14=0,"NA",(D14/C14))</f>
        <v>3.0435733479034378E-2</v>
      </c>
      <c r="F14" s="245">
        <f>J27</f>
        <v>1418083.3333000001</v>
      </c>
      <c r="G14" s="242"/>
      <c r="H14" s="244"/>
      <c r="I14" s="57"/>
      <c r="J14" s="57"/>
      <c r="K14" s="230"/>
      <c r="L14" s="219"/>
      <c r="M14" s="247"/>
      <c r="N14" s="219"/>
      <c r="O14" s="219"/>
    </row>
    <row r="15" spans="1:15" ht="12">
      <c r="A15" s="222">
        <f t="shared" si="0"/>
        <v>11</v>
      </c>
      <c r="B15" s="228" t="s">
        <v>142</v>
      </c>
      <c r="C15" s="239">
        <v>0</v>
      </c>
      <c r="D15" s="239">
        <v>0</v>
      </c>
      <c r="E15" s="240" t="str">
        <f>IF(C15=0,"NA",(D15/C15))</f>
        <v>NA</v>
      </c>
      <c r="F15" s="245">
        <f>J32</f>
        <v>30918.933194444446</v>
      </c>
      <c r="G15" s="57"/>
      <c r="H15" s="57"/>
      <c r="I15" s="57"/>
      <c r="J15" s="57"/>
      <c r="K15" s="230"/>
      <c r="L15" s="219"/>
      <c r="M15" s="219"/>
      <c r="N15" s="219"/>
      <c r="O15" s="219"/>
    </row>
    <row r="16" spans="1:15" ht="12.75" thickBot="1">
      <c r="A16" s="222">
        <f t="shared" si="0"/>
        <v>12</v>
      </c>
      <c r="B16" s="248" t="s">
        <v>146</v>
      </c>
      <c r="C16" s="249">
        <f>SUM(C10:C15)</f>
        <v>208870471.23999998</v>
      </c>
      <c r="D16" s="250">
        <f>SUM(D10:D15)</f>
        <v>5031285.53</v>
      </c>
      <c r="E16" s="251">
        <f>D16/C16</f>
        <v>2.4088065201992411E-2</v>
      </c>
      <c r="F16" s="250">
        <f>SUM(F10:F15)</f>
        <v>1449002.2664944446</v>
      </c>
      <c r="G16" s="57"/>
      <c r="H16" s="57"/>
      <c r="I16" s="57"/>
      <c r="J16" s="57"/>
      <c r="K16" s="230"/>
      <c r="L16" s="219"/>
      <c r="M16" s="219"/>
      <c r="N16" s="219"/>
      <c r="O16" s="219"/>
    </row>
    <row r="17" spans="1:15" ht="12.75" thickTop="1">
      <c r="A17" s="222"/>
      <c r="B17" s="248"/>
      <c r="C17" s="252"/>
      <c r="D17" s="253"/>
      <c r="E17" s="254"/>
      <c r="F17" s="253"/>
      <c r="G17" s="57"/>
      <c r="H17" s="57"/>
      <c r="I17" s="57"/>
      <c r="J17" s="57"/>
      <c r="K17" s="230"/>
      <c r="L17" s="219"/>
      <c r="M17" s="219"/>
      <c r="N17" s="219"/>
      <c r="O17" s="219"/>
    </row>
    <row r="18" spans="1:15" ht="12">
      <c r="A18" s="222"/>
      <c r="B18" s="255" t="s">
        <v>180</v>
      </c>
      <c r="C18" s="256"/>
      <c r="D18" s="257"/>
      <c r="E18" s="229"/>
      <c r="F18" s="258">
        <f>'Pg 1 Summary'!C30</f>
        <v>7860865544</v>
      </c>
      <c r="G18" s="57"/>
      <c r="H18" s="57"/>
      <c r="I18" s="57"/>
      <c r="J18" s="57"/>
      <c r="K18" s="230"/>
      <c r="L18" s="219"/>
      <c r="M18" s="219"/>
      <c r="N18" s="219"/>
      <c r="O18" s="219"/>
    </row>
    <row r="19" spans="1:15" ht="12">
      <c r="A19" s="222"/>
      <c r="B19" s="228"/>
      <c r="C19" s="256"/>
      <c r="D19" s="257"/>
      <c r="E19" s="229"/>
      <c r="F19" s="256"/>
      <c r="G19" s="57"/>
      <c r="H19" s="57"/>
      <c r="I19" s="57"/>
      <c r="J19" s="57"/>
      <c r="K19" s="230"/>
      <c r="L19" s="219"/>
      <c r="M19" s="219"/>
      <c r="N19" s="219"/>
      <c r="O19" s="219"/>
    </row>
    <row r="20" spans="1:15" ht="12">
      <c r="A20" s="222"/>
      <c r="B20" s="255" t="s">
        <v>182</v>
      </c>
      <c r="C20" s="256"/>
      <c r="D20" s="257"/>
      <c r="E20" s="229"/>
      <c r="F20" s="259">
        <f>ROUND(F16/F18,4)</f>
        <v>2.0000000000000001E-4</v>
      </c>
      <c r="G20" s="57"/>
      <c r="H20" s="57"/>
      <c r="I20" s="57"/>
      <c r="J20" s="57"/>
      <c r="K20" s="230"/>
      <c r="L20" s="219"/>
      <c r="M20" s="219"/>
      <c r="N20" s="219"/>
      <c r="O20" s="219"/>
    </row>
    <row r="21" spans="1:15" ht="12.75" thickBot="1">
      <c r="A21" s="222">
        <f>A16+1</f>
        <v>13</v>
      </c>
      <c r="B21" s="260"/>
      <c r="C21" s="261"/>
      <c r="D21" s="261"/>
      <c r="E21" s="261"/>
      <c r="F21" s="261"/>
      <c r="G21" s="262"/>
      <c r="H21" s="262"/>
      <c r="I21" s="262"/>
      <c r="J21" s="262"/>
      <c r="K21" s="263"/>
      <c r="L21" s="57"/>
      <c r="M21" s="219"/>
      <c r="N21" s="219"/>
      <c r="O21" s="219"/>
    </row>
    <row r="22" spans="1:15" ht="12">
      <c r="A22" s="222">
        <f t="shared" si="0"/>
        <v>14</v>
      </c>
      <c r="B22" s="412" t="s">
        <v>85</v>
      </c>
      <c r="C22" s="413"/>
      <c r="D22" s="226"/>
      <c r="E22" s="226"/>
      <c r="F22" s="226"/>
      <c r="G22" s="226"/>
      <c r="H22" s="264"/>
      <c r="I22" s="264"/>
      <c r="J22" s="264"/>
      <c r="K22" s="265"/>
      <c r="L22" s="57" t="s">
        <v>1</v>
      </c>
      <c r="M22" s="219"/>
      <c r="N22" s="219"/>
      <c r="O22" s="219"/>
    </row>
    <row r="23" spans="1:15" ht="12">
      <c r="A23" s="222">
        <f t="shared" si="0"/>
        <v>15</v>
      </c>
      <c r="B23" s="410" t="s">
        <v>94</v>
      </c>
      <c r="C23" s="411"/>
      <c r="D23" s="57"/>
      <c r="E23" s="57"/>
      <c r="F23" s="57"/>
      <c r="G23" s="266" t="s">
        <v>163</v>
      </c>
      <c r="H23" s="266" t="s">
        <v>163</v>
      </c>
      <c r="I23" s="267"/>
      <c r="J23" s="267"/>
      <c r="K23" s="268"/>
      <c r="L23" s="57"/>
      <c r="M23" s="219"/>
      <c r="N23" s="219"/>
      <c r="O23" s="219"/>
    </row>
    <row r="24" spans="1:15" ht="12">
      <c r="A24" s="222">
        <f t="shared" si="0"/>
        <v>16</v>
      </c>
      <c r="B24" s="269"/>
      <c r="C24" s="270"/>
      <c r="D24" s="57"/>
      <c r="E24" s="57"/>
      <c r="F24" s="57"/>
      <c r="G24" s="266" t="s">
        <v>138</v>
      </c>
      <c r="H24" s="266" t="s">
        <v>139</v>
      </c>
      <c r="I24" s="267"/>
      <c r="J24" s="267"/>
      <c r="K24" s="268"/>
      <c r="L24" s="57"/>
      <c r="M24" s="219"/>
      <c r="N24" s="219"/>
      <c r="O24" s="219"/>
    </row>
    <row r="25" spans="1:15" ht="12">
      <c r="A25" s="222">
        <f t="shared" si="0"/>
        <v>17</v>
      </c>
      <c r="B25" s="271"/>
      <c r="C25" s="272" t="s">
        <v>45</v>
      </c>
      <c r="D25" s="272" t="s">
        <v>46</v>
      </c>
      <c r="E25" s="235" t="s">
        <v>48</v>
      </c>
      <c r="F25" s="235" t="s">
        <v>119</v>
      </c>
      <c r="G25" s="235" t="s">
        <v>137</v>
      </c>
      <c r="H25" s="235" t="s">
        <v>119</v>
      </c>
      <c r="I25" s="235" t="s">
        <v>57</v>
      </c>
      <c r="J25" s="235" t="s">
        <v>58</v>
      </c>
      <c r="K25" s="273"/>
      <c r="L25" s="57"/>
      <c r="M25" s="219"/>
      <c r="N25" s="219"/>
      <c r="O25" s="219"/>
    </row>
    <row r="26" spans="1:15" ht="12">
      <c r="A26" s="222">
        <v>18</v>
      </c>
      <c r="B26" s="228" t="s">
        <v>162</v>
      </c>
      <c r="C26" s="244"/>
      <c r="D26" s="244"/>
      <c r="E26" s="274">
        <f>D26-C26</f>
        <v>0</v>
      </c>
      <c r="F26" s="275">
        <v>650000000</v>
      </c>
      <c r="G26" s="276">
        <f>C13+H32</f>
        <v>0</v>
      </c>
      <c r="H26" s="276">
        <f>F26-G26</f>
        <v>650000000</v>
      </c>
      <c r="I26" s="277">
        <v>1.75E-3</v>
      </c>
      <c r="J26" s="245">
        <f>ROUND(H26*I26*E26/360,4)</f>
        <v>0</v>
      </c>
      <c r="K26" s="268"/>
      <c r="L26" s="57"/>
      <c r="M26" s="219"/>
      <c r="N26" s="219"/>
      <c r="O26" s="219"/>
    </row>
    <row r="27" spans="1:15" ht="12">
      <c r="A27" s="222">
        <f>A26+1</f>
        <v>19</v>
      </c>
      <c r="B27" s="228" t="s">
        <v>186</v>
      </c>
      <c r="C27" s="244">
        <v>43101</v>
      </c>
      <c r="D27" s="244">
        <v>43465</v>
      </c>
      <c r="E27" s="274">
        <f>D27-C27+1</f>
        <v>365</v>
      </c>
      <c r="F27" s="275">
        <v>800000000</v>
      </c>
      <c r="G27" s="276">
        <f>C14+H33</f>
        <v>767123.29</v>
      </c>
      <c r="H27" s="276">
        <f>F27-G27</f>
        <v>799232876.71000004</v>
      </c>
      <c r="I27" s="277">
        <v>1.75E-3</v>
      </c>
      <c r="J27" s="245">
        <f>ROUND(H27*I27*E27/360,4)</f>
        <v>1418083.3333000001</v>
      </c>
      <c r="K27" s="278"/>
      <c r="L27" s="57"/>
      <c r="M27" s="219"/>
      <c r="N27" s="219"/>
      <c r="O27" s="219"/>
    </row>
    <row r="28" spans="1:15" ht="12.75" thickBot="1">
      <c r="A28" s="222">
        <f t="shared" si="0"/>
        <v>20</v>
      </c>
      <c r="B28" s="279" t="s">
        <v>118</v>
      </c>
      <c r="C28" s="280"/>
      <c r="D28" s="238"/>
      <c r="E28" s="274"/>
      <c r="F28" s="281"/>
      <c r="G28" s="237"/>
      <c r="H28" s="237"/>
      <c r="I28" s="238"/>
      <c r="J28" s="282">
        <f>+J26+J27</f>
        <v>1418083.3333000001</v>
      </c>
      <c r="K28" s="278"/>
      <c r="L28" s="57"/>
      <c r="M28" s="219"/>
      <c r="N28" s="219"/>
      <c r="O28" s="219"/>
    </row>
    <row r="29" spans="1:15" ht="12.75" thickTop="1">
      <c r="A29" s="222">
        <f t="shared" si="0"/>
        <v>21</v>
      </c>
      <c r="B29" s="283"/>
      <c r="C29" s="280"/>
      <c r="D29" s="238"/>
      <c r="E29" s="274"/>
      <c r="F29" s="274"/>
      <c r="G29" s="238"/>
      <c r="H29" s="284"/>
      <c r="I29" s="284"/>
      <c r="J29" s="284"/>
      <c r="K29" s="278"/>
      <c r="L29" s="57"/>
      <c r="M29" s="219"/>
      <c r="N29" s="219"/>
      <c r="O29" s="219"/>
    </row>
    <row r="30" spans="1:15" ht="12">
      <c r="A30" s="222">
        <f t="shared" si="0"/>
        <v>22</v>
      </c>
      <c r="B30" s="285" t="s">
        <v>120</v>
      </c>
      <c r="C30" s="280"/>
      <c r="D30" s="237"/>
      <c r="E30" s="237"/>
      <c r="F30" s="235" t="s">
        <v>156</v>
      </c>
      <c r="G30" s="235" t="s">
        <v>48</v>
      </c>
      <c r="H30" s="235" t="s">
        <v>143</v>
      </c>
      <c r="I30" s="238"/>
      <c r="J30" s="284"/>
      <c r="K30" s="278"/>
      <c r="L30" s="57"/>
      <c r="M30" s="219"/>
      <c r="N30" s="219"/>
      <c r="O30" s="219"/>
    </row>
    <row r="31" spans="1:15" ht="12">
      <c r="A31" s="222">
        <f t="shared" si="0"/>
        <v>23</v>
      </c>
      <c r="B31" s="279" t="s">
        <v>144</v>
      </c>
      <c r="C31" s="237"/>
      <c r="D31" s="237"/>
      <c r="E31" s="237"/>
      <c r="F31" s="286" t="s">
        <v>157</v>
      </c>
      <c r="G31" s="287">
        <v>365</v>
      </c>
      <c r="H31" s="239">
        <v>3034247</v>
      </c>
      <c r="I31" s="277">
        <v>0.01</v>
      </c>
      <c r="J31" s="276">
        <f>(I31*H31)*(G31/360)+(12.92*12)</f>
        <v>30918.933194444446</v>
      </c>
      <c r="K31" s="278"/>
      <c r="L31" s="57"/>
      <c r="M31" s="219"/>
      <c r="N31" s="219"/>
      <c r="O31" s="219"/>
    </row>
    <row r="32" spans="1:15" ht="12.75" customHeight="1" thickBot="1">
      <c r="A32" s="222">
        <f>A31+1</f>
        <v>24</v>
      </c>
      <c r="B32" s="279"/>
      <c r="C32" s="237"/>
      <c r="D32" s="237"/>
      <c r="E32" s="237"/>
      <c r="F32" s="286"/>
      <c r="G32" s="287"/>
      <c r="H32" s="239"/>
      <c r="I32" s="277"/>
      <c r="J32" s="288">
        <f>SUM(J31)</f>
        <v>30918.933194444446</v>
      </c>
      <c r="K32" s="268"/>
      <c r="L32" s="57"/>
      <c r="M32" s="219"/>
      <c r="N32" s="219"/>
      <c r="O32" s="219"/>
    </row>
    <row r="33" spans="1:19" ht="12.75" customHeight="1" thickTop="1">
      <c r="A33" s="222">
        <f t="shared" si="0"/>
        <v>25</v>
      </c>
      <c r="B33" s="289" t="s">
        <v>145</v>
      </c>
      <c r="C33" s="237"/>
      <c r="D33" s="237"/>
      <c r="E33" s="290"/>
      <c r="F33" s="275"/>
      <c r="G33" s="274"/>
      <c r="H33" s="267"/>
      <c r="I33" s="267"/>
      <c r="K33" s="268"/>
      <c r="L33" s="57"/>
      <c r="M33" s="219"/>
      <c r="N33" s="219"/>
      <c r="O33" s="219"/>
    </row>
    <row r="34" spans="1:19" ht="12.75" customHeight="1">
      <c r="A34" s="222">
        <f t="shared" si="0"/>
        <v>26</v>
      </c>
      <c r="B34" s="279"/>
      <c r="C34" s="237"/>
      <c r="D34" s="237"/>
      <c r="E34" s="237"/>
      <c r="F34" s="291"/>
      <c r="G34" s="292"/>
      <c r="H34" s="267"/>
      <c r="I34" s="267"/>
      <c r="J34" s="267"/>
      <c r="K34" s="268"/>
      <c r="L34" s="57"/>
      <c r="M34" s="219"/>
      <c r="N34" s="219"/>
      <c r="O34" s="219"/>
    </row>
    <row r="35" spans="1:19" ht="12">
      <c r="A35" s="222">
        <f t="shared" si="0"/>
        <v>27</v>
      </c>
      <c r="B35" s="269"/>
      <c r="C35" s="270"/>
      <c r="D35" s="270"/>
      <c r="E35" s="237"/>
      <c r="F35" s="237"/>
      <c r="G35" s="237"/>
      <c r="H35" s="293"/>
      <c r="I35" s="293"/>
      <c r="J35" s="293"/>
      <c r="K35" s="268"/>
    </row>
    <row r="36" spans="1:19" ht="12.75" thickBot="1">
      <c r="A36" s="222">
        <f t="shared" si="0"/>
        <v>28</v>
      </c>
      <c r="B36" s="294" t="s">
        <v>80</v>
      </c>
      <c r="C36" s="295"/>
      <c r="D36" s="295"/>
      <c r="E36" s="296"/>
      <c r="F36" s="296"/>
      <c r="G36" s="296"/>
      <c r="H36" s="297"/>
      <c r="I36" s="297"/>
      <c r="J36" s="297"/>
      <c r="K36" s="298"/>
      <c r="S36" s="299"/>
    </row>
  </sheetData>
  <mergeCells count="5">
    <mergeCell ref="B23:C23"/>
    <mergeCell ref="B22:C22"/>
    <mergeCell ref="A1:K1"/>
    <mergeCell ref="A2:K2"/>
    <mergeCell ref="A3:K3"/>
  </mergeCells>
  <phoneticPr fontId="13" type="noConversion"/>
  <printOptions horizontalCentered="1"/>
  <pageMargins left="0.25" right="0.25" top="1.25" bottom="0.75" header="0.3" footer="0.3"/>
  <pageSetup orientation="landscape" r:id="rId1"/>
  <headerFooter scaleWithDoc="0" alignWithMargins="0">
    <oddFooter>&amp;R&amp;"Times New Roman,Regular"&amp;12Exh. MDM-3
Page 4 of 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zoomScaleNormal="100" workbookViewId="0">
      <selection activeCell="K13" sqref="K13"/>
    </sheetView>
  </sheetViews>
  <sheetFormatPr defaultColWidth="9.1640625" defaultRowHeight="11.25"/>
  <cols>
    <col min="1" max="1" width="4.83203125" style="103" customWidth="1"/>
    <col min="2" max="2" width="47.5" style="103" customWidth="1"/>
    <col min="3" max="3" width="20.1640625" style="103" bestFit="1" customWidth="1"/>
    <col min="4" max="4" width="12.5" style="103" bestFit="1" customWidth="1"/>
    <col min="5" max="5" width="13.33203125" style="103" bestFit="1" customWidth="1"/>
    <col min="6" max="6" width="19.5" style="103" bestFit="1" customWidth="1"/>
    <col min="7" max="7" width="13.33203125" style="103" bestFit="1" customWidth="1"/>
    <col min="8" max="8" width="19.5" style="103" bestFit="1" customWidth="1"/>
    <col min="9" max="9" width="19" style="103" bestFit="1" customWidth="1"/>
    <col min="10" max="11" width="12" style="299" customWidth="1"/>
    <col min="12" max="16384" width="9.1640625" style="103"/>
  </cols>
  <sheetData>
    <row r="1" spans="1:9" ht="15.75">
      <c r="A1" s="416" t="s">
        <v>43</v>
      </c>
      <c r="B1" s="416"/>
      <c r="C1" s="416"/>
      <c r="D1" s="416"/>
      <c r="E1" s="416"/>
      <c r="F1" s="416"/>
      <c r="G1" s="416"/>
      <c r="H1" s="416"/>
      <c r="I1" s="416"/>
    </row>
    <row r="2" spans="1:9" ht="10.15" customHeight="1">
      <c r="A2" s="417" t="s">
        <v>93</v>
      </c>
      <c r="B2" s="417"/>
      <c r="C2" s="417"/>
      <c r="D2" s="417"/>
      <c r="E2" s="417"/>
      <c r="F2" s="417"/>
      <c r="G2" s="417"/>
      <c r="H2" s="417"/>
      <c r="I2" s="417"/>
    </row>
    <row r="3" spans="1:9" ht="10.15" customHeight="1">
      <c r="A3" s="418" t="str">
        <f>'Pg 1 Summary'!A5</f>
        <v>For The 12 Months Ending December 31, 2018</v>
      </c>
      <c r="B3" s="418"/>
      <c r="C3" s="418"/>
      <c r="D3" s="418"/>
      <c r="E3" s="418"/>
      <c r="F3" s="418"/>
      <c r="G3" s="418"/>
      <c r="H3" s="418"/>
      <c r="I3" s="418"/>
    </row>
    <row r="4" spans="1:9" ht="12">
      <c r="A4" s="57"/>
      <c r="B4" s="220"/>
      <c r="C4" s="219"/>
      <c r="D4" s="219"/>
      <c r="E4" s="219"/>
      <c r="F4" s="219"/>
      <c r="G4" s="219"/>
      <c r="H4" s="219"/>
      <c r="I4" s="219"/>
    </row>
    <row r="5" spans="1:9" ht="12">
      <c r="A5" s="301" t="s">
        <v>3</v>
      </c>
      <c r="B5" s="301" t="s">
        <v>24</v>
      </c>
      <c r="C5" s="301" t="s">
        <v>49</v>
      </c>
      <c r="D5" s="301" t="s">
        <v>61</v>
      </c>
      <c r="E5" s="301" t="s">
        <v>61</v>
      </c>
      <c r="F5" s="301" t="s">
        <v>62</v>
      </c>
      <c r="G5" s="301" t="s">
        <v>63</v>
      </c>
      <c r="H5" s="301" t="s">
        <v>64</v>
      </c>
      <c r="I5" s="301" t="s">
        <v>65</v>
      </c>
    </row>
    <row r="6" spans="1:9" ht="11.25" customHeight="1">
      <c r="A6" s="219"/>
      <c r="B6" s="302"/>
      <c r="C6" s="302"/>
      <c r="D6" s="302"/>
      <c r="E6" s="302"/>
      <c r="F6" s="302"/>
      <c r="G6" s="302"/>
      <c r="H6" s="302"/>
      <c r="I6" s="302"/>
    </row>
    <row r="7" spans="1:9" ht="11.25" customHeight="1">
      <c r="A7" s="222"/>
      <c r="B7" s="303"/>
      <c r="C7" s="304"/>
      <c r="D7" s="304"/>
      <c r="E7" s="304"/>
      <c r="F7" s="304"/>
      <c r="G7" s="304"/>
      <c r="H7" s="304"/>
    </row>
    <row r="8" spans="1:9" ht="11.25" customHeight="1">
      <c r="A8" s="222">
        <v>1</v>
      </c>
      <c r="B8" s="56" t="s">
        <v>7</v>
      </c>
      <c r="C8" s="305" t="s">
        <v>149</v>
      </c>
      <c r="D8" s="305" t="s">
        <v>149</v>
      </c>
      <c r="E8" s="305" t="s">
        <v>164</v>
      </c>
      <c r="F8" s="305" t="s">
        <v>164</v>
      </c>
      <c r="G8" s="305" t="s">
        <v>185</v>
      </c>
      <c r="H8" s="305" t="s">
        <v>164</v>
      </c>
      <c r="I8" s="219"/>
    </row>
    <row r="9" spans="1:9" ht="11.25" customHeight="1">
      <c r="A9" s="222">
        <f>A8+1</f>
        <v>2</v>
      </c>
      <c r="B9" s="56"/>
      <c r="C9" s="306" t="s">
        <v>150</v>
      </c>
      <c r="D9" s="306" t="s">
        <v>168</v>
      </c>
      <c r="E9" s="306" t="s">
        <v>165</v>
      </c>
      <c r="F9" s="306" t="s">
        <v>170</v>
      </c>
      <c r="G9" s="306" t="s">
        <v>165</v>
      </c>
      <c r="H9" s="306" t="s">
        <v>170</v>
      </c>
      <c r="I9" s="307" t="s">
        <v>151</v>
      </c>
    </row>
    <row r="10" spans="1:9" ht="11.25" customHeight="1">
      <c r="A10" s="222">
        <f t="shared" ref="A10:A35" si="0">A9+1</f>
        <v>3</v>
      </c>
      <c r="B10" s="300" t="s">
        <v>134</v>
      </c>
      <c r="C10" s="308" t="s">
        <v>169</v>
      </c>
      <c r="D10" s="308">
        <v>18900423</v>
      </c>
      <c r="E10" s="308">
        <v>18100673</v>
      </c>
      <c r="F10" s="308">
        <v>18900443</v>
      </c>
      <c r="G10" s="308">
        <v>18100683</v>
      </c>
      <c r="H10" s="308">
        <v>18900473</v>
      </c>
      <c r="I10" s="308" t="s">
        <v>152</v>
      </c>
    </row>
    <row r="11" spans="1:9" ht="11.25" customHeight="1">
      <c r="A11" s="222">
        <f t="shared" si="0"/>
        <v>4</v>
      </c>
      <c r="B11" s="300"/>
      <c r="C11" s="309"/>
      <c r="D11" s="309"/>
      <c r="E11" s="219"/>
      <c r="F11" s="219"/>
      <c r="G11" s="219"/>
      <c r="I11" s="219"/>
    </row>
    <row r="12" spans="1:9" ht="12">
      <c r="A12" s="222">
        <f t="shared" si="0"/>
        <v>5</v>
      </c>
      <c r="B12" s="229" t="s">
        <v>59</v>
      </c>
      <c r="C12" s="219"/>
      <c r="D12" s="219"/>
      <c r="E12" s="219"/>
      <c r="F12" s="219"/>
      <c r="G12" s="219"/>
      <c r="H12" s="219"/>
      <c r="I12" s="310"/>
    </row>
    <row r="13" spans="1:9" ht="12">
      <c r="A13" s="222">
        <f t="shared" si="0"/>
        <v>6</v>
      </c>
      <c r="B13" s="311" t="s">
        <v>188</v>
      </c>
      <c r="C13" s="312">
        <f>22343.27+5275.39</f>
        <v>27618.66</v>
      </c>
      <c r="D13" s="312">
        <v>27619.17</v>
      </c>
      <c r="E13" s="312">
        <v>594685.77</v>
      </c>
      <c r="F13" s="312">
        <v>36561.47</v>
      </c>
      <c r="G13" s="312">
        <v>2672991.2599999998</v>
      </c>
      <c r="H13" s="312">
        <v>91643.5</v>
      </c>
      <c r="I13" s="310"/>
    </row>
    <row r="14" spans="1:9" ht="12">
      <c r="A14" s="222">
        <f t="shared" si="0"/>
        <v>7</v>
      </c>
      <c r="B14" s="219"/>
      <c r="C14" s="313"/>
      <c r="D14" s="313"/>
      <c r="E14" s="313"/>
      <c r="F14" s="313"/>
      <c r="G14" s="313"/>
      <c r="H14" s="313"/>
      <c r="I14" s="310"/>
    </row>
    <row r="15" spans="1:9" ht="12">
      <c r="A15" s="222">
        <f t="shared" si="0"/>
        <v>8</v>
      </c>
      <c r="B15" s="314">
        <v>43101</v>
      </c>
      <c r="C15" s="313">
        <f>-22343.27-5275.39</f>
        <v>-27618.66</v>
      </c>
      <c r="D15" s="313">
        <v>-27619.17</v>
      </c>
      <c r="E15" s="313">
        <v>-10211.44</v>
      </c>
      <c r="F15" s="313">
        <v>-2285.1</v>
      </c>
      <c r="G15" s="313">
        <v>-46204.63</v>
      </c>
      <c r="H15" s="313">
        <v>-1580.06</v>
      </c>
      <c r="I15" s="310"/>
    </row>
    <row r="16" spans="1:9" ht="12">
      <c r="A16" s="222">
        <f t="shared" si="0"/>
        <v>9</v>
      </c>
      <c r="B16" s="314">
        <v>43132</v>
      </c>
      <c r="C16" s="313">
        <v>0</v>
      </c>
      <c r="D16" s="313">
        <v>0</v>
      </c>
      <c r="E16" s="313">
        <v>-10211.44</v>
      </c>
      <c r="F16" s="313">
        <v>-2285.1</v>
      </c>
      <c r="G16" s="313">
        <v>-46204.63</v>
      </c>
      <c r="H16" s="313">
        <v>-1580.06</v>
      </c>
      <c r="I16" s="310"/>
    </row>
    <row r="17" spans="1:10" ht="12">
      <c r="A17" s="222">
        <f t="shared" si="0"/>
        <v>10</v>
      </c>
      <c r="B17" s="314">
        <v>43160</v>
      </c>
      <c r="C17" s="313">
        <v>0</v>
      </c>
      <c r="D17" s="313">
        <v>0</v>
      </c>
      <c r="E17" s="313">
        <v>-10211.44</v>
      </c>
      <c r="F17" s="313">
        <v>-2285.1</v>
      </c>
      <c r="G17" s="313">
        <v>-46204.63</v>
      </c>
      <c r="H17" s="313">
        <v>-1580.06</v>
      </c>
      <c r="I17" s="310"/>
    </row>
    <row r="18" spans="1:10" ht="12">
      <c r="A18" s="222">
        <f t="shared" si="0"/>
        <v>11</v>
      </c>
      <c r="B18" s="314">
        <v>43191</v>
      </c>
      <c r="C18" s="313">
        <v>0</v>
      </c>
      <c r="D18" s="313">
        <v>0</v>
      </c>
      <c r="E18" s="313">
        <v>-10211.44</v>
      </c>
      <c r="F18" s="313">
        <v>-2285.1</v>
      </c>
      <c r="G18" s="313">
        <v>-46204.62</v>
      </c>
      <c r="H18" s="313">
        <v>-1580.06</v>
      </c>
      <c r="I18" s="310"/>
    </row>
    <row r="19" spans="1:10" ht="12">
      <c r="A19" s="222">
        <f t="shared" si="0"/>
        <v>12</v>
      </c>
      <c r="B19" s="314">
        <v>43221</v>
      </c>
      <c r="C19" s="313">
        <v>0</v>
      </c>
      <c r="D19" s="313">
        <v>0</v>
      </c>
      <c r="E19" s="313">
        <v>-10211.44</v>
      </c>
      <c r="F19" s="313">
        <v>-2285.1</v>
      </c>
      <c r="G19" s="313">
        <v>-46204.63</v>
      </c>
      <c r="H19" s="313">
        <v>-1580.06</v>
      </c>
      <c r="I19" s="315"/>
      <c r="J19" s="316"/>
    </row>
    <row r="20" spans="1:10" ht="12">
      <c r="A20" s="222">
        <f t="shared" si="0"/>
        <v>13</v>
      </c>
      <c r="B20" s="314">
        <v>43252</v>
      </c>
      <c r="C20" s="313">
        <v>0</v>
      </c>
      <c r="D20" s="313">
        <v>0</v>
      </c>
      <c r="E20" s="313">
        <v>-10211.44</v>
      </c>
      <c r="F20" s="313">
        <v>-2285.1</v>
      </c>
      <c r="G20" s="313">
        <v>-46831.96</v>
      </c>
      <c r="H20" s="313">
        <v>-1580.06</v>
      </c>
      <c r="I20" s="310"/>
    </row>
    <row r="21" spans="1:10" ht="12">
      <c r="A21" s="222">
        <f t="shared" si="0"/>
        <v>14</v>
      </c>
      <c r="B21" s="314">
        <v>43282</v>
      </c>
      <c r="C21" s="313">
        <v>0</v>
      </c>
      <c r="D21" s="313">
        <v>0</v>
      </c>
      <c r="E21" s="313">
        <v>-10211.44</v>
      </c>
      <c r="F21" s="313">
        <v>-2285.1</v>
      </c>
      <c r="G21" s="313">
        <v>-46831.96</v>
      </c>
      <c r="H21" s="313">
        <v>-1580.06</v>
      </c>
      <c r="I21" s="310"/>
    </row>
    <row r="22" spans="1:10" ht="12">
      <c r="A22" s="222">
        <f t="shared" si="0"/>
        <v>15</v>
      </c>
      <c r="B22" s="314">
        <v>43313</v>
      </c>
      <c r="C22" s="313">
        <v>0</v>
      </c>
      <c r="D22" s="313">
        <v>0</v>
      </c>
      <c r="E22" s="313">
        <v>-10211.44</v>
      </c>
      <c r="F22" s="313">
        <v>-2285.1</v>
      </c>
      <c r="G22" s="313">
        <v>-46955.48</v>
      </c>
      <c r="H22" s="313">
        <v>-1580.06</v>
      </c>
      <c r="I22" s="310"/>
    </row>
    <row r="23" spans="1:10" ht="12">
      <c r="A23" s="222">
        <f t="shared" si="0"/>
        <v>16</v>
      </c>
      <c r="B23" s="314">
        <v>43344</v>
      </c>
      <c r="C23" s="313">
        <v>0</v>
      </c>
      <c r="D23" s="313">
        <v>0</v>
      </c>
      <c r="E23" s="313">
        <v>-10211.44</v>
      </c>
      <c r="F23" s="313">
        <v>-2285.1</v>
      </c>
      <c r="G23" s="313">
        <v>-46955.48</v>
      </c>
      <c r="H23" s="313">
        <v>-1580.06</v>
      </c>
      <c r="I23" s="310"/>
    </row>
    <row r="24" spans="1:10" ht="12">
      <c r="A24" s="222">
        <f t="shared" si="0"/>
        <v>17</v>
      </c>
      <c r="B24" s="314">
        <v>43374</v>
      </c>
      <c r="C24" s="313">
        <v>0</v>
      </c>
      <c r="D24" s="313">
        <v>0</v>
      </c>
      <c r="E24" s="313">
        <v>-10211.44</v>
      </c>
      <c r="F24" s="313">
        <v>-2285.1</v>
      </c>
      <c r="G24" s="313">
        <v>-46955.48</v>
      </c>
      <c r="H24" s="313">
        <v>-1580.06</v>
      </c>
      <c r="I24" s="310"/>
    </row>
    <row r="25" spans="1:10" ht="12">
      <c r="A25" s="222">
        <v>18</v>
      </c>
      <c r="B25" s="314">
        <v>43405</v>
      </c>
      <c r="C25" s="313">
        <v>0</v>
      </c>
      <c r="D25" s="313">
        <v>0</v>
      </c>
      <c r="E25" s="313">
        <v>-10211.44</v>
      </c>
      <c r="F25" s="313">
        <v>-2285.1</v>
      </c>
      <c r="G25" s="313">
        <v>-46955.48</v>
      </c>
      <c r="H25" s="313">
        <v>-1580.06</v>
      </c>
      <c r="I25" s="310"/>
    </row>
    <row r="26" spans="1:10" ht="12.75" thickBot="1">
      <c r="A26" s="222">
        <v>19</v>
      </c>
      <c r="B26" s="314">
        <v>43435</v>
      </c>
      <c r="C26" s="313">
        <v>0</v>
      </c>
      <c r="D26" s="313">
        <v>0</v>
      </c>
      <c r="E26" s="313">
        <v>-10211.44</v>
      </c>
      <c r="F26" s="313">
        <v>-2285.1</v>
      </c>
      <c r="G26" s="313">
        <v>-46962.45</v>
      </c>
      <c r="H26" s="313">
        <v>-1580.06</v>
      </c>
      <c r="I26" s="310"/>
    </row>
    <row r="27" spans="1:10" ht="12.75" thickBot="1">
      <c r="A27" s="222">
        <f>A26+1</f>
        <v>20</v>
      </c>
      <c r="B27" s="317" t="s">
        <v>189</v>
      </c>
      <c r="C27" s="318">
        <f t="shared" ref="C27:H27" si="1">SUM(C15:C26)</f>
        <v>-27618.66</v>
      </c>
      <c r="D27" s="318">
        <f t="shared" si="1"/>
        <v>-27619.17</v>
      </c>
      <c r="E27" s="318">
        <f t="shared" si="1"/>
        <v>-122537.28000000001</v>
      </c>
      <c r="F27" s="318">
        <f t="shared" si="1"/>
        <v>-27421.199999999993</v>
      </c>
      <c r="G27" s="318">
        <f t="shared" si="1"/>
        <v>-559471.42999999993</v>
      </c>
      <c r="H27" s="318">
        <f t="shared" si="1"/>
        <v>-18960.719999999998</v>
      </c>
      <c r="I27" s="319">
        <f>SUM(C27:H27)</f>
        <v>-783628.46</v>
      </c>
    </row>
    <row r="28" spans="1:10" ht="12">
      <c r="A28" s="222">
        <f t="shared" si="0"/>
        <v>21</v>
      </c>
      <c r="B28" s="229"/>
      <c r="C28" s="320"/>
      <c r="D28" s="320"/>
      <c r="E28" s="320"/>
      <c r="F28" s="320"/>
      <c r="G28" s="320"/>
      <c r="H28" s="320"/>
      <c r="I28" s="310"/>
    </row>
    <row r="29" spans="1:10" ht="12">
      <c r="A29" s="222">
        <f t="shared" si="0"/>
        <v>22</v>
      </c>
      <c r="B29" s="321" t="s">
        <v>147</v>
      </c>
      <c r="C29" s="313"/>
      <c r="D29" s="313"/>
      <c r="E29" s="313"/>
      <c r="F29" s="313"/>
      <c r="G29" s="313">
        <f>6877+33249+6299.37+327.5</f>
        <v>46752.87</v>
      </c>
      <c r="H29" s="313"/>
      <c r="I29" s="310"/>
    </row>
    <row r="30" spans="1:10" ht="12">
      <c r="A30" s="222">
        <f t="shared" si="0"/>
        <v>23</v>
      </c>
      <c r="B30" s="321" t="s">
        <v>148</v>
      </c>
      <c r="C30" s="313"/>
      <c r="D30" s="313"/>
      <c r="F30" s="313"/>
      <c r="G30" s="313"/>
      <c r="H30" s="313"/>
      <c r="I30" s="310"/>
    </row>
    <row r="31" spans="1:10" ht="12.75" thickBot="1">
      <c r="A31" s="222">
        <f t="shared" si="0"/>
        <v>24</v>
      </c>
      <c r="B31" s="229" t="s">
        <v>60</v>
      </c>
      <c r="C31" s="322">
        <f t="shared" ref="C31:H31" si="2">C13+C27+C29+C30</f>
        <v>0</v>
      </c>
      <c r="D31" s="322">
        <f t="shared" si="2"/>
        <v>0</v>
      </c>
      <c r="E31" s="322">
        <f>E13+E27+E29+E30</f>
        <v>472148.49</v>
      </c>
      <c r="F31" s="322">
        <f t="shared" si="2"/>
        <v>9140.2700000000077</v>
      </c>
      <c r="G31" s="322">
        <f t="shared" si="2"/>
        <v>2160272.7000000002</v>
      </c>
      <c r="H31" s="322">
        <f t="shared" si="2"/>
        <v>72682.78</v>
      </c>
      <c r="I31" s="310"/>
    </row>
    <row r="32" spans="1:10" ht="12.75" thickTop="1">
      <c r="A32" s="222">
        <f t="shared" si="0"/>
        <v>25</v>
      </c>
      <c r="B32" s="323"/>
      <c r="C32" s="219"/>
      <c r="D32" s="219"/>
      <c r="E32" s="219"/>
      <c r="F32" s="219"/>
      <c r="G32" s="219"/>
      <c r="H32" s="219"/>
      <c r="I32" s="219"/>
    </row>
    <row r="33" spans="1:10" ht="12">
      <c r="A33" s="222">
        <f t="shared" si="0"/>
        <v>26</v>
      </c>
      <c r="B33" s="220" t="s">
        <v>180</v>
      </c>
      <c r="C33" s="315"/>
      <c r="D33" s="315"/>
      <c r="E33" s="315"/>
      <c r="F33" s="315"/>
      <c r="G33" s="315"/>
      <c r="H33" s="315"/>
      <c r="I33" s="219">
        <f>'Pg 1 Summary'!C30</f>
        <v>7860865544</v>
      </c>
    </row>
    <row r="34" spans="1:10" ht="12">
      <c r="A34" s="222">
        <f t="shared" si="0"/>
        <v>27</v>
      </c>
      <c r="B34" s="219"/>
      <c r="C34" s="324"/>
      <c r="D34" s="324"/>
      <c r="E34" s="324"/>
      <c r="F34" s="324"/>
      <c r="G34" s="324"/>
      <c r="H34" s="324"/>
      <c r="I34" s="219"/>
    </row>
    <row r="35" spans="1:10" ht="12">
      <c r="A35" s="222">
        <f t="shared" si="0"/>
        <v>28</v>
      </c>
      <c r="B35" s="220" t="s">
        <v>181</v>
      </c>
      <c r="C35" s="219"/>
      <c r="D35" s="219"/>
      <c r="E35" s="219"/>
      <c r="F35" s="219"/>
      <c r="G35" s="219"/>
      <c r="H35" s="219"/>
      <c r="I35" s="77">
        <f>ROUND(-I27/I33,4)</f>
        <v>1E-4</v>
      </c>
      <c r="J35" s="325"/>
    </row>
    <row r="36" spans="1:10">
      <c r="A36" s="222"/>
    </row>
    <row r="37" spans="1:10">
      <c r="A37" s="222"/>
    </row>
    <row r="38" spans="1:10">
      <c r="A38" s="222"/>
      <c r="B38" s="326"/>
    </row>
    <row r="39" spans="1:10">
      <c r="A39" s="222"/>
    </row>
    <row r="40" spans="1:10">
      <c r="A40" s="222"/>
    </row>
    <row r="41" spans="1:10">
      <c r="A41" s="222"/>
    </row>
    <row r="42" spans="1:10">
      <c r="A42" s="222"/>
    </row>
    <row r="43" spans="1:10">
      <c r="A43" s="222"/>
    </row>
    <row r="44" spans="1:10">
      <c r="A44" s="222"/>
    </row>
    <row r="45" spans="1:10">
      <c r="A45" s="222"/>
    </row>
    <row r="46" spans="1:10">
      <c r="A46" s="222"/>
      <c r="B46" s="327"/>
    </row>
    <row r="47" spans="1:10">
      <c r="A47" s="222"/>
    </row>
    <row r="48" spans="1:10">
      <c r="A48" s="222"/>
    </row>
    <row r="49" spans="1:2">
      <c r="A49" s="222"/>
    </row>
    <row r="50" spans="1:2">
      <c r="A50" s="222"/>
    </row>
    <row r="51" spans="1:2">
      <c r="A51" s="222"/>
    </row>
    <row r="52" spans="1:2">
      <c r="A52" s="222"/>
    </row>
    <row r="53" spans="1:2">
      <c r="A53" s="222"/>
      <c r="B53" s="328"/>
    </row>
    <row r="54" spans="1:2">
      <c r="A54" s="222"/>
      <c r="B54" s="328"/>
    </row>
    <row r="55" spans="1:2">
      <c r="A55" s="222"/>
      <c r="B55" s="327"/>
    </row>
  </sheetData>
  <mergeCells count="3">
    <mergeCell ref="A1:I1"/>
    <mergeCell ref="A2:I2"/>
    <mergeCell ref="A3:I3"/>
  </mergeCells>
  <phoneticPr fontId="13" type="noConversion"/>
  <printOptions horizontalCentered="1"/>
  <pageMargins left="0.25" right="0.25" top="1.25" bottom="0.75" header="0.3" footer="0.3"/>
  <pageSetup orientation="landscape" r:id="rId1"/>
  <headerFooter scaleWithDoc="0" alignWithMargins="0">
    <oddFooter>&amp;R&amp;"Times New Roman,Regular"&amp;12Exh. MDM-3
Page 5 of 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C167"/>
  <sheetViews>
    <sheetView zoomScaleNormal="100" workbookViewId="0">
      <pane xSplit="5" ySplit="6" topLeftCell="F7" activePane="bottomRight" state="frozen"/>
      <selection activeCell="I9" sqref="I9"/>
      <selection pane="topRight" activeCell="I9" sqref="I9"/>
      <selection pane="bottomLeft" activeCell="I9" sqref="I9"/>
      <selection pane="bottomRight" activeCell="F32" sqref="F32"/>
    </sheetView>
  </sheetViews>
  <sheetFormatPr defaultColWidth="8.83203125" defaultRowHeight="12.75" outlineLevelCol="1"/>
  <cols>
    <col min="1" max="1" width="5.6640625" style="25" bestFit="1" customWidth="1"/>
    <col min="2" max="2" width="7" style="23" customWidth="1"/>
    <col min="3" max="3" width="8.33203125" style="23" customWidth="1"/>
    <col min="4" max="5" width="7.1640625" style="23" customWidth="1"/>
    <col min="6" max="6" width="10" style="26" customWidth="1"/>
    <col min="7" max="7" width="9.83203125" style="23" customWidth="1"/>
    <col min="8" max="8" width="8" style="23" customWidth="1"/>
    <col min="9" max="9" width="7.83203125" style="26" customWidth="1"/>
    <col min="10" max="11" width="9.1640625" style="23" customWidth="1"/>
    <col min="12" max="12" width="9.83203125" style="23" customWidth="1"/>
    <col min="13" max="13" width="9.1640625" style="23" customWidth="1"/>
    <col min="14" max="14" width="9.83203125" style="23" customWidth="1"/>
    <col min="15" max="23" width="8.83203125" style="23" customWidth="1"/>
    <col min="24" max="24" width="8.83203125" style="23" customWidth="1" outlineLevel="1"/>
    <col min="25" max="25" width="12.33203125" style="23" customWidth="1" outlineLevel="1"/>
    <col min="26" max="26" width="14.6640625" style="23" customWidth="1" outlineLevel="1"/>
    <col min="27" max="27" width="12.6640625" style="23" customWidth="1"/>
    <col min="28" max="28" width="8.83203125" style="23"/>
    <col min="29" max="30" width="10.83203125" style="23" bestFit="1" customWidth="1"/>
    <col min="31" max="16384" width="8.83203125" style="23"/>
  </cols>
  <sheetData>
    <row r="1" spans="1:25" ht="12.75" customHeight="1">
      <c r="A1" s="419" t="s">
        <v>195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  <c r="V1" s="419"/>
      <c r="W1" s="419"/>
      <c r="X1" s="419"/>
      <c r="Y1" s="419"/>
    </row>
    <row r="2" spans="1:25" ht="12.75" customHeight="1">
      <c r="A2" s="419" t="s">
        <v>198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  <c r="Y2" s="419"/>
    </row>
    <row r="3" spans="1:25" s="46" customFormat="1" ht="12.75" customHeight="1">
      <c r="A3" s="420" t="str">
        <f>'Pg 1 Summary'!A5</f>
        <v>For The 12 Months Ending December 31, 2018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</row>
    <row r="4" spans="1:25" s="46" customFormat="1" ht="12.75" customHeight="1">
      <c r="A4" s="329"/>
      <c r="B4" s="330"/>
      <c r="C4" s="330"/>
      <c r="D4" s="330"/>
      <c r="E4" s="331"/>
      <c r="F4" s="330"/>
      <c r="G4" s="332"/>
      <c r="H4" s="331"/>
      <c r="I4" s="330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</row>
    <row r="5" spans="1:25" ht="11.1" customHeight="1">
      <c r="A5" s="333" t="s">
        <v>3</v>
      </c>
      <c r="B5" s="333" t="s">
        <v>24</v>
      </c>
      <c r="C5" s="333" t="s">
        <v>49</v>
      </c>
      <c r="D5" s="333" t="s">
        <v>61</v>
      </c>
      <c r="E5" s="333" t="s">
        <v>62</v>
      </c>
      <c r="F5" s="333" t="s">
        <v>63</v>
      </c>
      <c r="G5" s="333" t="s">
        <v>64</v>
      </c>
      <c r="H5" s="333" t="s">
        <v>65</v>
      </c>
      <c r="I5" s="333" t="s">
        <v>66</v>
      </c>
      <c r="J5" s="333" t="s">
        <v>65</v>
      </c>
      <c r="K5" s="333" t="s">
        <v>66</v>
      </c>
      <c r="L5" s="333" t="s">
        <v>65</v>
      </c>
      <c r="M5" s="333" t="s">
        <v>66</v>
      </c>
      <c r="N5" s="333" t="s">
        <v>65</v>
      </c>
      <c r="O5" s="333" t="s">
        <v>66</v>
      </c>
      <c r="P5" s="333" t="s">
        <v>65</v>
      </c>
      <c r="Q5" s="333" t="s">
        <v>66</v>
      </c>
      <c r="R5" s="333" t="s">
        <v>65</v>
      </c>
      <c r="S5" s="333" t="s">
        <v>66</v>
      </c>
      <c r="T5" s="333" t="s">
        <v>65</v>
      </c>
      <c r="U5" s="333" t="s">
        <v>66</v>
      </c>
      <c r="V5" s="333" t="s">
        <v>65</v>
      </c>
      <c r="W5" s="333"/>
      <c r="X5" s="334" t="s">
        <v>158</v>
      </c>
    </row>
    <row r="6" spans="1:25" ht="32.25">
      <c r="A6" s="335">
        <v>1</v>
      </c>
      <c r="B6" s="336" t="s">
        <v>115</v>
      </c>
      <c r="C6" s="336" t="s">
        <v>88</v>
      </c>
      <c r="D6" s="336" t="s">
        <v>54</v>
      </c>
      <c r="E6" s="336" t="s">
        <v>92</v>
      </c>
      <c r="F6" s="336" t="s">
        <v>105</v>
      </c>
      <c r="G6" s="336" t="s">
        <v>81</v>
      </c>
      <c r="H6" s="336" t="s">
        <v>83</v>
      </c>
      <c r="I6" s="336" t="s">
        <v>77</v>
      </c>
      <c r="J6" s="337">
        <f>'Pg 2 CapStructure'!C6</f>
        <v>43100</v>
      </c>
      <c r="K6" s="337">
        <f>'Pg 2 CapStructure'!D6</f>
        <v>43131</v>
      </c>
      <c r="L6" s="337">
        <f>'Pg 2 CapStructure'!E6</f>
        <v>43159</v>
      </c>
      <c r="M6" s="337">
        <f>'Pg 2 CapStructure'!F6</f>
        <v>43190</v>
      </c>
      <c r="N6" s="337">
        <f>'Pg 2 CapStructure'!G6</f>
        <v>43220</v>
      </c>
      <c r="O6" s="337">
        <f>'Pg 2 CapStructure'!H6</f>
        <v>43251</v>
      </c>
      <c r="P6" s="337">
        <f>'Pg 2 CapStructure'!I6</f>
        <v>43281</v>
      </c>
      <c r="Q6" s="337">
        <f>'Pg 2 CapStructure'!J6</f>
        <v>43312</v>
      </c>
      <c r="R6" s="337">
        <f>'Pg 2 CapStructure'!K6</f>
        <v>43343</v>
      </c>
      <c r="S6" s="337">
        <f>'Pg 2 CapStructure'!L6</f>
        <v>43373</v>
      </c>
      <c r="T6" s="337">
        <f>'Pg 2 CapStructure'!M6</f>
        <v>43404</v>
      </c>
      <c r="U6" s="337">
        <f>'Pg 2 CapStructure'!N6</f>
        <v>43434</v>
      </c>
      <c r="V6" s="337">
        <f>'Pg 2 CapStructure'!O6</f>
        <v>43465</v>
      </c>
      <c r="W6" s="337"/>
      <c r="X6" s="338" t="s">
        <v>35</v>
      </c>
      <c r="Y6" s="338" t="s">
        <v>159</v>
      </c>
    </row>
    <row r="7" spans="1:25" s="27" customFormat="1">
      <c r="A7" s="339">
        <v>6</v>
      </c>
      <c r="B7" s="340" t="s">
        <v>19</v>
      </c>
      <c r="C7" s="341">
        <v>6.7400000000000002E-2</v>
      </c>
      <c r="D7" s="342">
        <v>35961</v>
      </c>
      <c r="E7" s="342">
        <v>43266</v>
      </c>
      <c r="F7" s="343">
        <f>ROUND(((J7+V7)+(SUM(K7:U7)*2))/24,0)</f>
        <v>91666667</v>
      </c>
      <c r="G7" s="344">
        <v>98.98509159000001</v>
      </c>
      <c r="H7" s="345">
        <f t="shared" ref="H7:H11" si="0">ROUND(YIELD(D7,E7,C7,G7,100,2,2),4)</f>
        <v>6.83E-2</v>
      </c>
      <c r="I7" s="343">
        <f>ROUND(+H7*F7,0)</f>
        <v>6260833</v>
      </c>
      <c r="J7" s="343">
        <v>200000000</v>
      </c>
      <c r="K7" s="343">
        <v>200000000</v>
      </c>
      <c r="L7" s="343">
        <v>200000000</v>
      </c>
      <c r="M7" s="343">
        <v>200000000</v>
      </c>
      <c r="N7" s="343">
        <v>200000000</v>
      </c>
      <c r="O7" s="343">
        <v>200000000</v>
      </c>
      <c r="P7" s="343"/>
      <c r="Q7" s="343"/>
      <c r="R7" s="343"/>
      <c r="S7" s="343">
        <v>0</v>
      </c>
      <c r="T7" s="343"/>
      <c r="U7" s="343"/>
      <c r="V7" s="343"/>
      <c r="W7" s="343"/>
      <c r="X7" s="343">
        <f t="shared" ref="X7:X24" si="1">H7*S7</f>
        <v>0</v>
      </c>
    </row>
    <row r="8" spans="1:25" s="28" customFormat="1">
      <c r="A8" s="335">
        <v>7</v>
      </c>
      <c r="B8" s="340" t="s">
        <v>21</v>
      </c>
      <c r="C8" s="341">
        <v>7.1499999999999994E-2</v>
      </c>
      <c r="D8" s="342">
        <v>35053</v>
      </c>
      <c r="E8" s="342">
        <v>46010</v>
      </c>
      <c r="F8" s="343">
        <f t="shared" ref="F8:F24" si="2">ROUND(((J8+V8)+(SUM(K8:U8)*2))/24,0)</f>
        <v>15000000</v>
      </c>
      <c r="G8" s="344">
        <v>99.211911999999998</v>
      </c>
      <c r="H8" s="345">
        <f t="shared" si="0"/>
        <v>7.2099999999999997E-2</v>
      </c>
      <c r="I8" s="343">
        <f t="shared" ref="I8:I11" si="3">ROUND(+H8*F8,0)</f>
        <v>1081500</v>
      </c>
      <c r="J8" s="343">
        <v>15000000</v>
      </c>
      <c r="K8" s="343">
        <v>15000000</v>
      </c>
      <c r="L8" s="343">
        <v>15000000</v>
      </c>
      <c r="M8" s="343">
        <v>15000000</v>
      </c>
      <c r="N8" s="343">
        <v>15000000</v>
      </c>
      <c r="O8" s="343">
        <v>15000000</v>
      </c>
      <c r="P8" s="343">
        <v>15000000</v>
      </c>
      <c r="Q8" s="343">
        <v>15000000</v>
      </c>
      <c r="R8" s="343">
        <v>15000000</v>
      </c>
      <c r="S8" s="343">
        <v>15000000</v>
      </c>
      <c r="T8" s="343">
        <v>15000000</v>
      </c>
      <c r="U8" s="343">
        <v>15000000</v>
      </c>
      <c r="V8" s="343">
        <v>15000000</v>
      </c>
      <c r="W8" s="343"/>
      <c r="X8" s="343">
        <f t="shared" si="1"/>
        <v>1081500</v>
      </c>
      <c r="Y8" s="27"/>
    </row>
    <row r="9" spans="1:25" s="28" customFormat="1">
      <c r="A9" s="339">
        <v>8</v>
      </c>
      <c r="B9" s="340" t="s">
        <v>21</v>
      </c>
      <c r="C9" s="341">
        <v>7.1999999999999995E-2</v>
      </c>
      <c r="D9" s="342">
        <v>35054</v>
      </c>
      <c r="E9" s="342">
        <v>46013</v>
      </c>
      <c r="F9" s="343">
        <f t="shared" si="2"/>
        <v>2000000</v>
      </c>
      <c r="G9" s="344">
        <v>99.211600000000004</v>
      </c>
      <c r="H9" s="345">
        <f t="shared" si="0"/>
        <v>7.2599999999999998E-2</v>
      </c>
      <c r="I9" s="343">
        <f t="shared" si="3"/>
        <v>145200</v>
      </c>
      <c r="J9" s="343">
        <v>2000000</v>
      </c>
      <c r="K9" s="343">
        <v>2000000</v>
      </c>
      <c r="L9" s="343">
        <v>2000000</v>
      </c>
      <c r="M9" s="343">
        <v>2000000</v>
      </c>
      <c r="N9" s="343">
        <v>2000000</v>
      </c>
      <c r="O9" s="343">
        <v>2000000</v>
      </c>
      <c r="P9" s="343">
        <v>2000000</v>
      </c>
      <c r="Q9" s="343">
        <v>2000000</v>
      </c>
      <c r="R9" s="343">
        <v>2000000</v>
      </c>
      <c r="S9" s="343">
        <v>2000000</v>
      </c>
      <c r="T9" s="343">
        <v>2000000</v>
      </c>
      <c r="U9" s="343">
        <v>2000000</v>
      </c>
      <c r="V9" s="343">
        <v>2000000</v>
      </c>
      <c r="W9" s="343"/>
      <c r="X9" s="343">
        <f t="shared" si="1"/>
        <v>145200</v>
      </c>
    </row>
    <row r="10" spans="1:25" s="28" customFormat="1">
      <c r="A10" s="335">
        <v>9</v>
      </c>
      <c r="B10" s="340" t="s">
        <v>19</v>
      </c>
      <c r="C10" s="341">
        <v>7.0199999999999999E-2</v>
      </c>
      <c r="D10" s="342">
        <v>35786</v>
      </c>
      <c r="E10" s="342">
        <v>46722</v>
      </c>
      <c r="F10" s="343">
        <f t="shared" si="2"/>
        <v>300000000</v>
      </c>
      <c r="G10" s="344">
        <v>98.985735776666658</v>
      </c>
      <c r="H10" s="345">
        <f t="shared" si="0"/>
        <v>7.0999999999999994E-2</v>
      </c>
      <c r="I10" s="343">
        <f t="shared" si="3"/>
        <v>21300000</v>
      </c>
      <c r="J10" s="343">
        <v>300000000</v>
      </c>
      <c r="K10" s="343">
        <v>300000000</v>
      </c>
      <c r="L10" s="343">
        <v>300000000</v>
      </c>
      <c r="M10" s="343">
        <v>300000000</v>
      </c>
      <c r="N10" s="343">
        <v>300000000</v>
      </c>
      <c r="O10" s="343">
        <v>300000000</v>
      </c>
      <c r="P10" s="343">
        <v>300000000</v>
      </c>
      <c r="Q10" s="343">
        <v>300000000</v>
      </c>
      <c r="R10" s="343">
        <v>300000000</v>
      </c>
      <c r="S10" s="343">
        <v>300000000</v>
      </c>
      <c r="T10" s="343">
        <v>300000000</v>
      </c>
      <c r="U10" s="343">
        <v>300000000</v>
      </c>
      <c r="V10" s="343">
        <v>300000000</v>
      </c>
      <c r="W10" s="343"/>
      <c r="X10" s="343">
        <f t="shared" si="1"/>
        <v>21299999.999999996</v>
      </c>
    </row>
    <row r="11" spans="1:25">
      <c r="A11" s="339">
        <v>10</v>
      </c>
      <c r="B11" s="340" t="s">
        <v>20</v>
      </c>
      <c r="C11" s="341">
        <v>7.0000000000000007E-2</v>
      </c>
      <c r="D11" s="342">
        <v>36228</v>
      </c>
      <c r="E11" s="342">
        <v>47186</v>
      </c>
      <c r="F11" s="343">
        <f t="shared" si="2"/>
        <v>100000000</v>
      </c>
      <c r="G11" s="344">
        <v>99.042870549999989</v>
      </c>
      <c r="H11" s="345">
        <f t="shared" si="0"/>
        <v>7.0800000000000002E-2</v>
      </c>
      <c r="I11" s="343">
        <f t="shared" si="3"/>
        <v>7080000</v>
      </c>
      <c r="J11" s="343">
        <v>100000000</v>
      </c>
      <c r="K11" s="343">
        <v>100000000</v>
      </c>
      <c r="L11" s="343">
        <v>100000000</v>
      </c>
      <c r="M11" s="343">
        <v>100000000</v>
      </c>
      <c r="N11" s="343">
        <v>100000000</v>
      </c>
      <c r="O11" s="343">
        <v>100000000</v>
      </c>
      <c r="P11" s="343">
        <v>100000000</v>
      </c>
      <c r="Q11" s="343">
        <v>100000000</v>
      </c>
      <c r="R11" s="343">
        <v>100000000</v>
      </c>
      <c r="S11" s="343">
        <v>100000000</v>
      </c>
      <c r="T11" s="343">
        <v>100000000</v>
      </c>
      <c r="U11" s="343">
        <v>100000000</v>
      </c>
      <c r="V11" s="343">
        <v>100000000</v>
      </c>
      <c r="W11" s="343"/>
      <c r="X11" s="343">
        <f t="shared" si="1"/>
        <v>7080000</v>
      </c>
      <c r="Y11" s="28"/>
    </row>
    <row r="12" spans="1:25">
      <c r="A12" s="335">
        <v>11</v>
      </c>
      <c r="B12" s="346" t="s">
        <v>22</v>
      </c>
      <c r="C12" s="341">
        <v>3.9E-2</v>
      </c>
      <c r="D12" s="347">
        <v>41417</v>
      </c>
      <c r="E12" s="348">
        <v>47908</v>
      </c>
      <c r="F12" s="343">
        <f t="shared" si="2"/>
        <v>138460000</v>
      </c>
      <c r="G12" s="344">
        <v>98.939099999999996</v>
      </c>
      <c r="H12" s="345">
        <f t="shared" ref="H12:H25" si="4">ROUND(YIELD(D12,E12,C12,G12,100,2,2),4)</f>
        <v>3.9800000000000002E-2</v>
      </c>
      <c r="I12" s="343">
        <f t="shared" ref="I12:I25" si="5">ROUND(+H12*F12,0)</f>
        <v>5510708</v>
      </c>
      <c r="J12" s="343">
        <v>138460000</v>
      </c>
      <c r="K12" s="343">
        <v>138460000</v>
      </c>
      <c r="L12" s="343">
        <v>138460000</v>
      </c>
      <c r="M12" s="343">
        <v>138460000</v>
      </c>
      <c r="N12" s="343">
        <v>138460000</v>
      </c>
      <c r="O12" s="343">
        <v>138460000</v>
      </c>
      <c r="P12" s="343">
        <v>138460000</v>
      </c>
      <c r="Q12" s="343">
        <v>138460000</v>
      </c>
      <c r="R12" s="343">
        <v>138460000</v>
      </c>
      <c r="S12" s="343">
        <v>138460000</v>
      </c>
      <c r="T12" s="343">
        <v>138460000</v>
      </c>
      <c r="U12" s="343">
        <v>138460000</v>
      </c>
      <c r="V12" s="343">
        <v>138460000</v>
      </c>
      <c r="W12" s="343"/>
      <c r="X12" s="343">
        <f t="shared" si="1"/>
        <v>5510708</v>
      </c>
    </row>
    <row r="13" spans="1:25">
      <c r="A13" s="339">
        <v>12</v>
      </c>
      <c r="B13" s="346" t="s">
        <v>22</v>
      </c>
      <c r="C13" s="341">
        <v>0.04</v>
      </c>
      <c r="D13" s="347">
        <v>41417</v>
      </c>
      <c r="E13" s="348">
        <v>47908</v>
      </c>
      <c r="F13" s="343">
        <f t="shared" si="2"/>
        <v>23400000</v>
      </c>
      <c r="G13" s="344">
        <v>98.939099999999996</v>
      </c>
      <c r="H13" s="345">
        <f t="shared" si="4"/>
        <v>4.0800000000000003E-2</v>
      </c>
      <c r="I13" s="343">
        <f t="shared" si="5"/>
        <v>954720</v>
      </c>
      <c r="J13" s="343">
        <v>23400000</v>
      </c>
      <c r="K13" s="343">
        <v>23400000</v>
      </c>
      <c r="L13" s="343">
        <v>23400000</v>
      </c>
      <c r="M13" s="343">
        <v>23400000</v>
      </c>
      <c r="N13" s="343">
        <v>23400000</v>
      </c>
      <c r="O13" s="343">
        <v>23400000</v>
      </c>
      <c r="P13" s="343">
        <v>23400000</v>
      </c>
      <c r="Q13" s="343">
        <v>23400000</v>
      </c>
      <c r="R13" s="343">
        <v>23400000</v>
      </c>
      <c r="S13" s="343">
        <v>23400000</v>
      </c>
      <c r="T13" s="343">
        <v>23400000</v>
      </c>
      <c r="U13" s="343">
        <v>23400000</v>
      </c>
      <c r="V13" s="343">
        <v>23400000</v>
      </c>
      <c r="W13" s="343"/>
      <c r="X13" s="343">
        <f t="shared" si="1"/>
        <v>954720.00000000012</v>
      </c>
    </row>
    <row r="14" spans="1:25">
      <c r="A14" s="335">
        <v>13</v>
      </c>
      <c r="B14" s="340" t="s">
        <v>84</v>
      </c>
      <c r="C14" s="341">
        <v>5.4829999999999997E-2</v>
      </c>
      <c r="D14" s="342">
        <v>38499</v>
      </c>
      <c r="E14" s="342">
        <v>49461</v>
      </c>
      <c r="F14" s="343">
        <f t="shared" si="2"/>
        <v>250000000</v>
      </c>
      <c r="G14" s="344">
        <v>84.886606835999999</v>
      </c>
      <c r="H14" s="345">
        <f t="shared" si="4"/>
        <v>6.6500000000000004E-2</v>
      </c>
      <c r="I14" s="154">
        <f t="shared" si="5"/>
        <v>16625000</v>
      </c>
      <c r="J14" s="154">
        <v>250000000</v>
      </c>
      <c r="K14" s="154">
        <v>250000000</v>
      </c>
      <c r="L14" s="154">
        <v>250000000</v>
      </c>
      <c r="M14" s="154">
        <v>250000000</v>
      </c>
      <c r="N14" s="154">
        <v>250000000</v>
      </c>
      <c r="O14" s="154">
        <v>250000000</v>
      </c>
      <c r="P14" s="154">
        <v>250000000</v>
      </c>
      <c r="Q14" s="154">
        <v>250000000</v>
      </c>
      <c r="R14" s="154">
        <v>250000000</v>
      </c>
      <c r="S14" s="154">
        <v>250000000</v>
      </c>
      <c r="T14" s="154">
        <v>250000000</v>
      </c>
      <c r="U14" s="154">
        <v>250000000</v>
      </c>
      <c r="V14" s="154">
        <v>250000000</v>
      </c>
      <c r="W14" s="154"/>
      <c r="X14" s="343">
        <f t="shared" si="1"/>
        <v>16625000</v>
      </c>
    </row>
    <row r="15" spans="1:25">
      <c r="A15" s="339">
        <v>14</v>
      </c>
      <c r="B15" s="340" t="s">
        <v>84</v>
      </c>
      <c r="C15" s="341">
        <v>6.7239999999999994E-2</v>
      </c>
      <c r="D15" s="342">
        <v>38898</v>
      </c>
      <c r="E15" s="342">
        <v>49841</v>
      </c>
      <c r="F15" s="343">
        <f t="shared" si="2"/>
        <v>250000000</v>
      </c>
      <c r="G15" s="344">
        <v>107.515271756</v>
      </c>
      <c r="H15" s="345">
        <f t="shared" si="4"/>
        <v>6.1699999999999998E-2</v>
      </c>
      <c r="I15" s="154">
        <f t="shared" si="5"/>
        <v>15425000</v>
      </c>
      <c r="J15" s="154">
        <v>250000000</v>
      </c>
      <c r="K15" s="154">
        <v>250000000</v>
      </c>
      <c r="L15" s="154">
        <v>250000000</v>
      </c>
      <c r="M15" s="154">
        <v>250000000</v>
      </c>
      <c r="N15" s="154">
        <v>250000000</v>
      </c>
      <c r="O15" s="154">
        <v>250000000</v>
      </c>
      <c r="P15" s="154">
        <v>250000000</v>
      </c>
      <c r="Q15" s="154">
        <v>250000000</v>
      </c>
      <c r="R15" s="154">
        <v>250000000</v>
      </c>
      <c r="S15" s="154">
        <v>250000000</v>
      </c>
      <c r="T15" s="154">
        <v>250000000</v>
      </c>
      <c r="U15" s="154">
        <v>250000000</v>
      </c>
      <c r="V15" s="154">
        <v>250000000</v>
      </c>
      <c r="W15" s="154"/>
      <c r="X15" s="343">
        <f t="shared" si="1"/>
        <v>15425000</v>
      </c>
    </row>
    <row r="16" spans="1:25">
      <c r="A16" s="335">
        <v>15</v>
      </c>
      <c r="B16" s="340" t="s">
        <v>84</v>
      </c>
      <c r="C16" s="341">
        <v>6.2740000000000004E-2</v>
      </c>
      <c r="D16" s="342">
        <v>38978</v>
      </c>
      <c r="E16" s="342">
        <v>50114</v>
      </c>
      <c r="F16" s="343">
        <f t="shared" si="2"/>
        <v>300000000</v>
      </c>
      <c r="G16" s="344">
        <v>98.812700000000007</v>
      </c>
      <c r="H16" s="345">
        <f t="shared" si="4"/>
        <v>6.3600000000000004E-2</v>
      </c>
      <c r="I16" s="154">
        <f t="shared" si="5"/>
        <v>19080000</v>
      </c>
      <c r="J16" s="154">
        <v>300000000</v>
      </c>
      <c r="K16" s="154">
        <v>300000000</v>
      </c>
      <c r="L16" s="154">
        <v>300000000</v>
      </c>
      <c r="M16" s="154">
        <v>300000000</v>
      </c>
      <c r="N16" s="154">
        <v>300000000</v>
      </c>
      <c r="O16" s="154">
        <v>300000000</v>
      </c>
      <c r="P16" s="154">
        <v>300000000</v>
      </c>
      <c r="Q16" s="154">
        <v>300000000</v>
      </c>
      <c r="R16" s="154">
        <v>300000000</v>
      </c>
      <c r="S16" s="154">
        <v>300000000</v>
      </c>
      <c r="T16" s="154">
        <v>300000000</v>
      </c>
      <c r="U16" s="154">
        <v>300000000</v>
      </c>
      <c r="V16" s="154">
        <v>300000000</v>
      </c>
      <c r="W16" s="154"/>
      <c r="X16" s="343">
        <f t="shared" si="1"/>
        <v>19080000</v>
      </c>
    </row>
    <row r="17" spans="1:25">
      <c r="A17" s="339">
        <v>16</v>
      </c>
      <c r="B17" s="340" t="s">
        <v>84</v>
      </c>
      <c r="C17" s="341">
        <v>5.7570000000000003E-2</v>
      </c>
      <c r="D17" s="342">
        <v>40067</v>
      </c>
      <c r="E17" s="342">
        <v>51058</v>
      </c>
      <c r="F17" s="343">
        <f t="shared" si="2"/>
        <v>350000000</v>
      </c>
      <c r="G17" s="344">
        <v>98.983599999999996</v>
      </c>
      <c r="H17" s="345">
        <f t="shared" si="4"/>
        <v>5.8299999999999998E-2</v>
      </c>
      <c r="I17" s="154">
        <f t="shared" si="5"/>
        <v>20405000</v>
      </c>
      <c r="J17" s="154">
        <v>350000000</v>
      </c>
      <c r="K17" s="154">
        <v>350000000</v>
      </c>
      <c r="L17" s="154">
        <v>350000000</v>
      </c>
      <c r="M17" s="154">
        <v>350000000</v>
      </c>
      <c r="N17" s="154">
        <v>350000000</v>
      </c>
      <c r="O17" s="154">
        <v>350000000</v>
      </c>
      <c r="P17" s="154">
        <v>350000000</v>
      </c>
      <c r="Q17" s="154">
        <v>350000000</v>
      </c>
      <c r="R17" s="154">
        <v>350000000</v>
      </c>
      <c r="S17" s="154">
        <v>350000000</v>
      </c>
      <c r="T17" s="154">
        <v>350000000</v>
      </c>
      <c r="U17" s="154">
        <v>350000000</v>
      </c>
      <c r="V17" s="154">
        <v>350000000</v>
      </c>
      <c r="W17" s="154"/>
      <c r="X17" s="343">
        <f t="shared" si="1"/>
        <v>20405000</v>
      </c>
    </row>
    <row r="18" spans="1:25">
      <c r="A18" s="335">
        <v>17</v>
      </c>
      <c r="B18" s="340" t="s">
        <v>84</v>
      </c>
      <c r="C18" s="341">
        <v>5.7950000000000002E-2</v>
      </c>
      <c r="D18" s="342">
        <v>40245</v>
      </c>
      <c r="E18" s="342">
        <v>51210</v>
      </c>
      <c r="F18" s="343">
        <f t="shared" si="2"/>
        <v>325000000</v>
      </c>
      <c r="G18" s="344">
        <v>98.958799999999997</v>
      </c>
      <c r="H18" s="345">
        <f t="shared" si="4"/>
        <v>5.8700000000000002E-2</v>
      </c>
      <c r="I18" s="154">
        <f t="shared" si="5"/>
        <v>19077500</v>
      </c>
      <c r="J18" s="154">
        <v>325000000</v>
      </c>
      <c r="K18" s="154">
        <v>325000000</v>
      </c>
      <c r="L18" s="154">
        <v>325000000</v>
      </c>
      <c r="M18" s="154">
        <v>325000000</v>
      </c>
      <c r="N18" s="154">
        <v>325000000</v>
      </c>
      <c r="O18" s="154">
        <v>325000000</v>
      </c>
      <c r="P18" s="154">
        <v>325000000</v>
      </c>
      <c r="Q18" s="154">
        <v>325000000</v>
      </c>
      <c r="R18" s="154">
        <v>325000000</v>
      </c>
      <c r="S18" s="154">
        <v>325000000</v>
      </c>
      <c r="T18" s="154">
        <v>325000000</v>
      </c>
      <c r="U18" s="154">
        <v>325000000</v>
      </c>
      <c r="V18" s="154">
        <v>325000000</v>
      </c>
      <c r="W18" s="154"/>
      <c r="X18" s="343">
        <f t="shared" si="1"/>
        <v>19077500</v>
      </c>
    </row>
    <row r="19" spans="1:25">
      <c r="A19" s="339">
        <v>18</v>
      </c>
      <c r="B19" s="340" t="s">
        <v>84</v>
      </c>
      <c r="C19" s="341">
        <v>5.7639999999999997E-2</v>
      </c>
      <c r="D19" s="342">
        <v>40358</v>
      </c>
      <c r="E19" s="342">
        <v>51332</v>
      </c>
      <c r="F19" s="343">
        <f t="shared" si="2"/>
        <v>250000000</v>
      </c>
      <c r="G19" s="344">
        <v>98.965199999999996</v>
      </c>
      <c r="H19" s="345">
        <f t="shared" si="4"/>
        <v>5.8400000000000001E-2</v>
      </c>
      <c r="I19" s="154">
        <f t="shared" si="5"/>
        <v>14600000</v>
      </c>
      <c r="J19" s="154">
        <v>250000000</v>
      </c>
      <c r="K19" s="154">
        <v>250000000</v>
      </c>
      <c r="L19" s="154">
        <v>250000000</v>
      </c>
      <c r="M19" s="154">
        <v>250000000</v>
      </c>
      <c r="N19" s="154">
        <v>250000000</v>
      </c>
      <c r="O19" s="154">
        <v>250000000</v>
      </c>
      <c r="P19" s="154">
        <v>250000000</v>
      </c>
      <c r="Q19" s="154">
        <v>250000000</v>
      </c>
      <c r="R19" s="154">
        <v>250000000</v>
      </c>
      <c r="S19" s="154">
        <v>250000000</v>
      </c>
      <c r="T19" s="154">
        <v>250000000</v>
      </c>
      <c r="U19" s="154">
        <v>250000000</v>
      </c>
      <c r="V19" s="154">
        <v>250000000</v>
      </c>
      <c r="W19" s="154"/>
      <c r="X19" s="343">
        <f t="shared" si="1"/>
        <v>14600000</v>
      </c>
    </row>
    <row r="20" spans="1:25">
      <c r="A20" s="335">
        <v>19</v>
      </c>
      <c r="B20" s="340" t="s">
        <v>84</v>
      </c>
      <c r="C20" s="341">
        <v>5.638E-2</v>
      </c>
      <c r="D20" s="342">
        <v>40627</v>
      </c>
      <c r="E20" s="342">
        <v>51606</v>
      </c>
      <c r="F20" s="343">
        <f t="shared" si="2"/>
        <v>300000000</v>
      </c>
      <c r="G20" s="344">
        <v>98.971000000000004</v>
      </c>
      <c r="H20" s="345">
        <f t="shared" si="4"/>
        <v>5.7099999999999998E-2</v>
      </c>
      <c r="I20" s="154">
        <f t="shared" si="5"/>
        <v>17130000</v>
      </c>
      <c r="J20" s="154">
        <v>300000000</v>
      </c>
      <c r="K20" s="154">
        <v>300000000</v>
      </c>
      <c r="L20" s="154">
        <v>300000000</v>
      </c>
      <c r="M20" s="154">
        <v>300000000</v>
      </c>
      <c r="N20" s="154">
        <v>300000000</v>
      </c>
      <c r="O20" s="154">
        <v>300000000</v>
      </c>
      <c r="P20" s="154">
        <v>300000000</v>
      </c>
      <c r="Q20" s="154">
        <v>300000000</v>
      </c>
      <c r="R20" s="154">
        <v>300000000</v>
      </c>
      <c r="S20" s="154">
        <v>300000000</v>
      </c>
      <c r="T20" s="154">
        <v>300000000</v>
      </c>
      <c r="U20" s="154">
        <v>300000000</v>
      </c>
      <c r="V20" s="154">
        <v>300000000</v>
      </c>
      <c r="W20" s="154"/>
      <c r="X20" s="343">
        <f t="shared" si="1"/>
        <v>17130000</v>
      </c>
    </row>
    <row r="21" spans="1:25">
      <c r="A21" s="339">
        <v>20</v>
      </c>
      <c r="B21" s="340" t="s">
        <v>84</v>
      </c>
      <c r="C21" s="341">
        <v>4.4339999999999997E-2</v>
      </c>
      <c r="D21" s="342">
        <v>40863</v>
      </c>
      <c r="E21" s="342">
        <v>51820</v>
      </c>
      <c r="F21" s="343">
        <f t="shared" si="2"/>
        <v>250000000</v>
      </c>
      <c r="G21" s="344">
        <v>98.962999999999994</v>
      </c>
      <c r="H21" s="345">
        <f t="shared" si="4"/>
        <v>4.4999999999999998E-2</v>
      </c>
      <c r="I21" s="154">
        <f t="shared" si="5"/>
        <v>11250000</v>
      </c>
      <c r="J21" s="154">
        <v>250000000</v>
      </c>
      <c r="K21" s="154">
        <v>250000000</v>
      </c>
      <c r="L21" s="154">
        <v>250000000</v>
      </c>
      <c r="M21" s="154">
        <v>250000000</v>
      </c>
      <c r="N21" s="154">
        <v>250000000</v>
      </c>
      <c r="O21" s="154">
        <v>250000000</v>
      </c>
      <c r="P21" s="154">
        <v>250000000</v>
      </c>
      <c r="Q21" s="154">
        <v>250000000</v>
      </c>
      <c r="R21" s="154">
        <v>250000000</v>
      </c>
      <c r="S21" s="154">
        <v>250000000</v>
      </c>
      <c r="T21" s="154">
        <v>250000000</v>
      </c>
      <c r="U21" s="154">
        <v>250000000</v>
      </c>
      <c r="V21" s="154">
        <v>250000000</v>
      </c>
      <c r="W21" s="154"/>
      <c r="X21" s="343">
        <f t="shared" si="1"/>
        <v>11250000</v>
      </c>
    </row>
    <row r="22" spans="1:25">
      <c r="A22" s="335">
        <v>21</v>
      </c>
      <c r="B22" s="340" t="s">
        <v>84</v>
      </c>
      <c r="C22" s="341">
        <v>4.7E-2</v>
      </c>
      <c r="D22" s="342">
        <v>40869</v>
      </c>
      <c r="E22" s="342">
        <v>55472</v>
      </c>
      <c r="F22" s="343">
        <f t="shared" si="2"/>
        <v>45000000</v>
      </c>
      <c r="G22" s="344">
        <v>98.863900000000001</v>
      </c>
      <c r="H22" s="345">
        <f t="shared" si="4"/>
        <v>4.7600000000000003E-2</v>
      </c>
      <c r="I22" s="154">
        <f t="shared" si="5"/>
        <v>2142000</v>
      </c>
      <c r="J22" s="154">
        <v>45000000</v>
      </c>
      <c r="K22" s="154">
        <v>45000000</v>
      </c>
      <c r="L22" s="154">
        <v>45000000</v>
      </c>
      <c r="M22" s="154">
        <v>45000000</v>
      </c>
      <c r="N22" s="154">
        <v>45000000</v>
      </c>
      <c r="O22" s="154">
        <v>45000000</v>
      </c>
      <c r="P22" s="154">
        <v>45000000</v>
      </c>
      <c r="Q22" s="154">
        <v>45000000</v>
      </c>
      <c r="R22" s="154">
        <v>45000000</v>
      </c>
      <c r="S22" s="154">
        <v>45000000</v>
      </c>
      <c r="T22" s="154">
        <v>45000000</v>
      </c>
      <c r="U22" s="154">
        <v>45000000</v>
      </c>
      <c r="V22" s="154">
        <v>45000000</v>
      </c>
      <c r="W22" s="154"/>
      <c r="X22" s="343">
        <f t="shared" si="1"/>
        <v>2142000</v>
      </c>
    </row>
    <row r="23" spans="1:25" s="72" customFormat="1">
      <c r="A23" s="349">
        <v>22</v>
      </c>
      <c r="B23" s="350" t="s">
        <v>114</v>
      </c>
      <c r="C23" s="351">
        <v>6.9739999999999996E-2</v>
      </c>
      <c r="D23" s="352">
        <v>39237</v>
      </c>
      <c r="E23" s="352">
        <v>43217</v>
      </c>
      <c r="F23" s="343">
        <f t="shared" si="2"/>
        <v>56796083</v>
      </c>
      <c r="G23" s="344">
        <v>98.226200000000006</v>
      </c>
      <c r="H23" s="353">
        <f>ROUND(YIELD(D23,E23,C23,G23,100,2,2),4)</f>
        <v>7.2099999999999997E-2</v>
      </c>
      <c r="I23" s="154">
        <f>ROUND(((0.0721*250000000/12)*6)+((250000000*0.0401063/360)*90)+((250000000*0.0453625/360)*19)+((56553000*0.0453625/360)*38),0)</f>
        <v>12388467</v>
      </c>
      <c r="J23" s="343">
        <v>250000000</v>
      </c>
      <c r="K23" s="343">
        <v>250000000</v>
      </c>
      <c r="L23" s="343">
        <v>250000000</v>
      </c>
      <c r="M23" s="343">
        <v>56553000</v>
      </c>
      <c r="N23" s="343"/>
      <c r="O23" s="343"/>
      <c r="P23" s="343"/>
      <c r="Q23" s="343">
        <v>0</v>
      </c>
      <c r="R23" s="343">
        <v>0</v>
      </c>
      <c r="S23" s="343">
        <v>0</v>
      </c>
      <c r="T23" s="343"/>
      <c r="U23" s="343">
        <v>0</v>
      </c>
      <c r="V23" s="343">
        <v>0</v>
      </c>
      <c r="W23" s="343"/>
      <c r="X23" s="343">
        <f t="shared" si="1"/>
        <v>0</v>
      </c>
    </row>
    <row r="24" spans="1:25">
      <c r="A24" s="335">
        <v>23</v>
      </c>
      <c r="B24" s="340" t="s">
        <v>84</v>
      </c>
      <c r="C24" s="341">
        <v>4.2999999999999997E-2</v>
      </c>
      <c r="D24" s="342">
        <v>42150</v>
      </c>
      <c r="E24" s="342">
        <v>53102</v>
      </c>
      <c r="F24" s="343">
        <f t="shared" si="2"/>
        <v>425000000</v>
      </c>
      <c r="G24" s="344">
        <v>98.483019762352939</v>
      </c>
      <c r="H24" s="345">
        <f t="shared" si="4"/>
        <v>4.3900000000000002E-2</v>
      </c>
      <c r="I24" s="154">
        <f t="shared" si="5"/>
        <v>18657500</v>
      </c>
      <c r="J24" s="343">
        <v>425000000</v>
      </c>
      <c r="K24" s="343">
        <v>425000000</v>
      </c>
      <c r="L24" s="343">
        <v>425000000</v>
      </c>
      <c r="M24" s="343">
        <v>425000000</v>
      </c>
      <c r="N24" s="343">
        <v>425000000</v>
      </c>
      <c r="O24" s="343">
        <v>425000000</v>
      </c>
      <c r="P24" s="343">
        <v>425000000</v>
      </c>
      <c r="Q24" s="343">
        <v>425000000</v>
      </c>
      <c r="R24" s="343">
        <v>425000000</v>
      </c>
      <c r="S24" s="343">
        <v>425000000</v>
      </c>
      <c r="T24" s="343">
        <v>425000000</v>
      </c>
      <c r="U24" s="343">
        <v>425000000</v>
      </c>
      <c r="V24" s="343">
        <v>425000000</v>
      </c>
      <c r="W24" s="343"/>
      <c r="X24" s="343">
        <f t="shared" si="1"/>
        <v>18657500</v>
      </c>
    </row>
    <row r="25" spans="1:25">
      <c r="A25" s="349">
        <v>24</v>
      </c>
      <c r="B25" s="340" t="s">
        <v>84</v>
      </c>
      <c r="C25" s="341">
        <v>4.2229999999999997E-2</v>
      </c>
      <c r="D25" s="342">
        <v>43265</v>
      </c>
      <c r="E25" s="342">
        <v>54224</v>
      </c>
      <c r="F25" s="343">
        <f t="shared" ref="F25" si="6">ROUND(((J25+V25)+(SUM(K25:U25)*2))/24,0)</f>
        <v>325000000</v>
      </c>
      <c r="G25" s="344">
        <v>98.886799999999994</v>
      </c>
      <c r="H25" s="345">
        <f t="shared" si="4"/>
        <v>4.2900000000000001E-2</v>
      </c>
      <c r="I25" s="154">
        <f t="shared" si="5"/>
        <v>13942500</v>
      </c>
      <c r="J25" s="343"/>
      <c r="K25" s="343"/>
      <c r="L25" s="343"/>
      <c r="M25" s="343"/>
      <c r="N25" s="343"/>
      <c r="O25" s="343"/>
      <c r="P25" s="343">
        <v>600000000</v>
      </c>
      <c r="Q25" s="343">
        <v>600000000</v>
      </c>
      <c r="R25" s="343">
        <v>600000000</v>
      </c>
      <c r="S25" s="343">
        <v>600000000</v>
      </c>
      <c r="T25" s="343">
        <v>600000000</v>
      </c>
      <c r="U25" s="343">
        <v>600000000</v>
      </c>
      <c r="V25" s="343">
        <v>600000000</v>
      </c>
      <c r="W25" s="343"/>
      <c r="X25" s="343">
        <f>H25*V25/360*16</f>
        <v>1144000</v>
      </c>
    </row>
    <row r="26" spans="1:25">
      <c r="A26" s="335">
        <v>25</v>
      </c>
      <c r="B26" s="340"/>
      <c r="C26" s="341"/>
      <c r="D26" s="342"/>
      <c r="E26" s="342"/>
      <c r="F26" s="343"/>
      <c r="G26" s="354"/>
      <c r="H26" s="345"/>
      <c r="I26" s="154"/>
      <c r="J26" s="343"/>
      <c r="K26" s="343"/>
      <c r="L26" s="343"/>
      <c r="M26" s="343"/>
      <c r="N26" s="343"/>
      <c r="O26" s="343"/>
      <c r="P26" s="343"/>
      <c r="Q26" s="343"/>
      <c r="R26" s="343"/>
      <c r="S26" s="343"/>
      <c r="T26" s="343"/>
      <c r="U26" s="343"/>
      <c r="V26" s="343"/>
      <c r="W26" s="343"/>
      <c r="X26" s="355">
        <f>SUM(X7:X25)</f>
        <v>191608128</v>
      </c>
    </row>
    <row r="27" spans="1:25" ht="13.5" thickBot="1">
      <c r="A27" s="349">
        <v>26</v>
      </c>
      <c r="B27" s="340"/>
      <c r="C27" s="356" t="s">
        <v>104</v>
      </c>
      <c r="D27" s="342"/>
      <c r="E27" s="342"/>
      <c r="F27" s="343"/>
      <c r="G27" s="357"/>
      <c r="H27" s="345"/>
      <c r="I27" s="358">
        <f>'Pg 7 Reacquired Debt'!I31</f>
        <v>2133970.61</v>
      </c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54"/>
      <c r="X27" s="355">
        <f>I27</f>
        <v>2133970.61</v>
      </c>
    </row>
    <row r="28" spans="1:25" ht="13.5" thickBot="1">
      <c r="A28" s="335">
        <v>27</v>
      </c>
      <c r="B28" s="356" t="s">
        <v>117</v>
      </c>
      <c r="C28" s="341"/>
      <c r="D28" s="342"/>
      <c r="E28" s="342"/>
      <c r="F28" s="358">
        <f>SUM(F7:F27)</f>
        <v>3797322750</v>
      </c>
      <c r="G28" s="359"/>
      <c r="H28" s="371">
        <f>ROUND(+I28/F28,4)</f>
        <v>5.9299999999999999E-2</v>
      </c>
      <c r="I28" s="360">
        <f t="shared" ref="I28:V28" si="7">SUM(I7:I27)</f>
        <v>225189898.61000001</v>
      </c>
      <c r="J28" s="360">
        <f t="shared" si="7"/>
        <v>3773860000</v>
      </c>
      <c r="K28" s="360">
        <f t="shared" si="7"/>
        <v>3773860000</v>
      </c>
      <c r="L28" s="360">
        <f t="shared" si="7"/>
        <v>3773860000</v>
      </c>
      <c r="M28" s="360">
        <f t="shared" si="7"/>
        <v>3580413000</v>
      </c>
      <c r="N28" s="360">
        <f t="shared" si="7"/>
        <v>3523860000</v>
      </c>
      <c r="O28" s="360">
        <f t="shared" si="7"/>
        <v>3523860000</v>
      </c>
      <c r="P28" s="360">
        <f t="shared" si="7"/>
        <v>3923860000</v>
      </c>
      <c r="Q28" s="360">
        <f t="shared" si="7"/>
        <v>3923860000</v>
      </c>
      <c r="R28" s="360">
        <f t="shared" si="7"/>
        <v>3923860000</v>
      </c>
      <c r="S28" s="360">
        <f t="shared" si="7"/>
        <v>3923860000</v>
      </c>
      <c r="T28" s="360">
        <f t="shared" si="7"/>
        <v>3923860000</v>
      </c>
      <c r="U28" s="360">
        <f t="shared" si="7"/>
        <v>3923860000</v>
      </c>
      <c r="V28" s="360">
        <f t="shared" si="7"/>
        <v>3923860000</v>
      </c>
      <c r="W28" s="361"/>
      <c r="X28" s="360">
        <f>SUM(X26:X27)</f>
        <v>193742098.61000001</v>
      </c>
      <c r="Y28" s="371">
        <f>X28/S28</f>
        <v>4.9375385108031383E-2</v>
      </c>
    </row>
    <row r="29" spans="1:25" ht="13.5" thickBot="1">
      <c r="A29" s="349">
        <v>28</v>
      </c>
      <c r="B29" s="340"/>
      <c r="C29" s="341"/>
      <c r="D29" s="342"/>
      <c r="E29" s="342"/>
      <c r="F29" s="361"/>
      <c r="G29" s="357"/>
      <c r="H29" s="362"/>
      <c r="I29" s="361"/>
      <c r="J29" s="363"/>
      <c r="K29" s="363"/>
      <c r="L29" s="363"/>
      <c r="M29" s="363"/>
      <c r="N29" s="363"/>
      <c r="O29" s="363"/>
      <c r="P29" s="363"/>
      <c r="Q29" s="363"/>
      <c r="R29" s="363"/>
      <c r="S29" s="363"/>
      <c r="T29" s="363"/>
      <c r="U29" s="363"/>
      <c r="V29" s="363"/>
      <c r="W29" s="363"/>
      <c r="X29" s="364">
        <f>H29*S29</f>
        <v>0</v>
      </c>
    </row>
    <row r="30" spans="1:25" ht="13.5" thickBot="1">
      <c r="A30" s="335">
        <v>29</v>
      </c>
      <c r="B30" s="356" t="s">
        <v>184</v>
      </c>
      <c r="C30" s="341"/>
      <c r="D30" s="342"/>
      <c r="E30" s="342"/>
      <c r="F30" s="361">
        <f>F28</f>
        <v>3797322750</v>
      </c>
      <c r="G30" s="357"/>
      <c r="H30" s="371">
        <f>ROUND(+I30/F30,4)</f>
        <v>5.8700000000000002E-2</v>
      </c>
      <c r="I30" s="361">
        <f>SUM(I7:I25)</f>
        <v>223055928</v>
      </c>
      <c r="J30" s="363"/>
      <c r="K30" s="363"/>
      <c r="L30" s="363"/>
      <c r="M30" s="363"/>
      <c r="N30" s="363"/>
      <c r="O30" s="363"/>
      <c r="P30" s="363"/>
      <c r="Q30" s="363"/>
      <c r="R30" s="363"/>
      <c r="S30" s="363"/>
      <c r="T30" s="363"/>
      <c r="U30" s="363"/>
      <c r="V30" s="363"/>
      <c r="W30" s="363"/>
      <c r="X30" s="364"/>
    </row>
    <row r="31" spans="1:25">
      <c r="A31" s="349">
        <v>30</v>
      </c>
      <c r="B31" s="340"/>
      <c r="C31" s="341"/>
      <c r="D31" s="342"/>
      <c r="E31" s="342"/>
      <c r="F31" s="361"/>
      <c r="G31" s="357"/>
      <c r="H31" s="362"/>
      <c r="I31" s="361"/>
      <c r="J31" s="363"/>
      <c r="K31" s="363"/>
      <c r="L31" s="363"/>
      <c r="M31" s="363"/>
      <c r="N31" s="363"/>
      <c r="O31" s="363"/>
      <c r="P31" s="363"/>
      <c r="Q31" s="363"/>
      <c r="R31" s="363"/>
      <c r="S31" s="363"/>
      <c r="T31" s="363"/>
      <c r="U31" s="363"/>
      <c r="V31" s="363"/>
      <c r="W31" s="363"/>
      <c r="X31" s="364"/>
    </row>
    <row r="32" spans="1:25">
      <c r="A32" s="335">
        <v>31</v>
      </c>
      <c r="B32" s="340" t="s">
        <v>174</v>
      </c>
      <c r="C32" s="341"/>
      <c r="D32" s="342"/>
      <c r="E32" s="342"/>
      <c r="F32" s="361">
        <f>'Pg 3 STD Cost Rate'!C17</f>
        <v>208870471.23999998</v>
      </c>
      <c r="G32" s="357"/>
      <c r="H32" s="365">
        <f>ROUND(I32/F32,4)</f>
        <v>2.41E-2</v>
      </c>
      <c r="I32" s="361">
        <f>'Pg 3 STD Cost Rate'!E17</f>
        <v>5031285.53</v>
      </c>
      <c r="J32" s="363"/>
      <c r="K32" s="363"/>
      <c r="L32" s="363"/>
      <c r="M32" s="363"/>
      <c r="N32" s="363"/>
      <c r="O32" s="363"/>
      <c r="P32" s="363"/>
      <c r="Q32" s="363"/>
      <c r="R32" s="363"/>
      <c r="S32" s="363"/>
      <c r="T32" s="363"/>
      <c r="U32" s="363"/>
      <c r="V32" s="363"/>
      <c r="W32" s="363"/>
      <c r="X32" s="364"/>
    </row>
    <row r="33" spans="1:55">
      <c r="A33" s="349">
        <v>32</v>
      </c>
      <c r="B33" s="340"/>
      <c r="C33" s="341"/>
      <c r="D33" s="342"/>
      <c r="E33" s="342"/>
      <c r="F33" s="361"/>
      <c r="G33" s="357"/>
      <c r="H33" s="362"/>
      <c r="I33" s="361"/>
      <c r="J33" s="363"/>
      <c r="K33" s="363"/>
      <c r="L33" s="363"/>
      <c r="M33" s="363"/>
      <c r="N33" s="363"/>
      <c r="O33" s="363"/>
      <c r="P33" s="363"/>
      <c r="Q33" s="363"/>
      <c r="R33" s="363"/>
      <c r="S33" s="363"/>
      <c r="T33" s="363"/>
      <c r="U33" s="363"/>
      <c r="V33" s="363"/>
      <c r="W33" s="363"/>
      <c r="X33" s="364"/>
    </row>
    <row r="34" spans="1:55">
      <c r="A34" s="335">
        <v>33</v>
      </c>
      <c r="B34" s="366" t="s">
        <v>175</v>
      </c>
      <c r="C34" s="341"/>
      <c r="D34" s="342"/>
      <c r="E34" s="342"/>
      <c r="F34" s="361">
        <f>F32+F28</f>
        <v>4006193221.2399998</v>
      </c>
      <c r="G34" s="357"/>
      <c r="H34" s="365">
        <f>ROUND(I34/F34,4)</f>
        <v>5.6899999999999999E-2</v>
      </c>
      <c r="I34" s="361">
        <f>I32+I30</f>
        <v>228087213.53</v>
      </c>
      <c r="J34" s="363"/>
      <c r="K34" s="363"/>
      <c r="L34" s="363"/>
      <c r="M34" s="363"/>
      <c r="N34" s="363"/>
      <c r="O34" s="363"/>
      <c r="P34" s="363"/>
      <c r="Q34" s="363"/>
      <c r="R34" s="363"/>
      <c r="S34" s="363"/>
      <c r="T34" s="363"/>
      <c r="U34" s="363"/>
      <c r="V34" s="363"/>
      <c r="W34" s="363"/>
      <c r="X34" s="364"/>
    </row>
    <row r="35" spans="1:55">
      <c r="A35" s="349">
        <v>34</v>
      </c>
      <c r="B35" s="340"/>
      <c r="C35" s="341"/>
      <c r="D35" s="342"/>
      <c r="E35" s="342"/>
      <c r="F35" s="361"/>
      <c r="G35" s="357"/>
      <c r="H35" s="362"/>
      <c r="I35" s="361"/>
      <c r="J35" s="363"/>
      <c r="K35" s="363"/>
      <c r="L35" s="363"/>
      <c r="M35" s="363"/>
      <c r="N35" s="363"/>
      <c r="O35" s="363"/>
      <c r="P35" s="363"/>
      <c r="Q35" s="363"/>
      <c r="R35" s="363"/>
      <c r="S35" s="363"/>
      <c r="T35" s="363"/>
      <c r="U35" s="363"/>
      <c r="V35" s="363"/>
      <c r="W35" s="363"/>
      <c r="X35" s="364"/>
    </row>
    <row r="36" spans="1:55">
      <c r="A36" s="335">
        <v>35</v>
      </c>
      <c r="B36" s="367" t="s">
        <v>196</v>
      </c>
      <c r="C36" s="368"/>
      <c r="D36" s="368"/>
      <c r="E36" s="368"/>
      <c r="F36" s="368"/>
      <c r="G36" s="368"/>
      <c r="H36" s="368"/>
      <c r="I36" s="368"/>
      <c r="X36" s="361"/>
      <c r="Y36" s="362"/>
    </row>
    <row r="37" spans="1:55">
      <c r="A37" s="349">
        <v>36</v>
      </c>
      <c r="B37" s="367" t="s">
        <v>197</v>
      </c>
      <c r="C37" s="368"/>
      <c r="D37" s="368"/>
      <c r="E37" s="368"/>
      <c r="F37" s="368"/>
      <c r="G37" s="369"/>
      <c r="H37" s="368"/>
      <c r="I37" s="368"/>
    </row>
    <row r="38" spans="1:55">
      <c r="A38" s="339"/>
      <c r="B38" s="367"/>
      <c r="C38" s="368"/>
      <c r="D38" s="368"/>
      <c r="E38" s="368"/>
      <c r="F38" s="368"/>
      <c r="G38" s="369"/>
      <c r="H38" s="368"/>
      <c r="I38" s="368"/>
    </row>
    <row r="39" spans="1:55">
      <c r="A39" s="339"/>
      <c r="B39" s="367"/>
      <c r="C39" s="368"/>
      <c r="D39" s="368"/>
      <c r="E39" s="368"/>
      <c r="F39" s="368"/>
      <c r="G39" s="369"/>
      <c r="H39" s="368"/>
      <c r="I39" s="368"/>
    </row>
    <row r="40" spans="1:55">
      <c r="A40" s="339"/>
      <c r="B40" s="58"/>
      <c r="C40" s="58"/>
      <c r="D40" s="58"/>
      <c r="E40" s="73"/>
      <c r="G40" s="58"/>
      <c r="H40" s="368"/>
      <c r="I40" s="370"/>
      <c r="J40" s="343"/>
      <c r="K40" s="343"/>
      <c r="L40" s="343"/>
      <c r="M40" s="343"/>
      <c r="N40" s="343"/>
      <c r="O40" s="343"/>
      <c r="P40" s="343"/>
      <c r="Q40" s="343"/>
      <c r="R40" s="343"/>
      <c r="S40" s="343"/>
      <c r="T40" s="343"/>
      <c r="U40" s="343"/>
      <c r="V40" s="343"/>
      <c r="W40" s="343"/>
      <c r="X40" s="340"/>
      <c r="Y40" s="340"/>
      <c r="Z40" s="340"/>
      <c r="AA40" s="340"/>
      <c r="AB40" s="340"/>
      <c r="AC40" s="340"/>
      <c r="AD40" s="340"/>
      <c r="AE40" s="340"/>
      <c r="AF40" s="340"/>
      <c r="AG40" s="340"/>
      <c r="AH40" s="340"/>
      <c r="AI40" s="340"/>
      <c r="AJ40" s="340"/>
      <c r="AK40" s="340"/>
      <c r="AL40" s="340"/>
      <c r="AM40" s="340"/>
      <c r="AN40" s="340"/>
      <c r="AO40" s="340"/>
      <c r="AP40" s="340"/>
      <c r="AQ40" s="340"/>
      <c r="AR40" s="340"/>
      <c r="AS40" s="340"/>
      <c r="AT40" s="340"/>
      <c r="AU40" s="340"/>
      <c r="AV40" s="340"/>
      <c r="AW40" s="340"/>
      <c r="AX40" s="340"/>
      <c r="AY40" s="340"/>
      <c r="AZ40" s="340"/>
      <c r="BA40" s="340"/>
      <c r="BB40" s="340"/>
      <c r="BC40" s="340"/>
    </row>
    <row r="41" spans="1:55">
      <c r="A41" s="33"/>
      <c r="B41" s="72"/>
      <c r="C41" s="72"/>
      <c r="D41" s="72"/>
      <c r="E41" s="72"/>
      <c r="F41" s="71"/>
      <c r="G41" s="72"/>
      <c r="H41" s="368"/>
      <c r="I41" s="370"/>
      <c r="J41" s="350"/>
      <c r="K41" s="340"/>
      <c r="L41" s="340"/>
      <c r="M41" s="340"/>
      <c r="N41" s="340"/>
      <c r="O41" s="340"/>
      <c r="P41" s="340"/>
      <c r="Q41" s="340"/>
      <c r="R41" s="340"/>
      <c r="S41" s="340"/>
      <c r="T41" s="340"/>
      <c r="U41" s="340"/>
      <c r="V41" s="340"/>
      <c r="W41" s="340"/>
    </row>
    <row r="42" spans="1:55">
      <c r="A42" s="33"/>
      <c r="B42" s="72"/>
      <c r="C42" s="72"/>
      <c r="D42" s="72"/>
      <c r="E42" s="72"/>
      <c r="F42" s="70"/>
      <c r="G42" s="72"/>
      <c r="H42" s="58"/>
      <c r="I42" s="370"/>
      <c r="J42" s="364"/>
      <c r="K42" s="364"/>
      <c r="L42" s="364"/>
      <c r="M42" s="364"/>
      <c r="N42" s="364"/>
      <c r="O42" s="364"/>
      <c r="P42" s="364"/>
      <c r="Q42" s="364"/>
      <c r="R42" s="364"/>
      <c r="S42" s="364"/>
      <c r="T42" s="364"/>
      <c r="U42" s="364"/>
      <c r="V42" s="364"/>
      <c r="W42" s="364"/>
    </row>
    <row r="43" spans="1:55">
      <c r="A43" s="33"/>
      <c r="B43" s="28"/>
      <c r="C43" s="28"/>
      <c r="D43" s="28"/>
      <c r="E43" s="28"/>
      <c r="F43" s="71"/>
      <c r="G43" s="28"/>
      <c r="H43" s="28"/>
      <c r="I43" s="34"/>
      <c r="J43" s="60" t="str">
        <f t="shared" ref="J43:S43" si="8">IF(J42&lt;&gt;0,"ERROR","")</f>
        <v/>
      </c>
      <c r="K43" s="60" t="str">
        <f t="shared" si="8"/>
        <v/>
      </c>
      <c r="L43" s="60" t="str">
        <f t="shared" si="8"/>
        <v/>
      </c>
      <c r="M43" s="60" t="str">
        <f t="shared" si="8"/>
        <v/>
      </c>
      <c r="N43" s="60" t="str">
        <f t="shared" si="8"/>
        <v/>
      </c>
      <c r="O43" s="60" t="str">
        <f t="shared" si="8"/>
        <v/>
      </c>
      <c r="P43" s="60" t="str">
        <f t="shared" si="8"/>
        <v/>
      </c>
      <c r="Q43" s="60" t="str">
        <f t="shared" si="8"/>
        <v/>
      </c>
      <c r="R43" s="60" t="str">
        <f t="shared" si="8"/>
        <v/>
      </c>
      <c r="S43" s="33" t="str">
        <f t="shared" si="8"/>
        <v/>
      </c>
      <c r="T43" s="33"/>
      <c r="U43" s="33"/>
      <c r="V43" s="33"/>
      <c r="W43" s="33"/>
    </row>
    <row r="44" spans="1:55">
      <c r="A44" s="33"/>
      <c r="B44" s="28"/>
      <c r="C44" s="28"/>
      <c r="D44" s="28"/>
      <c r="E44" s="28"/>
      <c r="F44" s="34"/>
      <c r="G44" s="28"/>
      <c r="H44" s="345"/>
      <c r="Y44" s="79"/>
    </row>
    <row r="45" spans="1:55">
      <c r="A45" s="35"/>
      <c r="B45" s="36"/>
      <c r="C45" s="37"/>
      <c r="D45" s="38"/>
      <c r="E45" s="38"/>
      <c r="F45" s="182"/>
      <c r="G45" s="40"/>
      <c r="H45" s="345"/>
      <c r="I45" s="140"/>
      <c r="Y45" s="79"/>
    </row>
    <row r="46" spans="1:55">
      <c r="A46" s="35"/>
      <c r="B46" s="36"/>
      <c r="C46" s="37"/>
      <c r="D46" s="38"/>
      <c r="E46" s="38"/>
      <c r="F46" s="39"/>
      <c r="G46" s="40"/>
      <c r="H46" s="41"/>
      <c r="I46" s="42"/>
      <c r="Y46" s="79"/>
    </row>
    <row r="47" spans="1:55">
      <c r="A47" s="35"/>
      <c r="B47" s="36"/>
      <c r="C47" s="37"/>
      <c r="D47" s="38"/>
      <c r="E47" s="38"/>
      <c r="F47" s="39"/>
      <c r="G47" s="40"/>
      <c r="H47" s="41"/>
      <c r="I47" s="42"/>
      <c r="Y47" s="79"/>
    </row>
    <row r="48" spans="1:55" hidden="1">
      <c r="A48" s="43"/>
      <c r="B48" s="28"/>
      <c r="C48" s="28"/>
      <c r="D48" s="28"/>
      <c r="E48" s="28"/>
      <c r="F48" s="34"/>
      <c r="G48" s="28"/>
      <c r="H48" s="44"/>
      <c r="I48" s="34"/>
      <c r="Y48" s="79"/>
    </row>
    <row r="49" spans="1:25" hidden="1">
      <c r="A49" s="43"/>
      <c r="B49" s="28"/>
      <c r="C49" s="28"/>
      <c r="D49" s="28"/>
      <c r="E49" s="28"/>
      <c r="F49" s="34"/>
      <c r="G49" s="28"/>
      <c r="H49" s="45"/>
      <c r="I49" s="34"/>
      <c r="Y49" s="79"/>
    </row>
    <row r="50" spans="1:25" hidden="1">
      <c r="A50" s="43"/>
      <c r="B50" s="28"/>
      <c r="C50" s="28"/>
      <c r="D50" s="28"/>
      <c r="E50" s="28"/>
      <c r="F50" s="34"/>
      <c r="G50" s="28"/>
      <c r="H50" s="28"/>
      <c r="I50" s="34"/>
      <c r="Y50" s="79"/>
    </row>
    <row r="51" spans="1:25">
      <c r="A51" s="35"/>
      <c r="B51" s="36"/>
      <c r="C51" s="37"/>
      <c r="D51" s="38"/>
      <c r="E51" s="38"/>
      <c r="F51" s="39"/>
      <c r="G51" s="40"/>
      <c r="H51" s="41"/>
      <c r="I51" s="42"/>
      <c r="Y51" s="79"/>
    </row>
    <row r="52" spans="1:25">
      <c r="A52" s="35"/>
      <c r="B52" s="36"/>
      <c r="C52" s="37"/>
      <c r="D52" s="38"/>
      <c r="E52" s="38"/>
      <c r="F52" s="39"/>
      <c r="G52" s="40"/>
      <c r="H52" s="41"/>
      <c r="I52" s="42"/>
      <c r="Y52" s="79"/>
    </row>
    <row r="53" spans="1:25">
      <c r="A53" s="43"/>
      <c r="B53" s="28"/>
      <c r="C53" s="28"/>
      <c r="D53" s="28"/>
      <c r="E53" s="28"/>
      <c r="F53" s="34"/>
      <c r="G53" s="28"/>
      <c r="H53" s="28"/>
      <c r="I53" s="34"/>
      <c r="Y53" s="79"/>
    </row>
    <row r="54" spans="1:25">
      <c r="A54" s="43"/>
      <c r="B54" s="28"/>
      <c r="C54" s="28"/>
      <c r="D54" s="28"/>
      <c r="E54" s="28"/>
      <c r="F54" s="34"/>
      <c r="G54" s="28"/>
      <c r="H54" s="28"/>
      <c r="I54" s="34"/>
      <c r="Y54" s="79"/>
    </row>
    <row r="55" spans="1:25">
      <c r="A55" s="43"/>
      <c r="B55" s="28"/>
      <c r="C55" s="28"/>
      <c r="D55" s="28"/>
      <c r="E55" s="28"/>
      <c r="F55" s="34"/>
      <c r="G55" s="28"/>
      <c r="H55" s="28"/>
      <c r="I55" s="34"/>
      <c r="Y55" s="79"/>
    </row>
    <row r="56" spans="1:25">
      <c r="A56" s="43"/>
      <c r="B56" s="28"/>
      <c r="C56" s="28"/>
      <c r="D56" s="28"/>
      <c r="E56" s="28"/>
      <c r="F56" s="34"/>
      <c r="G56" s="28"/>
      <c r="H56" s="28"/>
      <c r="I56" s="34"/>
      <c r="Y56" s="79"/>
    </row>
    <row r="57" spans="1:25">
      <c r="A57" s="43"/>
      <c r="B57" s="28"/>
      <c r="C57" s="28"/>
      <c r="D57" s="28"/>
      <c r="E57" s="28"/>
      <c r="F57" s="34"/>
      <c r="G57" s="28"/>
      <c r="H57" s="28"/>
      <c r="I57" s="34"/>
      <c r="Y57" s="79"/>
    </row>
    <row r="58" spans="1:25">
      <c r="A58" s="43"/>
      <c r="B58" s="28"/>
      <c r="C58" s="28"/>
      <c r="D58" s="28"/>
      <c r="E58" s="28"/>
      <c r="F58" s="34"/>
      <c r="G58" s="28"/>
      <c r="H58" s="28"/>
      <c r="I58" s="34"/>
      <c r="Y58" s="79"/>
    </row>
    <row r="59" spans="1:25">
      <c r="A59" s="43"/>
      <c r="B59" s="28"/>
      <c r="C59" s="28"/>
      <c r="D59" s="28"/>
      <c r="E59" s="28"/>
      <c r="F59" s="34"/>
      <c r="G59" s="28"/>
      <c r="H59" s="28"/>
      <c r="I59" s="34"/>
      <c r="Y59" s="79"/>
    </row>
    <row r="60" spans="1:25">
      <c r="A60" s="43"/>
      <c r="B60" s="28"/>
      <c r="C60" s="28"/>
      <c r="D60" s="28"/>
      <c r="E60" s="28"/>
      <c r="F60" s="34"/>
      <c r="G60" s="28"/>
      <c r="H60" s="28"/>
      <c r="I60" s="34"/>
      <c r="Y60" s="79"/>
    </row>
    <row r="61" spans="1:25">
      <c r="A61" s="43"/>
      <c r="B61" s="28"/>
      <c r="C61" s="28"/>
      <c r="D61" s="28"/>
      <c r="E61" s="28"/>
      <c r="F61" s="34"/>
      <c r="G61" s="28"/>
      <c r="H61" s="28"/>
      <c r="I61" s="34"/>
      <c r="Y61" s="79"/>
    </row>
    <row r="62" spans="1:25">
      <c r="A62" s="33"/>
      <c r="B62" s="28"/>
      <c r="C62" s="36"/>
      <c r="D62" s="28"/>
      <c r="E62" s="28"/>
      <c r="F62" s="34"/>
      <c r="G62" s="28"/>
      <c r="H62" s="28"/>
      <c r="I62" s="34"/>
      <c r="Y62" s="79"/>
    </row>
    <row r="63" spans="1:25">
      <c r="C63" s="24"/>
      <c r="E63" s="30"/>
      <c r="Y63" s="79"/>
    </row>
    <row r="64" spans="1:25">
      <c r="C64" s="29"/>
      <c r="Y64" s="79"/>
    </row>
    <row r="65" spans="25:25">
      <c r="Y65" s="79"/>
    </row>
    <row r="66" spans="25:25">
      <c r="Y66" s="79"/>
    </row>
    <row r="67" spans="25:25">
      <c r="Y67" s="79"/>
    </row>
    <row r="68" spans="25:25">
      <c r="Y68" s="79"/>
    </row>
    <row r="69" spans="25:25">
      <c r="Y69" s="79"/>
    </row>
    <row r="70" spans="25:25">
      <c r="Y70" s="79"/>
    </row>
    <row r="71" spans="25:25">
      <c r="Y71" s="79"/>
    </row>
    <row r="72" spans="25:25">
      <c r="Y72" s="79"/>
    </row>
    <row r="73" spans="25:25">
      <c r="Y73" s="79"/>
    </row>
    <row r="74" spans="25:25">
      <c r="Y74" s="79"/>
    </row>
    <row r="75" spans="25:25">
      <c r="Y75" s="79"/>
    </row>
    <row r="76" spans="25:25">
      <c r="Y76" s="79"/>
    </row>
    <row r="77" spans="25:25">
      <c r="Y77" s="79"/>
    </row>
    <row r="78" spans="25:25">
      <c r="Y78" s="79"/>
    </row>
    <row r="79" spans="25:25">
      <c r="Y79" s="79"/>
    </row>
    <row r="80" spans="25:25">
      <c r="Y80" s="79"/>
    </row>
    <row r="81" spans="25:25">
      <c r="Y81" s="79"/>
    </row>
    <row r="82" spans="25:25">
      <c r="Y82" s="79"/>
    </row>
    <row r="83" spans="25:25">
      <c r="Y83" s="79"/>
    </row>
    <row r="84" spans="25:25">
      <c r="Y84" s="79"/>
    </row>
    <row r="85" spans="25:25">
      <c r="Y85" s="79"/>
    </row>
    <row r="86" spans="25:25">
      <c r="Y86" s="79"/>
    </row>
    <row r="87" spans="25:25">
      <c r="Y87" s="79"/>
    </row>
    <row r="88" spans="25:25">
      <c r="Y88" s="79"/>
    </row>
    <row r="89" spans="25:25">
      <c r="Y89" s="79"/>
    </row>
    <row r="90" spans="25:25">
      <c r="Y90" s="79"/>
    </row>
    <row r="91" spans="25:25">
      <c r="Y91" s="79"/>
    </row>
    <row r="92" spans="25:25">
      <c r="Y92" s="79"/>
    </row>
    <row r="93" spans="25:25">
      <c r="Y93" s="79"/>
    </row>
    <row r="94" spans="25:25">
      <c r="Y94" s="79"/>
    </row>
    <row r="95" spans="25:25">
      <c r="Y95" s="79"/>
    </row>
    <row r="96" spans="25:25">
      <c r="Y96" s="79"/>
    </row>
    <row r="97" spans="25:25">
      <c r="Y97" s="79"/>
    </row>
    <row r="98" spans="25:25">
      <c r="Y98" s="79"/>
    </row>
    <row r="99" spans="25:25">
      <c r="Y99" s="79"/>
    </row>
    <row r="100" spans="25:25">
      <c r="Y100" s="79"/>
    </row>
    <row r="101" spans="25:25">
      <c r="Y101" s="79"/>
    </row>
    <row r="102" spans="25:25">
      <c r="Y102" s="79"/>
    </row>
    <row r="103" spans="25:25">
      <c r="Y103" s="79"/>
    </row>
    <row r="104" spans="25:25">
      <c r="Y104" s="79"/>
    </row>
    <row r="107" spans="25:25">
      <c r="Y107" s="79"/>
    </row>
    <row r="108" spans="25:25">
      <c r="Y108" s="79"/>
    </row>
    <row r="109" spans="25:25">
      <c r="Y109" s="79"/>
    </row>
    <row r="110" spans="25:25">
      <c r="Y110" s="79"/>
    </row>
    <row r="111" spans="25:25">
      <c r="Y111" s="79"/>
    </row>
    <row r="112" spans="25:25">
      <c r="Y112" s="79"/>
    </row>
    <row r="113" spans="25:25">
      <c r="Y113" s="79"/>
    </row>
    <row r="114" spans="25:25">
      <c r="Y114" s="79"/>
    </row>
    <row r="115" spans="25:25">
      <c r="Y115" s="79"/>
    </row>
    <row r="116" spans="25:25">
      <c r="Y116" s="79"/>
    </row>
    <row r="117" spans="25:25">
      <c r="Y117" s="79"/>
    </row>
    <row r="118" spans="25:25">
      <c r="Y118" s="79"/>
    </row>
    <row r="119" spans="25:25">
      <c r="Y119" s="79"/>
    </row>
    <row r="120" spans="25:25">
      <c r="Y120" s="79"/>
    </row>
    <row r="121" spans="25:25">
      <c r="Y121" s="79"/>
    </row>
    <row r="122" spans="25:25">
      <c r="Y122" s="79"/>
    </row>
    <row r="123" spans="25:25">
      <c r="Y123" s="79"/>
    </row>
    <row r="124" spans="25:25">
      <c r="Y124" s="79"/>
    </row>
    <row r="125" spans="25:25">
      <c r="Y125" s="79"/>
    </row>
    <row r="126" spans="25:25">
      <c r="Y126" s="79"/>
    </row>
    <row r="127" spans="25:25">
      <c r="Y127" s="79"/>
    </row>
    <row r="128" spans="25:25">
      <c r="Y128" s="79"/>
    </row>
    <row r="129" spans="25:25">
      <c r="Y129" s="79"/>
    </row>
    <row r="130" spans="25:25">
      <c r="Y130" s="79"/>
    </row>
    <row r="131" spans="25:25">
      <c r="Y131" s="79"/>
    </row>
    <row r="132" spans="25:25">
      <c r="Y132" s="79"/>
    </row>
    <row r="133" spans="25:25">
      <c r="Y133" s="79"/>
    </row>
    <row r="134" spans="25:25">
      <c r="Y134" s="79"/>
    </row>
    <row r="135" spans="25:25">
      <c r="Y135" s="79"/>
    </row>
    <row r="136" spans="25:25">
      <c r="Y136" s="79"/>
    </row>
    <row r="138" spans="25:25">
      <c r="Y138" s="79"/>
    </row>
    <row r="139" spans="25:25">
      <c r="Y139" s="79"/>
    </row>
    <row r="140" spans="25:25">
      <c r="Y140" s="79"/>
    </row>
    <row r="141" spans="25:25">
      <c r="Y141" s="79"/>
    </row>
    <row r="142" spans="25:25">
      <c r="Y142" s="79"/>
    </row>
    <row r="143" spans="25:25">
      <c r="Y143" s="79"/>
    </row>
    <row r="144" spans="25:25">
      <c r="Y144" s="79"/>
    </row>
    <row r="145" spans="25:25">
      <c r="Y145" s="79"/>
    </row>
    <row r="146" spans="25:25">
      <c r="Y146" s="79"/>
    </row>
    <row r="147" spans="25:25">
      <c r="Y147" s="79"/>
    </row>
    <row r="148" spans="25:25">
      <c r="Y148" s="79"/>
    </row>
    <row r="149" spans="25:25">
      <c r="Y149" s="79"/>
    </row>
    <row r="150" spans="25:25">
      <c r="Y150" s="79"/>
    </row>
    <row r="151" spans="25:25">
      <c r="Y151" s="79"/>
    </row>
    <row r="152" spans="25:25">
      <c r="Y152" s="79"/>
    </row>
    <row r="153" spans="25:25">
      <c r="Y153" s="79"/>
    </row>
    <row r="154" spans="25:25">
      <c r="Y154" s="79"/>
    </row>
    <row r="155" spans="25:25">
      <c r="Y155" s="79"/>
    </row>
    <row r="156" spans="25:25">
      <c r="Y156" s="79"/>
    </row>
    <row r="157" spans="25:25">
      <c r="Y157" s="79"/>
    </row>
    <row r="158" spans="25:25">
      <c r="Y158" s="79"/>
    </row>
    <row r="159" spans="25:25">
      <c r="Y159" s="79"/>
    </row>
    <row r="160" spans="25:25">
      <c r="Y160" s="79"/>
    </row>
    <row r="161" spans="25:25">
      <c r="Y161" s="79"/>
    </row>
    <row r="162" spans="25:25">
      <c r="Y162" s="79"/>
    </row>
    <row r="163" spans="25:25">
      <c r="Y163" s="79"/>
    </row>
    <row r="164" spans="25:25">
      <c r="Y164" s="79"/>
    </row>
    <row r="165" spans="25:25">
      <c r="Y165" s="79"/>
    </row>
    <row r="166" spans="25:25">
      <c r="Y166" s="79"/>
    </row>
    <row r="167" spans="25:25">
      <c r="Y167" s="79"/>
    </row>
  </sheetData>
  <mergeCells count="3">
    <mergeCell ref="A1:Y1"/>
    <mergeCell ref="A2:Y2"/>
    <mergeCell ref="A3:Y3"/>
  </mergeCells>
  <phoneticPr fontId="13" type="noConversion"/>
  <printOptions horizontalCentered="1"/>
  <pageMargins left="0.25" right="0.25" top="1.25" bottom="0.75" header="0.3" footer="0.3"/>
  <pageSetup scale="77" orientation="landscape" r:id="rId1"/>
  <headerFooter scaleWithDoc="0" alignWithMargins="0">
    <oddFooter>&amp;R&amp;"Times New Roman,Regular"&amp;12Exh. MDM-3
Page 6 of 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S58"/>
  <sheetViews>
    <sheetView zoomScaleNormal="100" workbookViewId="0">
      <pane xSplit="2" ySplit="7" topLeftCell="C8" activePane="bottomRight" state="frozen"/>
      <selection activeCell="N27" sqref="N27"/>
      <selection pane="topRight" activeCell="N27" sqref="N27"/>
      <selection pane="bottomLeft" activeCell="N27" sqref="N27"/>
      <selection pane="bottomRight" activeCell="F32" sqref="F32"/>
    </sheetView>
  </sheetViews>
  <sheetFormatPr defaultColWidth="8.83203125" defaultRowHeight="15.75"/>
  <cols>
    <col min="1" max="1" width="4.6640625" style="31" customWidth="1"/>
    <col min="2" max="2" width="46" style="31" customWidth="1"/>
    <col min="3" max="3" width="10.83203125" style="31" customWidth="1"/>
    <col min="4" max="4" width="11.83203125" style="31" customWidth="1"/>
    <col min="5" max="5" width="12.83203125" style="31" customWidth="1"/>
    <col min="6" max="6" width="14.5" style="31" bestFit="1" customWidth="1"/>
    <col min="7" max="7" width="10.33203125" style="31" bestFit="1" customWidth="1"/>
    <col min="8" max="8" width="11.83203125" style="31" bestFit="1" customWidth="1"/>
    <col min="9" max="9" width="14.1640625" style="31" bestFit="1" customWidth="1"/>
    <col min="10" max="10" width="9.6640625" style="31" bestFit="1" customWidth="1"/>
    <col min="11" max="11" width="6.33203125" style="31" customWidth="1"/>
    <col min="12" max="12" width="12" style="103" customWidth="1"/>
    <col min="13" max="13" width="14.6640625" style="103" customWidth="1"/>
    <col min="14" max="14" width="15.1640625" style="103" customWidth="1"/>
    <col min="15" max="15" width="12.1640625" style="103" customWidth="1"/>
    <col min="16" max="16" width="9.6640625" style="103" customWidth="1"/>
    <col min="17" max="17" width="13.5" style="103" bestFit="1" customWidth="1"/>
    <col min="18" max="18" width="13.5" style="31" bestFit="1" customWidth="1"/>
    <col min="19" max="19" width="9.1640625" style="31" bestFit="1" customWidth="1"/>
    <col min="20" max="16384" width="8.83203125" style="31"/>
  </cols>
  <sheetData>
    <row r="1" spans="1:19">
      <c r="A1" s="421" t="s">
        <v>195</v>
      </c>
      <c r="B1" s="421"/>
      <c r="C1" s="421"/>
      <c r="D1" s="421"/>
      <c r="E1" s="421"/>
      <c r="F1" s="421"/>
      <c r="G1" s="421"/>
      <c r="H1" s="421"/>
      <c r="I1" s="421"/>
      <c r="J1" s="421"/>
      <c r="K1" s="54"/>
    </row>
    <row r="2" spans="1:19" ht="12.75" customHeight="1">
      <c r="A2" s="422" t="s">
        <v>23</v>
      </c>
      <c r="B2" s="422"/>
      <c r="C2" s="422"/>
      <c r="D2" s="422"/>
      <c r="E2" s="422"/>
      <c r="F2" s="422"/>
      <c r="G2" s="422"/>
      <c r="H2" s="422"/>
      <c r="I2" s="422"/>
      <c r="J2" s="422"/>
      <c r="K2" s="54"/>
    </row>
    <row r="3" spans="1:19" ht="12.75" customHeight="1">
      <c r="A3" s="423" t="str">
        <f>'Pg 1 Summary'!A5</f>
        <v>For The 12 Months Ending December 31, 2018</v>
      </c>
      <c r="B3" s="423"/>
      <c r="C3" s="423"/>
      <c r="D3" s="423"/>
      <c r="E3" s="423"/>
      <c r="F3" s="423"/>
      <c r="G3" s="423"/>
      <c r="H3" s="423"/>
      <c r="I3" s="423"/>
      <c r="J3" s="423"/>
      <c r="K3" s="54"/>
    </row>
    <row r="4" spans="1:19" ht="12.75" customHeight="1">
      <c r="B4" s="374"/>
      <c r="C4" s="374"/>
      <c r="D4" s="374"/>
      <c r="E4" s="372"/>
      <c r="F4" s="372"/>
      <c r="G4" s="372"/>
      <c r="H4" s="372"/>
      <c r="I4" s="372"/>
      <c r="J4" s="373"/>
      <c r="K4" s="54"/>
    </row>
    <row r="5" spans="1:19" ht="12.75" customHeight="1">
      <c r="A5" s="375">
        <v>1</v>
      </c>
      <c r="B5" s="83" t="s">
        <v>3</v>
      </c>
      <c r="C5" s="83" t="s">
        <v>24</v>
      </c>
      <c r="D5" s="83" t="s">
        <v>49</v>
      </c>
      <c r="E5" s="83" t="s">
        <v>61</v>
      </c>
      <c r="F5" s="83" t="s">
        <v>62</v>
      </c>
      <c r="G5" s="376" t="s">
        <v>63</v>
      </c>
      <c r="H5" s="83" t="s">
        <v>64</v>
      </c>
      <c r="I5" s="83" t="s">
        <v>65</v>
      </c>
      <c r="J5" s="83" t="s">
        <v>66</v>
      </c>
      <c r="K5" s="54"/>
    </row>
    <row r="6" spans="1:19" ht="12.75" customHeight="1">
      <c r="A6" s="375">
        <f t="shared" ref="A6:A40" si="0">A5+1</f>
        <v>2</v>
      </c>
      <c r="B6" s="377" t="s">
        <v>1</v>
      </c>
      <c r="C6" s="378" t="s">
        <v>15</v>
      </c>
      <c r="D6" s="379" t="s">
        <v>95</v>
      </c>
      <c r="E6" s="380" t="s">
        <v>130</v>
      </c>
      <c r="F6" s="380" t="s">
        <v>131</v>
      </c>
      <c r="G6" s="380" t="s">
        <v>131</v>
      </c>
      <c r="H6" s="380" t="s">
        <v>67</v>
      </c>
      <c r="I6" s="379" t="s">
        <v>16</v>
      </c>
      <c r="J6" s="373"/>
      <c r="K6" s="54"/>
    </row>
    <row r="7" spans="1:19" ht="12.75" customHeight="1">
      <c r="A7" s="375">
        <f t="shared" si="0"/>
        <v>3</v>
      </c>
      <c r="B7" s="381" t="s">
        <v>15</v>
      </c>
      <c r="C7" s="382" t="s">
        <v>96</v>
      </c>
      <c r="D7" s="382" t="s">
        <v>96</v>
      </c>
      <c r="E7" s="382" t="s">
        <v>96</v>
      </c>
      <c r="F7" s="382" t="s">
        <v>15</v>
      </c>
      <c r="G7" s="382" t="s">
        <v>96</v>
      </c>
      <c r="H7" s="382" t="s">
        <v>132</v>
      </c>
      <c r="I7" s="382" t="s">
        <v>129</v>
      </c>
      <c r="J7" s="383" t="s">
        <v>53</v>
      </c>
      <c r="K7" s="54"/>
    </row>
    <row r="8" spans="1:19" ht="12.75" customHeight="1">
      <c r="A8" s="375">
        <f t="shared" si="0"/>
        <v>4</v>
      </c>
      <c r="B8" s="384"/>
      <c r="C8" s="385"/>
      <c r="D8" s="385"/>
      <c r="E8" s="385"/>
      <c r="F8" s="385"/>
      <c r="G8" s="385"/>
      <c r="H8" s="386"/>
      <c r="I8" s="387"/>
      <c r="J8" s="388"/>
    </row>
    <row r="9" spans="1:19" ht="12.75" customHeight="1">
      <c r="A9" s="375">
        <f>A8+1</f>
        <v>5</v>
      </c>
      <c r="B9" s="384">
        <v>0.10249999999999999</v>
      </c>
      <c r="C9" s="385">
        <v>32140</v>
      </c>
      <c r="D9" s="385">
        <v>35779</v>
      </c>
      <c r="E9" s="385">
        <v>35048</v>
      </c>
      <c r="F9" s="385"/>
      <c r="G9" s="385"/>
      <c r="H9" s="386">
        <v>42684</v>
      </c>
      <c r="I9" s="389">
        <v>0</v>
      </c>
      <c r="J9" s="388">
        <v>18900013</v>
      </c>
      <c r="R9" s="389"/>
      <c r="S9" s="75"/>
    </row>
    <row r="10" spans="1:19" ht="12.75" customHeight="1">
      <c r="A10" s="375">
        <f t="shared" si="0"/>
        <v>6</v>
      </c>
      <c r="B10" s="384" t="s">
        <v>112</v>
      </c>
      <c r="C10" s="385">
        <v>35587</v>
      </c>
      <c r="D10" s="385">
        <v>46539</v>
      </c>
      <c r="E10" s="385">
        <v>39234</v>
      </c>
      <c r="F10" s="385" t="s">
        <v>121</v>
      </c>
      <c r="G10" s="385">
        <v>39237</v>
      </c>
      <c r="H10" s="386">
        <v>42887</v>
      </c>
      <c r="I10" s="389">
        <v>0</v>
      </c>
      <c r="J10" s="388">
        <v>18900383</v>
      </c>
      <c r="R10" s="390"/>
      <c r="S10" s="75"/>
    </row>
    <row r="11" spans="1:19" ht="12.75" customHeight="1">
      <c r="A11" s="375">
        <f t="shared" si="0"/>
        <v>7</v>
      </c>
      <c r="B11" s="384" t="s">
        <v>126</v>
      </c>
      <c r="C11" s="385">
        <v>33410</v>
      </c>
      <c r="D11" s="385">
        <v>37063</v>
      </c>
      <c r="E11" s="385">
        <v>35961</v>
      </c>
      <c r="F11" s="385" t="s">
        <v>122</v>
      </c>
      <c r="G11" s="385">
        <v>35961</v>
      </c>
      <c r="H11" s="386">
        <v>43266</v>
      </c>
      <c r="I11" s="389">
        <v>1748.99</v>
      </c>
      <c r="J11" s="388">
        <v>18900243</v>
      </c>
      <c r="R11" s="390"/>
      <c r="S11" s="75"/>
    </row>
    <row r="12" spans="1:19" ht="12.75" customHeight="1">
      <c r="A12" s="375">
        <f t="shared" si="0"/>
        <v>8</v>
      </c>
      <c r="B12" s="391" t="s">
        <v>41</v>
      </c>
      <c r="C12" s="385">
        <v>33616</v>
      </c>
      <c r="D12" s="385">
        <f>DATE(2022,1,12)</f>
        <v>44573</v>
      </c>
      <c r="E12" s="392">
        <v>37701</v>
      </c>
      <c r="F12" s="392"/>
      <c r="G12" s="392"/>
      <c r="H12" s="386">
        <f>DATE(2022,1,12)</f>
        <v>44573</v>
      </c>
      <c r="I12" s="389">
        <v>1141.08</v>
      </c>
      <c r="J12" s="388">
        <v>18900293</v>
      </c>
      <c r="R12" s="390"/>
      <c r="S12" s="75"/>
    </row>
    <row r="13" spans="1:19" ht="12.75" customHeight="1">
      <c r="A13" s="375">
        <f t="shared" si="0"/>
        <v>9</v>
      </c>
      <c r="B13" s="391" t="s">
        <v>42</v>
      </c>
      <c r="C13" s="385">
        <v>33616</v>
      </c>
      <c r="D13" s="385">
        <f>DATE(2022,1,13)</f>
        <v>44574</v>
      </c>
      <c r="E13" s="392">
        <v>37701</v>
      </c>
      <c r="F13" s="392"/>
      <c r="G13" s="392"/>
      <c r="H13" s="386">
        <f>DATE(2022,1,13)</f>
        <v>44574</v>
      </c>
      <c r="I13" s="389">
        <v>2662.56</v>
      </c>
      <c r="J13" s="388">
        <v>18900303</v>
      </c>
      <c r="K13" s="393"/>
      <c r="R13" s="390"/>
    </row>
    <row r="14" spans="1:19" ht="12.75" customHeight="1">
      <c r="A14" s="375">
        <f t="shared" si="0"/>
        <v>10</v>
      </c>
      <c r="B14" s="391" t="s">
        <v>113</v>
      </c>
      <c r="C14" s="385">
        <v>33828</v>
      </c>
      <c r="D14" s="385">
        <v>44785</v>
      </c>
      <c r="E14" s="392">
        <v>37770</v>
      </c>
      <c r="F14" s="392"/>
      <c r="G14" s="392"/>
      <c r="H14" s="386">
        <v>44785</v>
      </c>
      <c r="I14" s="389">
        <v>62485.68</v>
      </c>
      <c r="J14" s="388">
        <v>18900323</v>
      </c>
      <c r="R14" s="390"/>
    </row>
    <row r="15" spans="1:19" ht="12.75" customHeight="1">
      <c r="A15" s="375">
        <f t="shared" si="0"/>
        <v>11</v>
      </c>
      <c r="B15" s="391" t="s">
        <v>133</v>
      </c>
      <c r="C15" s="385">
        <v>34199</v>
      </c>
      <c r="D15" s="385">
        <v>45156</v>
      </c>
      <c r="E15" s="392">
        <v>37851</v>
      </c>
      <c r="H15" s="386">
        <v>45156</v>
      </c>
      <c r="I15" s="389">
        <v>10655.88</v>
      </c>
      <c r="J15" s="388">
        <v>18900353</v>
      </c>
      <c r="K15" s="393"/>
      <c r="R15" s="390"/>
    </row>
    <row r="16" spans="1:19" ht="12.75" customHeight="1">
      <c r="A16" s="375">
        <f t="shared" si="0"/>
        <v>12</v>
      </c>
      <c r="B16" s="384" t="s">
        <v>127</v>
      </c>
      <c r="C16" s="385">
        <v>33161</v>
      </c>
      <c r="D16" s="385">
        <v>35718</v>
      </c>
      <c r="E16" s="385">
        <v>34372</v>
      </c>
      <c r="F16" s="385" t="s">
        <v>123</v>
      </c>
      <c r="G16" s="385">
        <v>34366</v>
      </c>
      <c r="H16" s="386">
        <v>45323</v>
      </c>
      <c r="I16" s="389">
        <v>168880.08</v>
      </c>
      <c r="J16" s="388">
        <v>18900173</v>
      </c>
      <c r="R16" s="390"/>
    </row>
    <row r="17" spans="1:18" ht="12.75" customHeight="1">
      <c r="A17" s="375">
        <f t="shared" si="0"/>
        <v>13</v>
      </c>
      <c r="B17" s="384" t="s">
        <v>111</v>
      </c>
      <c r="C17" s="385">
        <v>35587</v>
      </c>
      <c r="D17" s="385">
        <v>46539</v>
      </c>
      <c r="E17" s="385">
        <v>38504</v>
      </c>
      <c r="F17" s="385"/>
      <c r="G17" s="385"/>
      <c r="H17" s="386">
        <v>46539</v>
      </c>
      <c r="I17" s="389">
        <v>229804.2</v>
      </c>
      <c r="J17" s="388">
        <v>18900193</v>
      </c>
      <c r="R17" s="390"/>
    </row>
    <row r="18" spans="1:18" ht="12.75" customHeight="1">
      <c r="A18" s="375">
        <f t="shared" si="0"/>
        <v>14</v>
      </c>
      <c r="B18" s="391" t="s">
        <v>37</v>
      </c>
      <c r="C18" s="385">
        <v>33457</v>
      </c>
      <c r="D18" s="385">
        <f>DATE(2021,8,1)</f>
        <v>44409</v>
      </c>
      <c r="E18" s="392">
        <v>37691</v>
      </c>
      <c r="F18" s="392" t="s">
        <v>124</v>
      </c>
      <c r="G18" s="392">
        <v>37691</v>
      </c>
      <c r="H18" s="386">
        <v>47908</v>
      </c>
      <c r="I18" s="389">
        <v>45480.480000000003</v>
      </c>
      <c r="J18" s="388">
        <v>18900253</v>
      </c>
      <c r="R18" s="389"/>
    </row>
    <row r="19" spans="1:18" ht="12.75" customHeight="1">
      <c r="A19" s="375">
        <f t="shared" si="0"/>
        <v>15</v>
      </c>
      <c r="B19" s="391" t="s">
        <v>38</v>
      </c>
      <c r="C19" s="385">
        <v>33457</v>
      </c>
      <c r="D19" s="385">
        <f>DATE(2021,8,1)</f>
        <v>44409</v>
      </c>
      <c r="E19" s="392">
        <v>37691</v>
      </c>
      <c r="F19" s="392" t="s">
        <v>124</v>
      </c>
      <c r="G19" s="392">
        <v>37691</v>
      </c>
      <c r="H19" s="386">
        <v>47908</v>
      </c>
      <c r="I19" s="389">
        <v>34561.440000000002</v>
      </c>
      <c r="J19" s="388">
        <v>18900263</v>
      </c>
      <c r="R19" s="389"/>
    </row>
    <row r="20" spans="1:18" ht="12.75" customHeight="1">
      <c r="A20" s="375">
        <f t="shared" si="0"/>
        <v>16</v>
      </c>
      <c r="B20" s="391" t="s">
        <v>39</v>
      </c>
      <c r="C20" s="385">
        <v>33664</v>
      </c>
      <c r="D20" s="385">
        <f>DATE(2022,3,1)</f>
        <v>44621</v>
      </c>
      <c r="E20" s="392">
        <v>37691</v>
      </c>
      <c r="F20" s="392" t="s">
        <v>124</v>
      </c>
      <c r="G20" s="392">
        <v>37691</v>
      </c>
      <c r="H20" s="386">
        <v>47908</v>
      </c>
      <c r="I20" s="389">
        <v>105825.48</v>
      </c>
      <c r="J20" s="388">
        <v>18900273</v>
      </c>
      <c r="R20" s="389"/>
    </row>
    <row r="21" spans="1:18" ht="12.75" customHeight="1">
      <c r="A21" s="375">
        <f t="shared" si="0"/>
        <v>17</v>
      </c>
      <c r="B21" s="391" t="s">
        <v>40</v>
      </c>
      <c r="C21" s="385">
        <v>33664</v>
      </c>
      <c r="D21" s="385">
        <f>DATE(2022,3,1)</f>
        <v>44621</v>
      </c>
      <c r="E21" s="392">
        <v>37691</v>
      </c>
      <c r="F21" s="392" t="s">
        <v>124</v>
      </c>
      <c r="G21" s="392">
        <v>37691</v>
      </c>
      <c r="H21" s="386">
        <v>47908</v>
      </c>
      <c r="I21" s="389">
        <v>32297.759999999998</v>
      </c>
      <c r="J21" s="388">
        <v>18900283</v>
      </c>
      <c r="R21" s="389"/>
    </row>
    <row r="22" spans="1:18" ht="12.75" customHeight="1">
      <c r="A22" s="375">
        <f t="shared" si="0"/>
        <v>18</v>
      </c>
      <c r="B22" s="391" t="s">
        <v>166</v>
      </c>
      <c r="C22" s="385">
        <v>37691</v>
      </c>
      <c r="D22" s="385">
        <v>47908</v>
      </c>
      <c r="E22" s="392">
        <v>41449</v>
      </c>
      <c r="F22" s="392" t="s">
        <v>167</v>
      </c>
      <c r="G22" s="392">
        <v>41417</v>
      </c>
      <c r="H22" s="386">
        <v>47908</v>
      </c>
      <c r="I22" s="389">
        <v>299128.68</v>
      </c>
      <c r="J22" s="388">
        <v>18900433</v>
      </c>
      <c r="R22" s="389"/>
    </row>
    <row r="23" spans="1:18" ht="12.75" customHeight="1">
      <c r="A23" s="375">
        <f t="shared" si="0"/>
        <v>19</v>
      </c>
      <c r="B23" s="391" t="s">
        <v>166</v>
      </c>
      <c r="C23" s="385">
        <v>37691</v>
      </c>
      <c r="D23" s="385">
        <v>47908</v>
      </c>
      <c r="E23" s="392">
        <v>41449</v>
      </c>
      <c r="F23" s="392" t="s">
        <v>167</v>
      </c>
      <c r="G23" s="392">
        <v>41417</v>
      </c>
      <c r="H23" s="386">
        <v>47908</v>
      </c>
      <c r="I23" s="389">
        <v>50553.24</v>
      </c>
      <c r="J23" s="388">
        <v>18900533</v>
      </c>
      <c r="R23" s="389"/>
    </row>
    <row r="24" spans="1:18" ht="12.75" customHeight="1">
      <c r="A24" s="375">
        <f>A23+1</f>
        <v>20</v>
      </c>
      <c r="B24" s="384" t="s">
        <v>89</v>
      </c>
      <c r="C24" s="385">
        <v>38183</v>
      </c>
      <c r="D24" s="385">
        <v>38913</v>
      </c>
      <c r="E24" s="385">
        <v>38499</v>
      </c>
      <c r="F24" s="385" t="s">
        <v>90</v>
      </c>
      <c r="G24" s="385">
        <v>38499</v>
      </c>
      <c r="H24" s="386">
        <v>49456</v>
      </c>
      <c r="I24" s="389">
        <f>17086.56</f>
        <v>17086.560000000001</v>
      </c>
      <c r="J24" s="388">
        <v>18900183</v>
      </c>
      <c r="R24" s="389"/>
    </row>
    <row r="25" spans="1:18" ht="12.75" customHeight="1">
      <c r="A25" s="375">
        <f t="shared" si="0"/>
        <v>21</v>
      </c>
      <c r="B25" s="384" t="s">
        <v>26</v>
      </c>
      <c r="C25" s="385">
        <v>37035</v>
      </c>
      <c r="D25" s="385">
        <v>51682</v>
      </c>
      <c r="E25" s="385">
        <v>38898</v>
      </c>
      <c r="F25" s="385" t="s">
        <v>125</v>
      </c>
      <c r="G25" s="385">
        <v>38898</v>
      </c>
      <c r="H25" s="386">
        <v>49841</v>
      </c>
      <c r="I25" s="389">
        <f>(16418.45*12)</f>
        <v>197021.40000000002</v>
      </c>
      <c r="J25" s="388">
        <v>18900373</v>
      </c>
      <c r="R25" s="389"/>
    </row>
    <row r="26" spans="1:18" ht="12.75" customHeight="1">
      <c r="A26" s="375">
        <f t="shared" si="0"/>
        <v>22</v>
      </c>
      <c r="B26" s="384" t="s">
        <v>160</v>
      </c>
      <c r="C26" s="385">
        <v>33117</v>
      </c>
      <c r="D26" s="385">
        <v>44075</v>
      </c>
      <c r="E26" s="385">
        <v>40900</v>
      </c>
      <c r="F26" s="385" t="s">
        <v>161</v>
      </c>
      <c r="G26" s="385">
        <v>40869</v>
      </c>
      <c r="H26" s="386">
        <v>55472</v>
      </c>
      <c r="I26" s="389">
        <v>400518.84</v>
      </c>
      <c r="J26" s="388">
        <v>18900393</v>
      </c>
      <c r="R26" s="389"/>
    </row>
    <row r="27" spans="1:18" ht="12.75" customHeight="1">
      <c r="A27" s="375">
        <f t="shared" si="0"/>
        <v>23</v>
      </c>
      <c r="B27" s="384" t="s">
        <v>171</v>
      </c>
      <c r="C27" s="385">
        <v>38637</v>
      </c>
      <c r="D27" s="385">
        <v>42278</v>
      </c>
      <c r="E27" s="385">
        <v>42160</v>
      </c>
      <c r="F27" s="385" t="s">
        <v>173</v>
      </c>
      <c r="G27" s="385">
        <v>42150</v>
      </c>
      <c r="H27" s="386">
        <v>53102</v>
      </c>
      <c r="I27" s="389">
        <v>82302.48</v>
      </c>
      <c r="J27" s="388">
        <v>18900203</v>
      </c>
      <c r="R27" s="389"/>
    </row>
    <row r="28" spans="1:18" ht="12.75" customHeight="1">
      <c r="A28" s="375">
        <f t="shared" si="0"/>
        <v>24</v>
      </c>
      <c r="B28" s="384" t="s">
        <v>172</v>
      </c>
      <c r="C28" s="385">
        <v>39836</v>
      </c>
      <c r="D28" s="385">
        <v>42384</v>
      </c>
      <c r="E28" s="385">
        <v>42160</v>
      </c>
      <c r="F28" s="385" t="s">
        <v>173</v>
      </c>
      <c r="G28" s="385">
        <v>42150</v>
      </c>
      <c r="H28" s="386">
        <v>53102</v>
      </c>
      <c r="I28" s="389">
        <v>316649.76</v>
      </c>
      <c r="J28" s="388">
        <v>18900213</v>
      </c>
      <c r="R28" s="389"/>
    </row>
    <row r="29" spans="1:18" ht="12.75" customHeight="1">
      <c r="A29" s="375">
        <f t="shared" si="0"/>
        <v>25</v>
      </c>
      <c r="B29" s="384" t="s">
        <v>110</v>
      </c>
      <c r="C29" s="385">
        <v>39237</v>
      </c>
      <c r="D29" s="385">
        <v>24624</v>
      </c>
      <c r="E29" s="385">
        <v>43217</v>
      </c>
      <c r="F29" s="385"/>
      <c r="G29" s="385"/>
      <c r="H29" s="386">
        <v>61149</v>
      </c>
      <c r="I29" s="389">
        <v>75166.02</v>
      </c>
      <c r="J29" s="388">
        <v>18900233</v>
      </c>
      <c r="R29" s="389"/>
    </row>
    <row r="30" spans="1:18" ht="12.75" customHeight="1">
      <c r="A30" s="375">
        <f t="shared" si="0"/>
        <v>26</v>
      </c>
      <c r="B30" s="384"/>
      <c r="C30" s="385"/>
      <c r="D30" s="385"/>
      <c r="E30" s="385"/>
      <c r="F30" s="385"/>
      <c r="G30" s="385"/>
      <c r="H30" s="386"/>
      <c r="I30" s="394"/>
      <c r="J30" s="388"/>
    </row>
    <row r="31" spans="1:18" ht="15" customHeight="1" thickBot="1">
      <c r="A31" s="375">
        <f t="shared" si="0"/>
        <v>27</v>
      </c>
      <c r="B31" s="395" t="s">
        <v>25</v>
      </c>
      <c r="C31" s="53"/>
      <c r="D31" s="53"/>
      <c r="E31" s="53"/>
      <c r="F31" s="53"/>
      <c r="G31" s="53"/>
      <c r="H31" s="53"/>
      <c r="I31" s="396">
        <f>SUM(I8:I30)</f>
        <v>2133970.61</v>
      </c>
      <c r="J31" s="55"/>
    </row>
    <row r="32" spans="1:18" ht="12.75" customHeight="1" thickTop="1">
      <c r="A32" s="375">
        <f t="shared" si="0"/>
        <v>28</v>
      </c>
      <c r="B32" s="56"/>
      <c r="C32" s="57"/>
      <c r="D32" s="57"/>
      <c r="E32" s="57"/>
      <c r="F32" s="57"/>
      <c r="G32" s="57"/>
      <c r="H32" s="57"/>
      <c r="I32" s="387"/>
      <c r="J32" s="54"/>
    </row>
    <row r="33" spans="1:10" ht="12.75" customHeight="1">
      <c r="A33" s="375">
        <f t="shared" si="0"/>
        <v>29</v>
      </c>
      <c r="B33" s="56" t="s">
        <v>180</v>
      </c>
      <c r="C33" s="57"/>
      <c r="D33" s="57"/>
      <c r="E33" s="57"/>
      <c r="F33" s="57"/>
      <c r="G33" s="57"/>
      <c r="H33" s="57"/>
      <c r="I33" s="389">
        <f>'Pg 1 Summary'!C30</f>
        <v>7860865544</v>
      </c>
      <c r="J33" s="54"/>
    </row>
    <row r="34" spans="1:10" ht="12.75" customHeight="1">
      <c r="A34" s="375">
        <f t="shared" si="0"/>
        <v>30</v>
      </c>
      <c r="B34" s="56"/>
      <c r="C34" s="57"/>
      <c r="D34" s="57"/>
      <c r="E34" s="57"/>
      <c r="F34" s="57"/>
      <c r="G34" s="57"/>
      <c r="H34" s="57"/>
      <c r="I34" s="387"/>
      <c r="J34" s="54"/>
    </row>
    <row r="35" spans="1:10" ht="12.75" customHeight="1">
      <c r="A35" s="375">
        <f t="shared" si="0"/>
        <v>31</v>
      </c>
      <c r="B35" s="56" t="s">
        <v>183</v>
      </c>
      <c r="C35" s="57"/>
      <c r="D35" s="57"/>
      <c r="E35" s="57"/>
      <c r="F35" s="57"/>
      <c r="G35" s="57"/>
      <c r="H35" s="57"/>
      <c r="I35" s="397">
        <f>ROUND(I31/I33,4)</f>
        <v>2.9999999999999997E-4</v>
      </c>
      <c r="J35" s="77"/>
    </row>
    <row r="36" spans="1:10" ht="12.75" customHeight="1">
      <c r="A36" s="375">
        <f t="shared" si="0"/>
        <v>32</v>
      </c>
      <c r="B36" s="56"/>
      <c r="C36" s="57"/>
      <c r="D36" s="57"/>
      <c r="E36" s="57"/>
      <c r="F36" s="57"/>
      <c r="G36" s="57"/>
      <c r="H36" s="57"/>
      <c r="I36" s="387"/>
      <c r="J36" s="54"/>
    </row>
    <row r="37" spans="1:10" ht="12.75" customHeight="1">
      <c r="A37" s="375">
        <f t="shared" si="0"/>
        <v>33</v>
      </c>
      <c r="C37" s="54"/>
      <c r="D37" s="54"/>
      <c r="E37" s="54"/>
      <c r="F37" s="54"/>
      <c r="G37" s="54"/>
      <c r="H37" s="398"/>
      <c r="I37" s="387"/>
      <c r="J37" s="54"/>
    </row>
    <row r="38" spans="1:10" ht="12.75" customHeight="1">
      <c r="A38" s="375">
        <f t="shared" si="0"/>
        <v>34</v>
      </c>
      <c r="B38" s="399"/>
      <c r="C38" s="64"/>
      <c r="D38" s="64"/>
      <c r="E38" s="64"/>
      <c r="F38" s="64"/>
      <c r="H38" s="32"/>
      <c r="I38" s="387"/>
    </row>
    <row r="39" spans="1:10" ht="12.75" customHeight="1">
      <c r="A39" s="375">
        <f t="shared" si="0"/>
        <v>35</v>
      </c>
      <c r="B39" s="54" t="s">
        <v>128</v>
      </c>
      <c r="H39" s="32"/>
      <c r="I39" s="387"/>
      <c r="J39" s="388"/>
    </row>
    <row r="40" spans="1:10" ht="12.75" customHeight="1">
      <c r="A40" s="375">
        <f t="shared" si="0"/>
        <v>36</v>
      </c>
      <c r="B40" s="400" t="s">
        <v>199</v>
      </c>
      <c r="H40" s="32"/>
      <c r="I40" s="32"/>
    </row>
    <row r="41" spans="1:10" ht="12.75" customHeight="1">
      <c r="A41" s="65"/>
      <c r="H41" s="32"/>
      <c r="I41" s="32"/>
    </row>
    <row r="42" spans="1:10" ht="12.75" customHeight="1">
      <c r="H42" s="32"/>
      <c r="I42" s="32"/>
    </row>
    <row r="43" spans="1:10" ht="12.75" customHeight="1">
      <c r="H43" s="32"/>
      <c r="I43" s="61"/>
    </row>
    <row r="44" spans="1:10" ht="12.75" customHeight="1">
      <c r="H44" s="32"/>
      <c r="I44" s="32"/>
    </row>
    <row r="45" spans="1:10" ht="12.75" customHeight="1">
      <c r="H45" s="32"/>
      <c r="I45" s="32"/>
    </row>
    <row r="46" spans="1:10" ht="12.75" customHeight="1">
      <c r="H46" s="32"/>
      <c r="I46" s="32"/>
    </row>
    <row r="47" spans="1:10" ht="12.75" customHeight="1">
      <c r="H47" s="32"/>
      <c r="I47" s="32"/>
    </row>
    <row r="48" spans="1:10" ht="12.75" customHeight="1">
      <c r="H48" s="32"/>
      <c r="I48" s="32"/>
    </row>
    <row r="49" spans="8:9" ht="12.75" customHeight="1">
      <c r="H49" s="32"/>
      <c r="I49" s="32"/>
    </row>
    <row r="50" spans="8:9" ht="12.75" customHeight="1">
      <c r="H50" s="32"/>
      <c r="I50" s="32"/>
    </row>
    <row r="51" spans="8:9" ht="12.75" customHeight="1">
      <c r="H51" s="32"/>
      <c r="I51" s="32"/>
    </row>
    <row r="52" spans="8:9" ht="12.75" customHeight="1"/>
    <row r="53" spans="8:9" ht="12.75" customHeight="1"/>
    <row r="54" spans="8:9" ht="12.75" customHeight="1"/>
    <row r="55" spans="8:9" ht="12.75" customHeight="1"/>
    <row r="56" spans="8:9" ht="12.75" customHeight="1"/>
    <row r="57" spans="8:9" ht="12.75" customHeight="1"/>
    <row r="58" spans="8:9" ht="12.75" customHeight="1"/>
  </sheetData>
  <mergeCells count="3">
    <mergeCell ref="A1:J1"/>
    <mergeCell ref="A2:J2"/>
    <mergeCell ref="A3:J3"/>
  </mergeCells>
  <phoneticPr fontId="13" type="noConversion"/>
  <printOptions horizontalCentered="1"/>
  <pageMargins left="0.25" right="0.25" top="1.25" bottom="0.75" header="0.3" footer="0.3"/>
  <pageSetup scale="91" orientation="landscape" r:id="rId1"/>
  <headerFooter scaleWithDoc="0" alignWithMargins="0">
    <oddFooter>&amp;R&amp;"Times New Roman,Regular"&amp;12Exh. MDM-3
Page 7 of 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0A5ABCC-F07B-45AD-9451-21B10278A692}"/>
</file>

<file path=customXml/itemProps2.xml><?xml version="1.0" encoding="utf-8"?>
<ds:datastoreItem xmlns:ds="http://schemas.openxmlformats.org/officeDocument/2006/customXml" ds:itemID="{6A1EE0A5-C17B-4963-8CE5-FD76C3229A34}"/>
</file>

<file path=customXml/itemProps3.xml><?xml version="1.0" encoding="utf-8"?>
<ds:datastoreItem xmlns:ds="http://schemas.openxmlformats.org/officeDocument/2006/customXml" ds:itemID="{E7A44812-64A1-47FB-AD0E-139C5D4837D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D54A59C-B474-4495-8423-B2CA77E69CCA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dc463f71-b30c-4ab2-9473-d307f9d35888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Pg 1 Summary</vt:lpstr>
      <vt:lpstr>Pg 2 CapStructure</vt:lpstr>
      <vt:lpstr>Pg 3 STD Cost Rate</vt:lpstr>
      <vt:lpstr>Pg 4 STD OS &amp; Comm Fees</vt:lpstr>
      <vt:lpstr>Pg 5 STD Amort</vt:lpstr>
      <vt:lpstr>Pg 6 LTD Cost </vt:lpstr>
      <vt:lpstr>Pg 7 Reacquired Debt</vt:lpstr>
      <vt:lpstr>'Pg 1 Summary'!Print_Area</vt:lpstr>
      <vt:lpstr>'Pg 2 CapStructure'!Print_Area</vt:lpstr>
      <vt:lpstr>'Pg 4 STD OS &amp; Comm Fees'!Print_Area</vt:lpstr>
      <vt:lpstr>'Pg 5 STD Amort'!Print_Area</vt:lpstr>
      <vt:lpstr>'Pg 6 LTD Cost '!Print_Area</vt:lpstr>
      <vt:lpstr>'Pg 7 Reacquired Debt'!Print_Area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Dessalegn, Freh</dc:creator>
  <cp:lastModifiedBy>Puget Sound Energy</cp:lastModifiedBy>
  <dcterms:created xsi:type="dcterms:W3CDTF">2019-06-14T17:49:43Z</dcterms:created>
  <dcterms:modified xsi:type="dcterms:W3CDTF">2019-06-14T21:48:10Z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